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4120" windowHeight="12045"/>
  </bookViews>
  <sheets>
    <sheet name="浦江镇" sheetId="33" r:id="rId1"/>
    <sheet name="社区教育" sheetId="2" state="hidden" r:id="rId2"/>
    <sheet name="志愿者联盟" sheetId="3" state="hidden" r:id="rId3"/>
    <sheet name="保安经费" sheetId="32" state="hidden" r:id="rId4"/>
    <sheet name="浦江" sheetId="31" state="hidden" r:id="rId5"/>
  </sheets>
  <externalReferences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D11" i="33" l="1"/>
  <c r="C9" i="33"/>
  <c r="E9" i="33" s="1"/>
  <c r="V109" i="31" l="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T29" i="31" s="1"/>
  <c r="S96" i="31"/>
  <c r="R96" i="31"/>
  <c r="P96" i="31"/>
  <c r="N96" i="31"/>
  <c r="N11" i="31" s="1"/>
  <c r="M96" i="31"/>
  <c r="M80" i="31" s="1"/>
  <c r="M79" i="31" s="1"/>
  <c r="L96" i="31"/>
  <c r="J96" i="31"/>
  <c r="I96" i="31"/>
  <c r="I29" i="31" s="1"/>
  <c r="H96" i="31"/>
  <c r="F96" i="31"/>
  <c r="F80" i="31" s="1"/>
  <c r="F79" i="31" s="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P89" i="31" s="1"/>
  <c r="O91" i="31"/>
  <c r="N91" i="31"/>
  <c r="M91" i="31"/>
  <c r="L91" i="31"/>
  <c r="I91" i="31"/>
  <c r="I89" i="31" s="1"/>
  <c r="H91" i="31"/>
  <c r="F91" i="31"/>
  <c r="E91" i="31"/>
  <c r="V91" i="31" s="1"/>
  <c r="U90" i="31"/>
  <c r="U89" i="31" s="1"/>
  <c r="T90" i="31"/>
  <c r="S90" i="31"/>
  <c r="S89" i="31" s="1"/>
  <c r="R90" i="31"/>
  <c r="R89" i="31" s="1"/>
  <c r="P90" i="31"/>
  <c r="O90" i="31"/>
  <c r="N90" i="31"/>
  <c r="N89" i="31" s="1"/>
  <c r="N85" i="31" s="1"/>
  <c r="M90" i="31"/>
  <c r="M89" i="31" s="1"/>
  <c r="M85" i="31" s="1"/>
  <c r="L90" i="31"/>
  <c r="I90" i="31"/>
  <c r="H90" i="31"/>
  <c r="H89" i="31" s="1"/>
  <c r="F90" i="31"/>
  <c r="V90" i="31" s="1"/>
  <c r="E90" i="31"/>
  <c r="E89" i="31" s="1"/>
  <c r="Q89" i="31"/>
  <c r="Q85" i="31" s="1"/>
  <c r="L89" i="31"/>
  <c r="K89" i="31"/>
  <c r="J89" i="31"/>
  <c r="G89" i="31"/>
  <c r="V88" i="31"/>
  <c r="V87" i="31"/>
  <c r="U86" i="31"/>
  <c r="T86" i="31"/>
  <c r="S86" i="31"/>
  <c r="R86" i="31"/>
  <c r="R85" i="31" s="1"/>
  <c r="P86" i="31"/>
  <c r="N86" i="31"/>
  <c r="M86" i="31"/>
  <c r="L86" i="31"/>
  <c r="L85" i="31" s="1"/>
  <c r="I86" i="31"/>
  <c r="I85" i="31" s="1"/>
  <c r="H86" i="31"/>
  <c r="F86" i="31"/>
  <c r="E86" i="31"/>
  <c r="K85" i="31"/>
  <c r="J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V83" i="31" s="1"/>
  <c r="U82" i="31"/>
  <c r="T82" i="31"/>
  <c r="S82" i="31"/>
  <c r="S81" i="31" s="1"/>
  <c r="R82" i="31"/>
  <c r="R81" i="31" s="1"/>
  <c r="Q82" i="31"/>
  <c r="Q81" i="31" s="1"/>
  <c r="P82" i="31"/>
  <c r="O82" i="31"/>
  <c r="O81" i="31" s="1"/>
  <c r="N82" i="31"/>
  <c r="N81" i="31" s="1"/>
  <c r="M82" i="31"/>
  <c r="M81" i="31" s="1"/>
  <c r="K82" i="31"/>
  <c r="K81" i="31" s="1"/>
  <c r="J82" i="31"/>
  <c r="I82" i="31"/>
  <c r="H82" i="31"/>
  <c r="F82" i="31"/>
  <c r="E82" i="31"/>
  <c r="U81" i="31"/>
  <c r="T81" i="31"/>
  <c r="P81" i="31"/>
  <c r="J81" i="31"/>
  <c r="I81" i="31"/>
  <c r="H81" i="31"/>
  <c r="F81" i="31"/>
  <c r="E81" i="31"/>
  <c r="U80" i="31"/>
  <c r="S80" i="31"/>
  <c r="R80" i="31"/>
  <c r="R79" i="31" s="1"/>
  <c r="Q80" i="31"/>
  <c r="Q79" i="31" s="1"/>
  <c r="P80" i="31"/>
  <c r="P79" i="31" s="1"/>
  <c r="O80" i="31"/>
  <c r="L80" i="31"/>
  <c r="L79" i="31" s="1"/>
  <c r="H80" i="31"/>
  <c r="H79" i="31" s="1"/>
  <c r="E80" i="31"/>
  <c r="U79" i="31"/>
  <c r="S79" i="31"/>
  <c r="O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R75" i="31"/>
  <c r="Q75" i="31"/>
  <c r="N75" i="31"/>
  <c r="K75" i="31"/>
  <c r="J75" i="31"/>
  <c r="G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S73" i="31"/>
  <c r="R73" i="31"/>
  <c r="O73" i="31"/>
  <c r="N73" i="31"/>
  <c r="K73" i="31"/>
  <c r="J73" i="31"/>
  <c r="H73" i="31"/>
  <c r="G73" i="31"/>
  <c r="U72" i="31"/>
  <c r="U71" i="31" s="1"/>
  <c r="T72" i="31"/>
  <c r="S72" i="31"/>
  <c r="R72" i="31"/>
  <c r="Q72" i="31"/>
  <c r="Q71" i="31" s="1"/>
  <c r="P72" i="31"/>
  <c r="P71" i="31" s="1"/>
  <c r="M72" i="31"/>
  <c r="M71" i="31" s="1"/>
  <c r="L72" i="31"/>
  <c r="L71" i="31" s="1"/>
  <c r="I72" i="31"/>
  <c r="I71" i="31" s="1"/>
  <c r="H72" i="31"/>
  <c r="F72" i="31"/>
  <c r="E72" i="31"/>
  <c r="T71" i="31"/>
  <c r="S71" i="31"/>
  <c r="R71" i="31"/>
  <c r="O71" i="31"/>
  <c r="K71" i="31"/>
  <c r="J71" i="31"/>
  <c r="H71" i="31"/>
  <c r="G71" i="31"/>
  <c r="F71" i="31"/>
  <c r="V70" i="31"/>
  <c r="V69" i="31"/>
  <c r="S68" i="31"/>
  <c r="F68" i="31"/>
  <c r="F53" i="31" s="1"/>
  <c r="E68" i="31"/>
  <c r="V68" i="31" s="1"/>
  <c r="V67" i="31"/>
  <c r="V66" i="31"/>
  <c r="V65" i="31"/>
  <c r="V64" i="31"/>
  <c r="V63" i="31"/>
  <c r="F63" i="3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I53" i="31" s="1"/>
  <c r="U53" i="31"/>
  <c r="T53" i="31"/>
  <c r="S53" i="31"/>
  <c r="R53" i="31"/>
  <c r="P53" i="31"/>
  <c r="O53" i="31"/>
  <c r="N53" i="31"/>
  <c r="L53" i="31"/>
  <c r="K53" i="31"/>
  <c r="J53" i="31"/>
  <c r="H53" i="31"/>
  <c r="G53" i="31"/>
  <c r="J52" i="31"/>
  <c r="V51" i="31"/>
  <c r="V50" i="31"/>
  <c r="V49" i="31"/>
  <c r="Q48" i="31"/>
  <c r="Q47" i="31" s="1"/>
  <c r="Q31" i="31" s="1"/>
  <c r="L48" i="3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M31" i="31" s="1"/>
  <c r="L46" i="31"/>
  <c r="L45" i="31" s="1"/>
  <c r="E46" i="31"/>
  <c r="U45" i="31"/>
  <c r="T45" i="31"/>
  <c r="S45" i="31"/>
  <c r="R45" i="31"/>
  <c r="Q45" i="31"/>
  <c r="P45" i="31"/>
  <c r="O45" i="31"/>
  <c r="O31" i="31" s="1"/>
  <c r="N45" i="31"/>
  <c r="K45" i="31"/>
  <c r="K31" i="31" s="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V41" i="31"/>
  <c r="E41" i="31"/>
  <c r="E40" i="31" s="1"/>
  <c r="U40" i="31"/>
  <c r="T40" i="31"/>
  <c r="S40" i="31"/>
  <c r="S31" i="31" s="1"/>
  <c r="R40" i="31"/>
  <c r="P40" i="31"/>
  <c r="N40" i="31"/>
  <c r="N31" i="31" s="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U31" i="31" s="1"/>
  <c r="T32" i="31"/>
  <c r="S32" i="31"/>
  <c r="R32" i="31"/>
  <c r="P32" i="31"/>
  <c r="P31" i="31" s="1"/>
  <c r="N32" i="31"/>
  <c r="M32" i="31"/>
  <c r="L32" i="31"/>
  <c r="J32" i="31"/>
  <c r="J31" i="31" s="1"/>
  <c r="I32" i="31"/>
  <c r="H32" i="31"/>
  <c r="F32" i="31"/>
  <c r="F31" i="31" s="1"/>
  <c r="E32" i="31"/>
  <c r="R31" i="31"/>
  <c r="I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S29" i="31"/>
  <c r="R29" i="31"/>
  <c r="Q29" i="31"/>
  <c r="P29" i="31"/>
  <c r="M29" i="31"/>
  <c r="L29" i="31"/>
  <c r="K29" i="31"/>
  <c r="H29" i="31"/>
  <c r="F29" i="31"/>
  <c r="E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N28" i="3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F27" i="31" s="1"/>
  <c r="E28" i="31"/>
  <c r="R27" i="31"/>
  <c r="O27" i="31"/>
  <c r="N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I26" i="31"/>
  <c r="I25" i="31" s="1"/>
  <c r="H26" i="31"/>
  <c r="H25" i="31" s="1"/>
  <c r="F26" i="31"/>
  <c r="E26" i="31"/>
  <c r="S25" i="31"/>
  <c r="K25" i="31"/>
  <c r="J25" i="31"/>
  <c r="F25" i="31"/>
  <c r="U24" i="31"/>
  <c r="T24" i="31"/>
  <c r="T22" i="31" s="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U23" i="31"/>
  <c r="T23" i="31"/>
  <c r="S23" i="31"/>
  <c r="S22" i="31" s="1"/>
  <c r="R23" i="31"/>
  <c r="R22" i="31" s="1"/>
  <c r="Q23" i="31"/>
  <c r="P23" i="31"/>
  <c r="O23" i="31"/>
  <c r="O22" i="31" s="1"/>
  <c r="N23" i="31"/>
  <c r="N22" i="31" s="1"/>
  <c r="M23" i="31"/>
  <c r="K23" i="31"/>
  <c r="J23" i="31"/>
  <c r="J22" i="31" s="1"/>
  <c r="I23" i="31"/>
  <c r="I22" i="31" s="1"/>
  <c r="H23" i="31"/>
  <c r="F23" i="31"/>
  <c r="E23" i="31"/>
  <c r="U22" i="31"/>
  <c r="Q22" i="31"/>
  <c r="P22" i="31"/>
  <c r="M22" i="31"/>
  <c r="H22" i="31"/>
  <c r="E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K21" i="31"/>
  <c r="K20" i="31" s="1"/>
  <c r="J21" i="31"/>
  <c r="J20" i="31" s="1"/>
  <c r="I21" i="31"/>
  <c r="I20" i="31" s="1"/>
  <c r="H21" i="31"/>
  <c r="F21" i="31"/>
  <c r="E21" i="31"/>
  <c r="E20" i="31" s="1"/>
  <c r="U20" i="31"/>
  <c r="T20" i="31"/>
  <c r="P20" i="31"/>
  <c r="M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R13" i="31" s="1"/>
  <c r="Q14" i="31"/>
  <c r="P14" i="31"/>
  <c r="O14" i="31"/>
  <c r="O13" i="31" s="1"/>
  <c r="N14" i="31"/>
  <c r="N13" i="31" s="1"/>
  <c r="M14" i="31"/>
  <c r="M13" i="31" s="1"/>
  <c r="L14" i="31"/>
  <c r="K14" i="31"/>
  <c r="K13" i="31" s="1"/>
  <c r="J14" i="31"/>
  <c r="J13" i="31" s="1"/>
  <c r="I14" i="31"/>
  <c r="H14" i="31"/>
  <c r="G14" i="31"/>
  <c r="F14" i="31"/>
  <c r="F13" i="31" s="1"/>
  <c r="E14" i="31"/>
  <c r="Q13" i="31"/>
  <c r="I13" i="31"/>
  <c r="U12" i="31"/>
  <c r="T12" i="31"/>
  <c r="S12" i="31"/>
  <c r="S10" i="31" s="1"/>
  <c r="S8" i="31" s="1"/>
  <c r="R12" i="31"/>
  <c r="Q12" i="31"/>
  <c r="P12" i="31"/>
  <c r="P10" i="31" s="1"/>
  <c r="M12" i="31"/>
  <c r="L12" i="31"/>
  <c r="I12" i="31"/>
  <c r="H12" i="31"/>
  <c r="F12" i="31"/>
  <c r="E12" i="31"/>
  <c r="U11" i="31"/>
  <c r="U10" i="31" s="1"/>
  <c r="U8" i="31" s="1"/>
  <c r="S11" i="31"/>
  <c r="R11" i="31"/>
  <c r="R10" i="31" s="1"/>
  <c r="R8" i="31" s="1"/>
  <c r="Q11" i="31"/>
  <c r="Q10" i="31" s="1"/>
  <c r="Q8" i="31" s="1"/>
  <c r="P11" i="31"/>
  <c r="M11" i="31"/>
  <c r="M10" i="31" s="1"/>
  <c r="L11" i="31"/>
  <c r="L10" i="31" s="1"/>
  <c r="L8" i="31" s="1"/>
  <c r="H11" i="31"/>
  <c r="F11" i="31"/>
  <c r="E11" i="31"/>
  <c r="E10" i="31" s="1"/>
  <c r="O10" i="31"/>
  <c r="O8" i="31" s="1"/>
  <c r="K10" i="31"/>
  <c r="J10" i="31"/>
  <c r="J8" i="31" s="1"/>
  <c r="H10" i="31"/>
  <c r="H8" i="31" s="1"/>
  <c r="G10" i="31"/>
  <c r="G8" i="31" s="1"/>
  <c r="Q9" i="31"/>
  <c r="P9" i="31"/>
  <c r="M9" i="31"/>
  <c r="E9" i="31"/>
  <c r="K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AB4" i="32"/>
  <c r="AA4" i="32"/>
  <c r="Z4" i="32"/>
  <c r="Y4" i="32"/>
  <c r="U4" i="32"/>
  <c r="R4" i="32"/>
  <c r="Q4" i="32"/>
  <c r="N4" i="32"/>
  <c r="M4" i="32"/>
  <c r="L4" i="32"/>
  <c r="H4" i="32"/>
  <c r="E4" i="32"/>
  <c r="D4" i="32"/>
  <c r="O4" i="32"/>
  <c r="V3" i="32"/>
  <c r="W3" i="32" s="1"/>
  <c r="S3" i="32"/>
  <c r="S4" i="32" s="1"/>
  <c r="I3" i="32"/>
  <c r="J3" i="32" s="1"/>
  <c r="F3" i="32"/>
  <c r="G3" i="32" s="1"/>
  <c r="R52" i="31" l="1"/>
  <c r="J4" i="31"/>
  <c r="J3" i="31" s="1"/>
  <c r="V9" i="31"/>
  <c r="I11" i="31"/>
  <c r="T11" i="31"/>
  <c r="T10" i="31" s="1"/>
  <c r="T8" i="31" s="1"/>
  <c r="T4" i="31" s="1"/>
  <c r="N12" i="31"/>
  <c r="N10" i="31" s="1"/>
  <c r="N8" i="31" s="1"/>
  <c r="N4" i="31" s="1"/>
  <c r="V14" i="31"/>
  <c r="V32" i="31"/>
  <c r="V46" i="31"/>
  <c r="V48" i="31"/>
  <c r="E53" i="31"/>
  <c r="V53" i="31" s="1"/>
  <c r="N72" i="31"/>
  <c r="N71" i="31" s="1"/>
  <c r="V74" i="31"/>
  <c r="V76" i="31"/>
  <c r="I80" i="31"/>
  <c r="I79" i="31" s="1"/>
  <c r="V79" i="31" s="1"/>
  <c r="T80" i="31"/>
  <c r="T79" i="31" s="1"/>
  <c r="P85" i="31"/>
  <c r="U85" i="31"/>
  <c r="F89" i="31"/>
  <c r="F85" i="31" s="1"/>
  <c r="F52" i="31" s="1"/>
  <c r="V93" i="31"/>
  <c r="V86" i="31"/>
  <c r="P8" i="31"/>
  <c r="V11" i="31"/>
  <c r="M8" i="31"/>
  <c r="V12" i="31"/>
  <c r="O4" i="31"/>
  <c r="S4" i="31"/>
  <c r="V18" i="31"/>
  <c r="K22" i="31"/>
  <c r="K4" i="31" s="1"/>
  <c r="K3" i="31" s="1"/>
  <c r="N29" i="31"/>
  <c r="V29" i="31" s="1"/>
  <c r="H31" i="31"/>
  <c r="V72" i="31"/>
  <c r="Q52" i="31"/>
  <c r="E75" i="31"/>
  <c r="V75" i="31" s="1"/>
  <c r="V77" i="31"/>
  <c r="N80" i="31"/>
  <c r="N79" i="31" s="1"/>
  <c r="S85" i="31"/>
  <c r="V96" i="31"/>
  <c r="I10" i="31"/>
  <c r="I8" i="31" s="1"/>
  <c r="Q4" i="31"/>
  <c r="Q3" i="31" s="1"/>
  <c r="U4" i="31"/>
  <c r="V6" i="31"/>
  <c r="V7" i="31"/>
  <c r="E13" i="31"/>
  <c r="H13" i="31"/>
  <c r="H4" i="31" s="1"/>
  <c r="L13" i="31"/>
  <c r="P13" i="31"/>
  <c r="T13" i="31"/>
  <c r="G15" i="31"/>
  <c r="G13" i="31" s="1"/>
  <c r="L21" i="31"/>
  <c r="L20" i="31" s="1"/>
  <c r="T31" i="31"/>
  <c r="E45" i="31"/>
  <c r="V45" i="31" s="1"/>
  <c r="K52" i="31"/>
  <c r="E85" i="31"/>
  <c r="V85" i="31" s="1"/>
  <c r="O89" i="31"/>
  <c r="O85" i="31" s="1"/>
  <c r="T89" i="31"/>
  <c r="T85" i="31" s="1"/>
  <c r="T52" i="31" s="1"/>
  <c r="V101" i="31"/>
  <c r="V40" i="31"/>
  <c r="V5" i="31"/>
  <c r="I4" i="31"/>
  <c r="M4" i="31"/>
  <c r="R4" i="31"/>
  <c r="R3" i="31" s="1"/>
  <c r="M52" i="31"/>
  <c r="O52" i="31"/>
  <c r="O3" i="31" s="1"/>
  <c r="S52" i="31"/>
  <c r="H85" i="31"/>
  <c r="H52" i="31" s="1"/>
  <c r="S3" i="31"/>
  <c r="U52" i="31"/>
  <c r="U3" i="31" s="1"/>
  <c r="V80" i="31"/>
  <c r="E8" i="31"/>
  <c r="P4" i="31"/>
  <c r="P3" i="31" s="1"/>
  <c r="P52" i="31"/>
  <c r="F10" i="31"/>
  <c r="F8" i="31" s="1"/>
  <c r="F4" i="31" s="1"/>
  <c r="G24" i="31"/>
  <c r="E25" i="31"/>
  <c r="G26" i="31"/>
  <c r="G25" i="31" s="1"/>
  <c r="E27" i="31"/>
  <c r="V27" i="31" s="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I4" i="32"/>
  <c r="V4" i="32"/>
  <c r="T3" i="32"/>
  <c r="X3" i="32" s="1"/>
  <c r="AC3" i="32" s="1"/>
  <c r="K3" i="32"/>
  <c r="P3" i="32" s="1"/>
  <c r="G4" i="32"/>
  <c r="J4" i="32"/>
  <c r="W4" i="32"/>
  <c r="H3" i="31" l="1"/>
  <c r="V13" i="31"/>
  <c r="N3" i="31"/>
  <c r="V25" i="31"/>
  <c r="G4" i="31"/>
  <c r="G3" i="31" s="1"/>
  <c r="V81" i="31"/>
  <c r="V26" i="31"/>
  <c r="V89" i="31"/>
  <c r="E31" i="31"/>
  <c r="V31" i="31" s="1"/>
  <c r="C7" i="33" s="1"/>
  <c r="E7" i="33" s="1"/>
  <c r="V15" i="31"/>
  <c r="F3" i="31"/>
  <c r="N52" i="31"/>
  <c r="T3" i="31"/>
  <c r="I52" i="31"/>
  <c r="V71" i="31"/>
  <c r="E52" i="31"/>
  <c r="V47" i="31"/>
  <c r="V20" i="31"/>
  <c r="V10" i="31"/>
  <c r="V21" i="31"/>
  <c r="V82" i="31"/>
  <c r="I3" i="31"/>
  <c r="E4" i="31"/>
  <c r="V28" i="31"/>
  <c r="V8" i="31"/>
  <c r="V23" i="31"/>
  <c r="M3" i="31"/>
  <c r="L22" i="31"/>
  <c r="L4" i="31" s="1"/>
  <c r="L3" i="31" s="1"/>
  <c r="T4" i="32"/>
  <c r="AD3" i="32"/>
  <c r="K4" i="32"/>
  <c r="AC4" i="32"/>
  <c r="X4" i="32"/>
  <c r="V52" i="31" l="1"/>
  <c r="C6" i="33" s="1"/>
  <c r="E6" i="33" s="1"/>
  <c r="V22" i="31"/>
  <c r="V4" i="31"/>
  <c r="C5" i="33" s="1"/>
  <c r="E3" i="31"/>
  <c r="V3" i="31" s="1"/>
  <c r="P4" i="32"/>
  <c r="AD4" i="32"/>
  <c r="C10" i="33" s="1"/>
  <c r="E10" i="33" s="1"/>
  <c r="E5" i="33" l="1"/>
  <c r="C3" i="2"/>
  <c r="C8" i="33" s="1"/>
  <c r="E8" i="33" s="1"/>
  <c r="C11" i="33" l="1"/>
  <c r="E11" i="33"/>
</calcChain>
</file>

<file path=xl/sharedStrings.xml><?xml version="1.0" encoding="utf-8"?>
<sst xmlns="http://schemas.openxmlformats.org/spreadsheetml/2006/main" count="434" uniqueCount="317">
  <si>
    <t>序号</t>
  </si>
  <si>
    <t>镇属</t>
    <phoneticPr fontId="1" type="noConversion"/>
  </si>
  <si>
    <t>浦江</t>
  </si>
  <si>
    <t>序号</t>
    <phoneticPr fontId="2" type="noConversion"/>
  </si>
  <si>
    <t>浦江镇社区学校</t>
    <phoneticPr fontId="2" type="noConversion"/>
  </si>
  <si>
    <t>合计</t>
  </si>
  <si>
    <t>浦江三小</t>
  </si>
  <si>
    <t>浦莲幼儿园</t>
  </si>
  <si>
    <t>浦航幼儿园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</si>
  <si>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</si>
  <si>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</si>
  <si>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</si>
  <si>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</si>
  <si>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</si>
  <si>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</si>
  <si>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</si>
  <si>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2021年基本支出预算表</t>
    <phoneticPr fontId="13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</si>
  <si>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</si>
  <si>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</si>
  <si>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</si>
  <si>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</si>
  <si>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</si>
  <si>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</si>
  <si>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</si>
  <si>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</si>
  <si>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</si>
  <si>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</si>
  <si>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</si>
  <si>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</si>
  <si>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</si>
  <si>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</si>
  <si>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</si>
  <si>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</si>
  <si>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</si>
  <si>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</si>
  <si>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</si>
  <si>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</si>
  <si>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</si>
  <si>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</si>
  <si>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</si>
  <si>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</si>
  <si>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</si>
  <si>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</si>
  <si>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</si>
  <si>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</si>
  <si>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</si>
  <si>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3" type="noConversion"/>
  </si>
  <si>
    <t>公式计算（请检查）</t>
  </si>
  <si>
    <t>13</t>
  </si>
  <si>
    <t>　　　　2、工伤保险费0.5%</t>
    <phoneticPr fontId="13" type="noConversion"/>
  </si>
  <si>
    <t>14</t>
  </si>
  <si>
    <t>　　　　3、失业保险0.5%</t>
    <phoneticPr fontId="13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</si>
  <si>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</si>
  <si>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</si>
  <si>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</si>
  <si>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</si>
  <si>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</si>
  <si>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</si>
  <si>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</si>
  <si>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</si>
  <si>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</si>
  <si>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</si>
  <si>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</si>
  <si>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3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</si>
  <si>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</si>
  <si>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</si>
  <si>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</si>
  <si>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</si>
  <si>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</si>
  <si>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</si>
  <si>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</si>
  <si>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</si>
  <si>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</si>
  <si>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</si>
  <si>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</si>
  <si>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3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</si>
  <si>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</si>
  <si>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</si>
  <si>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</si>
  <si>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</si>
  <si>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</si>
  <si>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</si>
  <si>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</si>
  <si>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</si>
  <si>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</si>
  <si>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</si>
  <si>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</si>
  <si>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</si>
  <si>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</si>
  <si>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</si>
  <si>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</si>
  <si>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</si>
  <si>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</si>
  <si>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</si>
  <si>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</si>
  <si>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</si>
  <si>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</si>
  <si>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</si>
  <si>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</si>
  <si>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</si>
  <si>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</si>
  <si>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</si>
  <si>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</si>
  <si>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</si>
  <si>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</si>
  <si>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</si>
  <si>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</si>
  <si>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</si>
  <si>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</si>
  <si>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</si>
  <si>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</si>
  <si>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</si>
  <si>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</si>
  <si>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</si>
  <si>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</si>
  <si>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</si>
  <si>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</si>
  <si>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</si>
  <si>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</si>
  <si>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</si>
  <si>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</si>
  <si>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</si>
  <si>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</si>
  <si>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</si>
  <si>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</si>
  <si>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</si>
  <si>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</si>
  <si>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</si>
  <si>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</si>
  <si>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</si>
  <si>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</si>
  <si>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</si>
  <si>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</si>
  <si>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</si>
  <si>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</si>
  <si>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</si>
  <si>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</si>
  <si>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</si>
  <si>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</si>
  <si>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</si>
  <si>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</si>
  <si>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</si>
  <si>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</si>
  <si>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</si>
  <si>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</si>
  <si>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</si>
  <si>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</si>
  <si>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</si>
  <si>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</si>
  <si>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</si>
  <si>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</si>
  <si>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</si>
  <si>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</si>
  <si>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</si>
  <si>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</si>
  <si>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</si>
  <si>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</si>
  <si>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</si>
  <si>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</si>
  <si>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</si>
  <si>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3" type="noConversion"/>
  </si>
  <si>
    <t>主款项</t>
    <phoneticPr fontId="13" type="noConversion"/>
  </si>
  <si>
    <t>生均定额5%</t>
    <phoneticPr fontId="13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</si>
  <si>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</si>
  <si>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</si>
  <si>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</si>
  <si>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</si>
  <si>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</si>
  <si>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</si>
  <si>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</si>
  <si>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</si>
  <si>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</si>
  <si>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</si>
  <si>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</si>
  <si>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</si>
  <si>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</si>
  <si>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</si>
  <si>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</si>
  <si>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</si>
  <si>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</si>
  <si>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</si>
  <si>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</si>
  <si>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</si>
  <si>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</si>
  <si>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</si>
  <si>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</si>
  <si>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</si>
  <si>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</si>
  <si>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</si>
  <si>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</si>
  <si>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</si>
  <si>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</si>
  <si>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</si>
  <si>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</si>
  <si>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</si>
  <si>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</si>
  <si>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</si>
  <si>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</si>
  <si>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</si>
  <si>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</si>
  <si>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</si>
  <si>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</si>
  <si>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</si>
  <si>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</si>
  <si>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</si>
  <si>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</si>
  <si>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</si>
  <si>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</si>
  <si>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</si>
  <si>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</si>
  <si>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</si>
  <si>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</si>
  <si>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</si>
  <si>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</si>
  <si>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</si>
  <si>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</si>
  <si>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</si>
  <si>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</si>
  <si>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</si>
  <si>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</si>
  <si>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</si>
  <si>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</si>
  <si>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</si>
  <si>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</si>
  <si>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</si>
  <si>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</si>
  <si>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</si>
  <si>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</si>
  <si>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</si>
  <si>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</si>
  <si>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</si>
  <si>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</si>
  <si>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</si>
  <si>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>93</t>
  </si>
  <si>
    <t>学校基本情况：</t>
  </si>
  <si>
    <t>94</t>
  </si>
  <si>
    <t>1、教职工(人数)</t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</si>
  <si>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</si>
  <si>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</si>
  <si>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</si>
  <si>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</si>
  <si>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</si>
  <si>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</si>
  <si>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</si>
  <si>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</si>
  <si>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</si>
  <si>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</si>
  <si>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</si>
  <si>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</si>
  <si>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</si>
  <si>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</si>
  <si>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</si>
  <si>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</si>
  <si>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</si>
  <si>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</si>
  <si>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</si>
  <si>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</si>
  <si>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</si>
  <si>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</si>
  <si>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</si>
  <si>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</si>
  <si>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</si>
  <si>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</si>
  <si>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代扣教育局</t>
    <phoneticPr fontId="1" type="noConversion"/>
  </si>
  <si>
    <t>浦江二中</t>
    <phoneticPr fontId="13" type="noConversion"/>
  </si>
  <si>
    <t>浦江三中</t>
    <phoneticPr fontId="13" type="noConversion"/>
  </si>
  <si>
    <t>浦航实验学校</t>
  </si>
  <si>
    <t>世外浦江</t>
    <phoneticPr fontId="13" type="noConversion"/>
  </si>
  <si>
    <t>二小</t>
  </si>
  <si>
    <t>上戏附校</t>
  </si>
  <si>
    <t>浦汇小学</t>
    <phoneticPr fontId="13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</si>
  <si>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</si>
  <si>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</si>
  <si>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</si>
  <si>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</si>
  <si>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</si>
  <si>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</si>
  <si>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</si>
  <si>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</si>
  <si>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</si>
  <si>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</si>
  <si>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</si>
  <si>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</si>
  <si>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</si>
  <si>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</si>
  <si>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</si>
  <si>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</si>
  <si>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</si>
  <si>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</si>
  <si>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</si>
  <si>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</si>
  <si>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</si>
  <si>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</si>
  <si>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</si>
  <si>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</si>
  <si>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汇秀小学</t>
    <phoneticPr fontId="13" type="noConversion"/>
  </si>
  <si>
    <t>浦江三幼</t>
    <phoneticPr fontId="13" type="noConversion"/>
  </si>
  <si>
    <t>宝邸幼儿园</t>
    <phoneticPr fontId="13" type="noConversion"/>
  </si>
  <si>
    <t>闸航幼</t>
    <phoneticPr fontId="13" type="noConversion"/>
  </si>
  <si>
    <t>浦江镇社区学校</t>
    <phoneticPr fontId="13" type="noConversion"/>
  </si>
  <si>
    <t xml:space="preserve">
无车辆按32000元编制预算
机关局有编制的车辆，每分校增加10000元，每个分园增加5000元编制预算</t>
    <phoneticPr fontId="13" type="noConversion"/>
  </si>
  <si>
    <t>填写2020年9月在编教职工人数</t>
    <phoneticPr fontId="13" type="noConversion"/>
  </si>
  <si>
    <t>填写2020年秋季学期学生人数，以招办人数为准（待下发）</t>
    <phoneticPr fontId="13" type="noConversion"/>
  </si>
  <si>
    <t>2021年教育统筹经费第一次分配明细表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</si>
  <si>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</si>
  <si>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</si>
  <si>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</si>
  <si>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一次分配合计</t>
    <phoneticPr fontId="1" type="noConversion"/>
  </si>
  <si>
    <t>实际下达乡镇（工业区）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</si>
  <si>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</si>
  <si>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</si>
  <si>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</si>
  <si>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合计</t>
    <phoneticPr fontId="2" type="noConversion"/>
  </si>
  <si>
    <t>浦江镇：</t>
    <phoneticPr fontId="2" type="noConversion"/>
  </si>
  <si>
    <t>保安经费</t>
    <phoneticPr fontId="1" type="noConversion"/>
  </si>
  <si>
    <t>社区教育经费</t>
  </si>
  <si>
    <t>社区教育志愿者联盟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</si>
</sst>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[$-F800]dddd\,\ mmmm\ dd\,\ yyyy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43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7" fillId="0" borderId="0"/>
  </cellStyleXfs>
  <cellXfs count="108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 applyProtection="1">
      <protection locked="0"/>
    </xf>
    <xf numFmtId="178" fontId="17" fillId="4" borderId="1" xfId="0" applyNumberFormat="1" applyFont="1" applyFill="1" applyBorder="1" applyAlignment="1" applyProtection="1"/>
    <xf numFmtId="0" fontId="13" fillId="4" borderId="0" xfId="0" applyFont="1" applyFill="1" applyAlignment="1" applyProtection="1">
      <protection locked="0"/>
    </xf>
    <xf numFmtId="178" fontId="17" fillId="4" borderId="1" xfId="0" applyNumberFormat="1" applyFont="1" applyFill="1" applyBorder="1" applyAlignment="1" applyProtection="1">
      <protection locked="0"/>
    </xf>
    <xf numFmtId="49" fontId="16" fillId="4" borderId="1" xfId="0" applyNumberFormat="1" applyFont="1" applyFill="1" applyBorder="1" applyAlignment="1" applyProtection="1">
      <protection locked="0"/>
    </xf>
    <xf numFmtId="49" fontId="16" fillId="4" borderId="1" xfId="0" applyNumberFormat="1" applyFont="1" applyFill="1" applyBorder="1" applyAlignment="1" applyProtection="1">
      <alignment wrapText="1"/>
      <protection locked="0"/>
    </xf>
    <xf numFmtId="0" fontId="20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179" fontId="28" fillId="3" borderId="1" xfId="16" applyNumberFormat="1" applyFont="1" applyFill="1" applyBorder="1" applyAlignment="1">
      <alignment horizontal="center" vertical="center" wrapText="1"/>
    </xf>
    <xf numFmtId="179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79" fontId="32" fillId="4" borderId="1" xfId="16" applyNumberFormat="1" applyFont="1" applyFill="1" applyBorder="1" applyAlignment="1">
      <alignment horizontal="center" vertical="center"/>
    </xf>
    <xf numFmtId="43" fontId="32" fillId="4" borderId="1" xfId="16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43" fontId="24" fillId="4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177" fontId="3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79" fontId="24" fillId="4" borderId="0" xfId="16" applyNumberFormat="1" applyFont="1" applyFill="1" applyAlignment="1">
      <alignment horizontal="center" vertical="center"/>
    </xf>
    <xf numFmtId="179" fontId="24" fillId="4" borderId="0" xfId="0" applyNumberFormat="1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3" applyFont="1" applyBorder="1" applyAlignment="1">
      <alignment vertical="center"/>
    </xf>
    <xf numFmtId="0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18" applyNumberFormat="1" applyFont="1" applyFill="1" applyBorder="1" applyAlignment="1" applyProtection="1">
      <alignment horizontal="center" vertical="center" wrapText="1"/>
      <protection locked="0"/>
    </xf>
    <xf numFmtId="177" fontId="17" fillId="4" borderId="1" xfId="0" applyNumberFormat="1" applyFont="1" applyFill="1" applyBorder="1" applyAlignment="1" applyProtection="1"/>
    <xf numFmtId="180" fontId="13" fillId="4" borderId="0" xfId="0" applyNumberFormat="1" applyFont="1" applyFill="1" applyAlignment="1" applyProtection="1">
      <protection locked="0"/>
    </xf>
    <xf numFmtId="178" fontId="17" fillId="4" borderId="1" xfId="18" applyNumberFormat="1" applyFont="1" applyFill="1" applyBorder="1" applyAlignment="1" applyProtection="1">
      <protection locked="0"/>
    </xf>
    <xf numFmtId="49" fontId="17" fillId="4" borderId="1" xfId="0" applyNumberFormat="1" applyFont="1" applyFill="1" applyBorder="1" applyAlignment="1" applyProtection="1">
      <protection locked="0"/>
    </xf>
    <xf numFmtId="49" fontId="17" fillId="4" borderId="1" xfId="0" applyNumberFormat="1" applyFont="1" applyFill="1" applyBorder="1" applyAlignment="1" applyProtection="1">
      <alignment wrapText="1"/>
      <protection locked="0"/>
    </xf>
    <xf numFmtId="178" fontId="17" fillId="4" borderId="1" xfId="18" applyNumberFormat="1" applyFont="1" applyFill="1" applyBorder="1" applyAlignment="1" applyProtection="1"/>
    <xf numFmtId="0" fontId="17" fillId="4" borderId="0" xfId="0" applyFont="1" applyFill="1" applyAlignment="1" applyProtection="1">
      <protection locked="0"/>
    </xf>
    <xf numFmtId="178" fontId="13" fillId="4" borderId="1" xfId="0" applyNumberFormat="1" applyFont="1" applyFill="1" applyBorder="1" applyAlignment="1" applyProtection="1"/>
    <xf numFmtId="177" fontId="13" fillId="4" borderId="1" xfId="18" applyNumberFormat="1" applyFont="1" applyFill="1" applyBorder="1" applyAlignment="1" applyProtection="1">
      <protection locked="0"/>
    </xf>
    <xf numFmtId="177" fontId="17" fillId="4" borderId="1" xfId="18" applyNumberFormat="1" applyFont="1" applyFill="1" applyBorder="1" applyAlignment="1" applyProtection="1">
      <protection locked="0"/>
    </xf>
    <xf numFmtId="177" fontId="17" fillId="4" borderId="1" xfId="0" applyNumberFormat="1" applyFont="1" applyFill="1" applyBorder="1" applyAlignment="1" applyProtection="1">
      <protection locked="0"/>
    </xf>
    <xf numFmtId="49" fontId="13" fillId="4" borderId="1" xfId="0" applyNumberFormat="1" applyFont="1" applyFill="1" applyBorder="1" applyAlignment="1" applyProtection="1">
      <protection locked="0"/>
    </xf>
    <xf numFmtId="49" fontId="13" fillId="4" borderId="1" xfId="0" applyNumberFormat="1" applyFont="1" applyFill="1" applyBorder="1" applyAlignment="1" applyProtection="1">
      <alignment wrapText="1"/>
      <protection locked="0"/>
    </xf>
    <xf numFmtId="178" fontId="13" fillId="4" borderId="1" xfId="0" applyNumberFormat="1" applyFont="1" applyFill="1" applyBorder="1" applyAlignment="1" applyProtection="1">
      <protection locked="0"/>
    </xf>
    <xf numFmtId="178" fontId="13" fillId="4" borderId="1" xfId="18" applyNumberFormat="1" applyFont="1" applyFill="1" applyBorder="1" applyAlignment="1" applyProtection="1">
      <protection locked="0"/>
    </xf>
    <xf numFmtId="43" fontId="21" fillId="4" borderId="1" xfId="17" applyNumberFormat="1" applyFont="1" applyFill="1" applyBorder="1" applyAlignment="1" applyProtection="1">
      <alignment horizontal="right" vertical="center" shrinkToFit="1"/>
      <protection locked="0"/>
    </xf>
    <xf numFmtId="179" fontId="17" fillId="4" borderId="1" xfId="0" applyNumberFormat="1" applyFont="1" applyFill="1" applyBorder="1" applyAlignment="1" applyProtection="1">
      <protection locked="0"/>
    </xf>
    <xf numFmtId="179" fontId="17" fillId="4" borderId="1" xfId="18" applyNumberFormat="1" applyFont="1" applyFill="1" applyBorder="1" applyAlignment="1" applyProtection="1">
      <protection locked="0"/>
    </xf>
    <xf numFmtId="0" fontId="13" fillId="4" borderId="1" xfId="0" applyFont="1" applyFill="1" applyBorder="1" applyAlignment="1" applyProtection="1">
      <alignment wrapText="1"/>
      <protection locked="0"/>
    </xf>
    <xf numFmtId="0" fontId="17" fillId="4" borderId="1" xfId="0" applyFont="1" applyFill="1" applyBorder="1" applyAlignment="1" applyProtection="1">
      <alignment wrapText="1"/>
      <protection locked="0"/>
    </xf>
    <xf numFmtId="0" fontId="17" fillId="4" borderId="2" xfId="0" applyFont="1" applyFill="1" applyBorder="1" applyAlignment="1" applyProtection="1">
      <protection locked="0"/>
    </xf>
    <xf numFmtId="0" fontId="16" fillId="4" borderId="3" xfId="0" applyNumberFormat="1" applyFont="1" applyFill="1" applyBorder="1" applyAlignment="1" applyProtection="1">
      <protection locked="0"/>
    </xf>
    <xf numFmtId="49" fontId="16" fillId="4" borderId="3" xfId="0" applyNumberFormat="1" applyFont="1" applyFill="1" applyBorder="1" applyAlignment="1" applyProtection="1">
      <protection locked="0"/>
    </xf>
    <xf numFmtId="49" fontId="16" fillId="4" borderId="3" xfId="0" applyNumberFormat="1" applyFont="1" applyFill="1" applyBorder="1" applyAlignment="1" applyProtection="1">
      <alignment wrapText="1"/>
      <protection locked="0"/>
    </xf>
    <xf numFmtId="178" fontId="17" fillId="4" borderId="3" xfId="0" applyNumberFormat="1" applyFont="1" applyFill="1" applyBorder="1" applyAlignment="1" applyProtection="1"/>
    <xf numFmtId="177" fontId="17" fillId="4" borderId="3" xfId="0" applyNumberFormat="1" applyFont="1" applyFill="1" applyBorder="1" applyAlignment="1" applyProtection="1"/>
    <xf numFmtId="179" fontId="13" fillId="4" borderId="1" xfId="0" applyNumberFormat="1" applyFont="1" applyFill="1" applyBorder="1" applyAlignment="1" applyProtection="1">
      <protection locked="0"/>
    </xf>
    <xf numFmtId="179" fontId="13" fillId="4" borderId="1" xfId="18" applyNumberFormat="1" applyFont="1" applyFill="1" applyBorder="1" applyAlignment="1" applyProtection="1">
      <protection locked="0"/>
    </xf>
    <xf numFmtId="49" fontId="16" fillId="4" borderId="4" xfId="0" applyNumberFormat="1" applyFont="1" applyFill="1" applyBorder="1" applyAlignment="1" applyProtection="1">
      <alignment vertical="center"/>
      <protection locked="0"/>
    </xf>
    <xf numFmtId="0" fontId="13" fillId="4" borderId="4" xfId="0" applyFont="1" applyFill="1" applyBorder="1" applyAlignment="1" applyProtection="1">
      <alignment wrapText="1"/>
      <protection locked="0"/>
    </xf>
    <xf numFmtId="178" fontId="13" fillId="4" borderId="4" xfId="0" applyNumberFormat="1" applyFont="1" applyFill="1" applyBorder="1" applyAlignment="1" applyProtection="1">
      <protection locked="0"/>
    </xf>
    <xf numFmtId="178" fontId="13" fillId="4" borderId="4" xfId="18" applyNumberFormat="1" applyFont="1" applyFill="1" applyBorder="1" applyAlignment="1" applyProtection="1">
      <protection locked="0"/>
    </xf>
    <xf numFmtId="49" fontId="16" fillId="4" borderId="3" xfId="0" applyNumberFormat="1" applyFont="1" applyFill="1" applyBorder="1" applyAlignment="1" applyProtection="1">
      <alignment vertical="center"/>
      <protection locked="0"/>
    </xf>
    <xf numFmtId="0" fontId="13" fillId="4" borderId="3" xfId="0" applyFont="1" applyFill="1" applyBorder="1" applyAlignment="1" applyProtection="1">
      <alignment wrapText="1"/>
      <protection locked="0"/>
    </xf>
    <xf numFmtId="178" fontId="13" fillId="4" borderId="3" xfId="0" applyNumberFormat="1" applyFont="1" applyFill="1" applyBorder="1" applyAlignment="1" applyProtection="1">
      <protection locked="0"/>
    </xf>
    <xf numFmtId="178" fontId="13" fillId="4" borderId="3" xfId="18" applyNumberFormat="1" applyFont="1" applyFill="1" applyBorder="1" applyAlignment="1" applyProtection="1">
      <protection locked="0"/>
    </xf>
    <xf numFmtId="49" fontId="16" fillId="4" borderId="1" xfId="0" applyNumberFormat="1" applyFont="1" applyFill="1" applyBorder="1" applyAlignment="1" applyProtection="1">
      <alignment horizontal="left"/>
      <protection locked="0"/>
    </xf>
    <xf numFmtId="177" fontId="13" fillId="4" borderId="1" xfId="0" applyNumberFormat="1" applyFont="1" applyFill="1" applyBorder="1" applyAlignment="1" applyProtection="1">
      <protection locked="0"/>
    </xf>
    <xf numFmtId="177" fontId="13" fillId="4" borderId="1" xfId="18" applyNumberFormat="1" applyFont="1" applyFill="1" applyBorder="1" applyProtection="1">
      <protection locked="0"/>
    </xf>
    <xf numFmtId="0" fontId="13" fillId="4" borderId="0" xfId="0" applyFont="1" applyFill="1" applyAlignment="1" applyProtection="1">
      <alignment wrapText="1"/>
      <protection locked="0"/>
    </xf>
    <xf numFmtId="0" fontId="22" fillId="4" borderId="0" xfId="0" applyFont="1" applyFill="1" applyAlignment="1"/>
    <xf numFmtId="0" fontId="0" fillId="0" borderId="0" xfId="0" applyNumberFormat="1">
      <alignment vertical="center"/>
    </xf>
    <xf numFmtId="0" fontId="35" fillId="0" borderId="0" xfId="0" applyNumberFormat="1" applyFont="1" applyBorder="1" applyAlignment="1">
      <alignment horizontal="right" vertical="center"/>
    </xf>
    <xf numFmtId="0" fontId="36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177" fontId="37" fillId="0" borderId="1" xfId="0" applyNumberFormat="1" applyFont="1" applyBorder="1">
      <alignment vertical="center"/>
    </xf>
    <xf numFmtId="177" fontId="38" fillId="0" borderId="1" xfId="0" applyNumberFormat="1" applyFont="1" applyBorder="1">
      <alignment vertical="center"/>
    </xf>
    <xf numFmtId="177" fontId="36" fillId="0" borderId="1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/>
    </xf>
    <xf numFmtId="181" fontId="0" fillId="0" borderId="0" xfId="0" applyNumberFormat="1" applyAlignment="1">
      <alignment vertical="center"/>
    </xf>
    <xf numFmtId="0" fontId="35" fillId="0" borderId="2" xfId="0" applyNumberFormat="1" applyFont="1" applyBorder="1" applyAlignment="1">
      <alignment vertical="center"/>
    </xf>
    <xf numFmtId="181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12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NumberFormat="1" applyFont="1" applyFill="1" applyBorder="1" applyAlignment="1" applyProtection="1">
      <alignment horizontal="center" vertical="center"/>
      <protection locked="0"/>
    </xf>
  </cellXfs>
  <cellStyles count="19">
    <cellStyle name="百分比" xfId="17" builtinId="5"/>
    <cellStyle name="常规" xfId="0" builtinId="0"/>
    <cellStyle name="常规 10" xfId="2"/>
    <cellStyle name="常规 10 2" xfId="18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3 2" xfId="5"/>
    <cellStyle name="常规 3 2 2" xfId="10"/>
    <cellStyle name="常规 8" xfId="13"/>
    <cellStyle name="常规 8 2" xfId="15"/>
    <cellStyle name="千位分隔" xfId="16" builtinId="3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425;&#26725;&#38215;2021&#24180;&#20065;&#38215;&#32479;&#31609;&#31532;&#19968;&#27425;&#20998;&#371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虹桥镇"/>
      <sheetName val="社区教育"/>
      <sheetName val="志愿者联盟"/>
      <sheetName val="虹桥"/>
    </sheetNames>
    <sheetDataSet>
      <sheetData sheetId="0"/>
      <sheetData sheetId="1"/>
      <sheetData sheetId="2">
        <row r="3">
          <cell r="C3">
            <v>40000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sqref="A1:E13"/>
    </sheetView>
  </sheetViews>
  <sheetFormatPr defaultColWidth="9" defaultRowHeight="13.5"/>
  <cols>
    <col min="1" max="1" width="6.625" style="85" customWidth="1"/>
    <col min="2" max="2" width="23.625" style="92" customWidth="1"/>
    <col min="3" max="4" width="18.625" style="85" customWidth="1"/>
    <col min="5" max="5" width="26" style="85" customWidth="1"/>
    <col min="6" max="6" width="20.5" style="85" bestFit="1" customWidth="1"/>
    <col min="7" max="7" width="18.625" style="85" hidden="1" customWidth="1"/>
    <col min="8" max="8" width="18.375" style="85" bestFit="1" customWidth="1"/>
    <col min="9" max="9" width="14.375" style="85" hidden="1" customWidth="1"/>
    <col min="10" max="10" width="14.25" style="85" hidden="1" customWidth="1"/>
    <col min="11" max="254" width="9" style="85"/>
    <col min="255" max="255" width="6.625" style="85" customWidth="1"/>
    <col min="256" max="257" width="21.625" style="85" customWidth="1"/>
    <col min="258" max="258" width="16.125" style="85" bestFit="1" customWidth="1"/>
    <col min="259" max="259" width="13.875" style="85" bestFit="1" customWidth="1"/>
    <col min="260" max="260" width="17.25" style="85" bestFit="1" customWidth="1"/>
    <col min="261" max="262" width="20.5" style="85" bestFit="1" customWidth="1"/>
    <col min="263" max="263" width="0" style="85" hidden="1" customWidth="1"/>
    <col min="264" max="264" width="18.375" style="85" bestFit="1" customWidth="1"/>
    <col min="265" max="266" width="0" style="85" hidden="1" customWidth="1"/>
    <col min="267" max="510" width="9" style="85"/>
    <col min="511" max="511" width="6.625" style="85" customWidth="1"/>
    <col min="512" max="513" width="21.625" style="85" customWidth="1"/>
    <col min="514" max="514" width="16.125" style="85" bestFit="1" customWidth="1"/>
    <col min="515" max="515" width="13.875" style="85" bestFit="1" customWidth="1"/>
    <col min="516" max="516" width="17.25" style="85" bestFit="1" customWidth="1"/>
    <col min="517" max="518" width="20.5" style="85" bestFit="1" customWidth="1"/>
    <col min="519" max="519" width="0" style="85" hidden="1" customWidth="1"/>
    <col min="520" max="520" width="18.375" style="85" bestFit="1" customWidth="1"/>
    <col min="521" max="522" width="0" style="85" hidden="1" customWidth="1"/>
    <col min="523" max="766" width="9" style="85"/>
    <col min="767" max="767" width="6.625" style="85" customWidth="1"/>
    <col min="768" max="769" width="21.625" style="85" customWidth="1"/>
    <col min="770" max="770" width="16.125" style="85" bestFit="1" customWidth="1"/>
    <col min="771" max="771" width="13.875" style="85" bestFit="1" customWidth="1"/>
    <col min="772" max="772" width="17.25" style="85" bestFit="1" customWidth="1"/>
    <col min="773" max="774" width="20.5" style="85" bestFit="1" customWidth="1"/>
    <col min="775" max="775" width="0" style="85" hidden="1" customWidth="1"/>
    <col min="776" max="776" width="18.375" style="85" bestFit="1" customWidth="1"/>
    <col min="777" max="778" width="0" style="85" hidden="1" customWidth="1"/>
    <col min="779" max="1022" width="9" style="85"/>
    <col min="1023" max="1023" width="6.625" style="85" customWidth="1"/>
    <col min="1024" max="1025" width="21.625" style="85" customWidth="1"/>
    <col min="1026" max="1026" width="16.125" style="85" bestFit="1" customWidth="1"/>
    <col min="1027" max="1027" width="13.875" style="85" bestFit="1" customWidth="1"/>
    <col min="1028" max="1028" width="17.25" style="85" bestFit="1" customWidth="1"/>
    <col min="1029" max="1030" width="20.5" style="85" bestFit="1" customWidth="1"/>
    <col min="1031" max="1031" width="0" style="85" hidden="1" customWidth="1"/>
    <col min="1032" max="1032" width="18.375" style="85" bestFit="1" customWidth="1"/>
    <col min="1033" max="1034" width="0" style="85" hidden="1" customWidth="1"/>
    <col min="1035" max="1278" width="9" style="85"/>
    <col min="1279" max="1279" width="6.625" style="85" customWidth="1"/>
    <col min="1280" max="1281" width="21.625" style="85" customWidth="1"/>
    <col min="1282" max="1282" width="16.125" style="85" bestFit="1" customWidth="1"/>
    <col min="1283" max="1283" width="13.875" style="85" bestFit="1" customWidth="1"/>
    <col min="1284" max="1284" width="17.25" style="85" bestFit="1" customWidth="1"/>
    <col min="1285" max="1286" width="20.5" style="85" bestFit="1" customWidth="1"/>
    <col min="1287" max="1287" width="0" style="85" hidden="1" customWidth="1"/>
    <col min="1288" max="1288" width="18.375" style="85" bestFit="1" customWidth="1"/>
    <col min="1289" max="1290" width="0" style="85" hidden="1" customWidth="1"/>
    <col min="1291" max="1534" width="9" style="85"/>
    <col min="1535" max="1535" width="6.625" style="85" customWidth="1"/>
    <col min="1536" max="1537" width="21.625" style="85" customWidth="1"/>
    <col min="1538" max="1538" width="16.125" style="85" bestFit="1" customWidth="1"/>
    <col min="1539" max="1539" width="13.875" style="85" bestFit="1" customWidth="1"/>
    <col min="1540" max="1540" width="17.25" style="85" bestFit="1" customWidth="1"/>
    <col min="1541" max="1542" width="20.5" style="85" bestFit="1" customWidth="1"/>
    <col min="1543" max="1543" width="0" style="85" hidden="1" customWidth="1"/>
    <col min="1544" max="1544" width="18.375" style="85" bestFit="1" customWidth="1"/>
    <col min="1545" max="1546" width="0" style="85" hidden="1" customWidth="1"/>
    <col min="1547" max="1790" width="9" style="85"/>
    <col min="1791" max="1791" width="6.625" style="85" customWidth="1"/>
    <col min="1792" max="1793" width="21.625" style="85" customWidth="1"/>
    <col min="1794" max="1794" width="16.125" style="85" bestFit="1" customWidth="1"/>
    <col min="1795" max="1795" width="13.875" style="85" bestFit="1" customWidth="1"/>
    <col min="1796" max="1796" width="17.25" style="85" bestFit="1" customWidth="1"/>
    <col min="1797" max="1798" width="20.5" style="85" bestFit="1" customWidth="1"/>
    <col min="1799" max="1799" width="0" style="85" hidden="1" customWidth="1"/>
    <col min="1800" max="1800" width="18.375" style="85" bestFit="1" customWidth="1"/>
    <col min="1801" max="1802" width="0" style="85" hidden="1" customWidth="1"/>
    <col min="1803" max="2046" width="9" style="85"/>
    <col min="2047" max="2047" width="6.625" style="85" customWidth="1"/>
    <col min="2048" max="2049" width="21.625" style="85" customWidth="1"/>
    <col min="2050" max="2050" width="16.125" style="85" bestFit="1" customWidth="1"/>
    <col min="2051" max="2051" width="13.875" style="85" bestFit="1" customWidth="1"/>
    <col min="2052" max="2052" width="17.25" style="85" bestFit="1" customWidth="1"/>
    <col min="2053" max="2054" width="20.5" style="85" bestFit="1" customWidth="1"/>
    <col min="2055" max="2055" width="0" style="85" hidden="1" customWidth="1"/>
    <col min="2056" max="2056" width="18.375" style="85" bestFit="1" customWidth="1"/>
    <col min="2057" max="2058" width="0" style="85" hidden="1" customWidth="1"/>
    <col min="2059" max="2302" width="9" style="85"/>
    <col min="2303" max="2303" width="6.625" style="85" customWidth="1"/>
    <col min="2304" max="2305" width="21.625" style="85" customWidth="1"/>
    <col min="2306" max="2306" width="16.125" style="85" bestFit="1" customWidth="1"/>
    <col min="2307" max="2307" width="13.875" style="85" bestFit="1" customWidth="1"/>
    <col min="2308" max="2308" width="17.25" style="85" bestFit="1" customWidth="1"/>
    <col min="2309" max="2310" width="20.5" style="85" bestFit="1" customWidth="1"/>
    <col min="2311" max="2311" width="0" style="85" hidden="1" customWidth="1"/>
    <col min="2312" max="2312" width="18.375" style="85" bestFit="1" customWidth="1"/>
    <col min="2313" max="2314" width="0" style="85" hidden="1" customWidth="1"/>
    <col min="2315" max="2558" width="9" style="85"/>
    <col min="2559" max="2559" width="6.625" style="85" customWidth="1"/>
    <col min="2560" max="2561" width="21.625" style="85" customWidth="1"/>
    <col min="2562" max="2562" width="16.125" style="85" bestFit="1" customWidth="1"/>
    <col min="2563" max="2563" width="13.875" style="85" bestFit="1" customWidth="1"/>
    <col min="2564" max="2564" width="17.25" style="85" bestFit="1" customWidth="1"/>
    <col min="2565" max="2566" width="20.5" style="85" bestFit="1" customWidth="1"/>
    <col min="2567" max="2567" width="0" style="85" hidden="1" customWidth="1"/>
    <col min="2568" max="2568" width="18.375" style="85" bestFit="1" customWidth="1"/>
    <col min="2569" max="2570" width="0" style="85" hidden="1" customWidth="1"/>
    <col min="2571" max="2814" width="9" style="85"/>
    <col min="2815" max="2815" width="6.625" style="85" customWidth="1"/>
    <col min="2816" max="2817" width="21.625" style="85" customWidth="1"/>
    <col min="2818" max="2818" width="16.125" style="85" bestFit="1" customWidth="1"/>
    <col min="2819" max="2819" width="13.875" style="85" bestFit="1" customWidth="1"/>
    <col min="2820" max="2820" width="17.25" style="85" bestFit="1" customWidth="1"/>
    <col min="2821" max="2822" width="20.5" style="85" bestFit="1" customWidth="1"/>
    <col min="2823" max="2823" width="0" style="85" hidden="1" customWidth="1"/>
    <col min="2824" max="2824" width="18.375" style="85" bestFit="1" customWidth="1"/>
    <col min="2825" max="2826" width="0" style="85" hidden="1" customWidth="1"/>
    <col min="2827" max="3070" width="9" style="85"/>
    <col min="3071" max="3071" width="6.625" style="85" customWidth="1"/>
    <col min="3072" max="3073" width="21.625" style="85" customWidth="1"/>
    <col min="3074" max="3074" width="16.125" style="85" bestFit="1" customWidth="1"/>
    <col min="3075" max="3075" width="13.875" style="85" bestFit="1" customWidth="1"/>
    <col min="3076" max="3076" width="17.25" style="85" bestFit="1" customWidth="1"/>
    <col min="3077" max="3078" width="20.5" style="85" bestFit="1" customWidth="1"/>
    <col min="3079" max="3079" width="0" style="85" hidden="1" customWidth="1"/>
    <col min="3080" max="3080" width="18.375" style="85" bestFit="1" customWidth="1"/>
    <col min="3081" max="3082" width="0" style="85" hidden="1" customWidth="1"/>
    <col min="3083" max="3326" width="9" style="85"/>
    <col min="3327" max="3327" width="6.625" style="85" customWidth="1"/>
    <col min="3328" max="3329" width="21.625" style="85" customWidth="1"/>
    <col min="3330" max="3330" width="16.125" style="85" bestFit="1" customWidth="1"/>
    <col min="3331" max="3331" width="13.875" style="85" bestFit="1" customWidth="1"/>
    <col min="3332" max="3332" width="17.25" style="85" bestFit="1" customWidth="1"/>
    <col min="3333" max="3334" width="20.5" style="85" bestFit="1" customWidth="1"/>
    <col min="3335" max="3335" width="0" style="85" hidden="1" customWidth="1"/>
    <col min="3336" max="3336" width="18.375" style="85" bestFit="1" customWidth="1"/>
    <col min="3337" max="3338" width="0" style="85" hidden="1" customWidth="1"/>
    <col min="3339" max="3582" width="9" style="85"/>
    <col min="3583" max="3583" width="6.625" style="85" customWidth="1"/>
    <col min="3584" max="3585" width="21.625" style="85" customWidth="1"/>
    <col min="3586" max="3586" width="16.125" style="85" bestFit="1" customWidth="1"/>
    <col min="3587" max="3587" width="13.875" style="85" bestFit="1" customWidth="1"/>
    <col min="3588" max="3588" width="17.25" style="85" bestFit="1" customWidth="1"/>
    <col min="3589" max="3590" width="20.5" style="85" bestFit="1" customWidth="1"/>
    <col min="3591" max="3591" width="0" style="85" hidden="1" customWidth="1"/>
    <col min="3592" max="3592" width="18.375" style="85" bestFit="1" customWidth="1"/>
    <col min="3593" max="3594" width="0" style="85" hidden="1" customWidth="1"/>
    <col min="3595" max="3838" width="9" style="85"/>
    <col min="3839" max="3839" width="6.625" style="85" customWidth="1"/>
    <col min="3840" max="3841" width="21.625" style="85" customWidth="1"/>
    <col min="3842" max="3842" width="16.125" style="85" bestFit="1" customWidth="1"/>
    <col min="3843" max="3843" width="13.875" style="85" bestFit="1" customWidth="1"/>
    <col min="3844" max="3844" width="17.25" style="85" bestFit="1" customWidth="1"/>
    <col min="3845" max="3846" width="20.5" style="85" bestFit="1" customWidth="1"/>
    <col min="3847" max="3847" width="0" style="85" hidden="1" customWidth="1"/>
    <col min="3848" max="3848" width="18.375" style="85" bestFit="1" customWidth="1"/>
    <col min="3849" max="3850" width="0" style="85" hidden="1" customWidth="1"/>
    <col min="3851" max="4094" width="9" style="85"/>
    <col min="4095" max="4095" width="6.625" style="85" customWidth="1"/>
    <col min="4096" max="4097" width="21.625" style="85" customWidth="1"/>
    <col min="4098" max="4098" width="16.125" style="85" bestFit="1" customWidth="1"/>
    <col min="4099" max="4099" width="13.875" style="85" bestFit="1" customWidth="1"/>
    <col min="4100" max="4100" width="17.25" style="85" bestFit="1" customWidth="1"/>
    <col min="4101" max="4102" width="20.5" style="85" bestFit="1" customWidth="1"/>
    <col min="4103" max="4103" width="0" style="85" hidden="1" customWidth="1"/>
    <col min="4104" max="4104" width="18.375" style="85" bestFit="1" customWidth="1"/>
    <col min="4105" max="4106" width="0" style="85" hidden="1" customWidth="1"/>
    <col min="4107" max="4350" width="9" style="85"/>
    <col min="4351" max="4351" width="6.625" style="85" customWidth="1"/>
    <col min="4352" max="4353" width="21.625" style="85" customWidth="1"/>
    <col min="4354" max="4354" width="16.125" style="85" bestFit="1" customWidth="1"/>
    <col min="4355" max="4355" width="13.875" style="85" bestFit="1" customWidth="1"/>
    <col min="4356" max="4356" width="17.25" style="85" bestFit="1" customWidth="1"/>
    <col min="4357" max="4358" width="20.5" style="85" bestFit="1" customWidth="1"/>
    <col min="4359" max="4359" width="0" style="85" hidden="1" customWidth="1"/>
    <col min="4360" max="4360" width="18.375" style="85" bestFit="1" customWidth="1"/>
    <col min="4361" max="4362" width="0" style="85" hidden="1" customWidth="1"/>
    <col min="4363" max="4606" width="9" style="85"/>
    <col min="4607" max="4607" width="6.625" style="85" customWidth="1"/>
    <col min="4608" max="4609" width="21.625" style="85" customWidth="1"/>
    <col min="4610" max="4610" width="16.125" style="85" bestFit="1" customWidth="1"/>
    <col min="4611" max="4611" width="13.875" style="85" bestFit="1" customWidth="1"/>
    <col min="4612" max="4612" width="17.25" style="85" bestFit="1" customWidth="1"/>
    <col min="4613" max="4614" width="20.5" style="85" bestFit="1" customWidth="1"/>
    <col min="4615" max="4615" width="0" style="85" hidden="1" customWidth="1"/>
    <col min="4616" max="4616" width="18.375" style="85" bestFit="1" customWidth="1"/>
    <col min="4617" max="4618" width="0" style="85" hidden="1" customWidth="1"/>
    <col min="4619" max="4862" width="9" style="85"/>
    <col min="4863" max="4863" width="6.625" style="85" customWidth="1"/>
    <col min="4864" max="4865" width="21.625" style="85" customWidth="1"/>
    <col min="4866" max="4866" width="16.125" style="85" bestFit="1" customWidth="1"/>
    <col min="4867" max="4867" width="13.875" style="85" bestFit="1" customWidth="1"/>
    <col min="4868" max="4868" width="17.25" style="85" bestFit="1" customWidth="1"/>
    <col min="4869" max="4870" width="20.5" style="85" bestFit="1" customWidth="1"/>
    <col min="4871" max="4871" width="0" style="85" hidden="1" customWidth="1"/>
    <col min="4872" max="4872" width="18.375" style="85" bestFit="1" customWidth="1"/>
    <col min="4873" max="4874" width="0" style="85" hidden="1" customWidth="1"/>
    <col min="4875" max="5118" width="9" style="85"/>
    <col min="5119" max="5119" width="6.625" style="85" customWidth="1"/>
    <col min="5120" max="5121" width="21.625" style="85" customWidth="1"/>
    <col min="5122" max="5122" width="16.125" style="85" bestFit="1" customWidth="1"/>
    <col min="5123" max="5123" width="13.875" style="85" bestFit="1" customWidth="1"/>
    <col min="5124" max="5124" width="17.25" style="85" bestFit="1" customWidth="1"/>
    <col min="5125" max="5126" width="20.5" style="85" bestFit="1" customWidth="1"/>
    <col min="5127" max="5127" width="0" style="85" hidden="1" customWidth="1"/>
    <col min="5128" max="5128" width="18.375" style="85" bestFit="1" customWidth="1"/>
    <col min="5129" max="5130" width="0" style="85" hidden="1" customWidth="1"/>
    <col min="5131" max="5374" width="9" style="85"/>
    <col min="5375" max="5375" width="6.625" style="85" customWidth="1"/>
    <col min="5376" max="5377" width="21.625" style="85" customWidth="1"/>
    <col min="5378" max="5378" width="16.125" style="85" bestFit="1" customWidth="1"/>
    <col min="5379" max="5379" width="13.875" style="85" bestFit="1" customWidth="1"/>
    <col min="5380" max="5380" width="17.25" style="85" bestFit="1" customWidth="1"/>
    <col min="5381" max="5382" width="20.5" style="85" bestFit="1" customWidth="1"/>
    <col min="5383" max="5383" width="0" style="85" hidden="1" customWidth="1"/>
    <col min="5384" max="5384" width="18.375" style="85" bestFit="1" customWidth="1"/>
    <col min="5385" max="5386" width="0" style="85" hidden="1" customWidth="1"/>
    <col min="5387" max="5630" width="9" style="85"/>
    <col min="5631" max="5631" width="6.625" style="85" customWidth="1"/>
    <col min="5632" max="5633" width="21.625" style="85" customWidth="1"/>
    <col min="5634" max="5634" width="16.125" style="85" bestFit="1" customWidth="1"/>
    <col min="5635" max="5635" width="13.875" style="85" bestFit="1" customWidth="1"/>
    <col min="5636" max="5636" width="17.25" style="85" bestFit="1" customWidth="1"/>
    <col min="5637" max="5638" width="20.5" style="85" bestFit="1" customWidth="1"/>
    <col min="5639" max="5639" width="0" style="85" hidden="1" customWidth="1"/>
    <col min="5640" max="5640" width="18.375" style="85" bestFit="1" customWidth="1"/>
    <col min="5641" max="5642" width="0" style="85" hidden="1" customWidth="1"/>
    <col min="5643" max="5886" width="9" style="85"/>
    <col min="5887" max="5887" width="6.625" style="85" customWidth="1"/>
    <col min="5888" max="5889" width="21.625" style="85" customWidth="1"/>
    <col min="5890" max="5890" width="16.125" style="85" bestFit="1" customWidth="1"/>
    <col min="5891" max="5891" width="13.875" style="85" bestFit="1" customWidth="1"/>
    <col min="5892" max="5892" width="17.25" style="85" bestFit="1" customWidth="1"/>
    <col min="5893" max="5894" width="20.5" style="85" bestFit="1" customWidth="1"/>
    <col min="5895" max="5895" width="0" style="85" hidden="1" customWidth="1"/>
    <col min="5896" max="5896" width="18.375" style="85" bestFit="1" customWidth="1"/>
    <col min="5897" max="5898" width="0" style="85" hidden="1" customWidth="1"/>
    <col min="5899" max="6142" width="9" style="85"/>
    <col min="6143" max="6143" width="6.625" style="85" customWidth="1"/>
    <col min="6144" max="6145" width="21.625" style="85" customWidth="1"/>
    <col min="6146" max="6146" width="16.125" style="85" bestFit="1" customWidth="1"/>
    <col min="6147" max="6147" width="13.875" style="85" bestFit="1" customWidth="1"/>
    <col min="6148" max="6148" width="17.25" style="85" bestFit="1" customWidth="1"/>
    <col min="6149" max="6150" width="20.5" style="85" bestFit="1" customWidth="1"/>
    <col min="6151" max="6151" width="0" style="85" hidden="1" customWidth="1"/>
    <col min="6152" max="6152" width="18.375" style="85" bestFit="1" customWidth="1"/>
    <col min="6153" max="6154" width="0" style="85" hidden="1" customWidth="1"/>
    <col min="6155" max="6398" width="9" style="85"/>
    <col min="6399" max="6399" width="6.625" style="85" customWidth="1"/>
    <col min="6400" max="6401" width="21.625" style="85" customWidth="1"/>
    <col min="6402" max="6402" width="16.125" style="85" bestFit="1" customWidth="1"/>
    <col min="6403" max="6403" width="13.875" style="85" bestFit="1" customWidth="1"/>
    <col min="6404" max="6404" width="17.25" style="85" bestFit="1" customWidth="1"/>
    <col min="6405" max="6406" width="20.5" style="85" bestFit="1" customWidth="1"/>
    <col min="6407" max="6407" width="0" style="85" hidden="1" customWidth="1"/>
    <col min="6408" max="6408" width="18.375" style="85" bestFit="1" customWidth="1"/>
    <col min="6409" max="6410" width="0" style="85" hidden="1" customWidth="1"/>
    <col min="6411" max="6654" width="9" style="85"/>
    <col min="6655" max="6655" width="6.625" style="85" customWidth="1"/>
    <col min="6656" max="6657" width="21.625" style="85" customWidth="1"/>
    <col min="6658" max="6658" width="16.125" style="85" bestFit="1" customWidth="1"/>
    <col min="6659" max="6659" width="13.875" style="85" bestFit="1" customWidth="1"/>
    <col min="6660" max="6660" width="17.25" style="85" bestFit="1" customWidth="1"/>
    <col min="6661" max="6662" width="20.5" style="85" bestFit="1" customWidth="1"/>
    <col min="6663" max="6663" width="0" style="85" hidden="1" customWidth="1"/>
    <col min="6664" max="6664" width="18.375" style="85" bestFit="1" customWidth="1"/>
    <col min="6665" max="6666" width="0" style="85" hidden="1" customWidth="1"/>
    <col min="6667" max="6910" width="9" style="85"/>
    <col min="6911" max="6911" width="6.625" style="85" customWidth="1"/>
    <col min="6912" max="6913" width="21.625" style="85" customWidth="1"/>
    <col min="6914" max="6914" width="16.125" style="85" bestFit="1" customWidth="1"/>
    <col min="6915" max="6915" width="13.875" style="85" bestFit="1" customWidth="1"/>
    <col min="6916" max="6916" width="17.25" style="85" bestFit="1" customWidth="1"/>
    <col min="6917" max="6918" width="20.5" style="85" bestFit="1" customWidth="1"/>
    <col min="6919" max="6919" width="0" style="85" hidden="1" customWidth="1"/>
    <col min="6920" max="6920" width="18.375" style="85" bestFit="1" customWidth="1"/>
    <col min="6921" max="6922" width="0" style="85" hidden="1" customWidth="1"/>
    <col min="6923" max="7166" width="9" style="85"/>
    <col min="7167" max="7167" width="6.625" style="85" customWidth="1"/>
    <col min="7168" max="7169" width="21.625" style="85" customWidth="1"/>
    <col min="7170" max="7170" width="16.125" style="85" bestFit="1" customWidth="1"/>
    <col min="7171" max="7171" width="13.875" style="85" bestFit="1" customWidth="1"/>
    <col min="7172" max="7172" width="17.25" style="85" bestFit="1" customWidth="1"/>
    <col min="7173" max="7174" width="20.5" style="85" bestFit="1" customWidth="1"/>
    <col min="7175" max="7175" width="0" style="85" hidden="1" customWidth="1"/>
    <col min="7176" max="7176" width="18.375" style="85" bestFit="1" customWidth="1"/>
    <col min="7177" max="7178" width="0" style="85" hidden="1" customWidth="1"/>
    <col min="7179" max="7422" width="9" style="85"/>
    <col min="7423" max="7423" width="6.625" style="85" customWidth="1"/>
    <col min="7424" max="7425" width="21.625" style="85" customWidth="1"/>
    <col min="7426" max="7426" width="16.125" style="85" bestFit="1" customWidth="1"/>
    <col min="7427" max="7427" width="13.875" style="85" bestFit="1" customWidth="1"/>
    <col min="7428" max="7428" width="17.25" style="85" bestFit="1" customWidth="1"/>
    <col min="7429" max="7430" width="20.5" style="85" bestFit="1" customWidth="1"/>
    <col min="7431" max="7431" width="0" style="85" hidden="1" customWidth="1"/>
    <col min="7432" max="7432" width="18.375" style="85" bestFit="1" customWidth="1"/>
    <col min="7433" max="7434" width="0" style="85" hidden="1" customWidth="1"/>
    <col min="7435" max="7678" width="9" style="85"/>
    <col min="7679" max="7679" width="6.625" style="85" customWidth="1"/>
    <col min="7680" max="7681" width="21.625" style="85" customWidth="1"/>
    <col min="7682" max="7682" width="16.125" style="85" bestFit="1" customWidth="1"/>
    <col min="7683" max="7683" width="13.875" style="85" bestFit="1" customWidth="1"/>
    <col min="7684" max="7684" width="17.25" style="85" bestFit="1" customWidth="1"/>
    <col min="7685" max="7686" width="20.5" style="85" bestFit="1" customWidth="1"/>
    <col min="7687" max="7687" width="0" style="85" hidden="1" customWidth="1"/>
    <col min="7688" max="7688" width="18.375" style="85" bestFit="1" customWidth="1"/>
    <col min="7689" max="7690" width="0" style="85" hidden="1" customWidth="1"/>
    <col min="7691" max="7934" width="9" style="85"/>
    <col min="7935" max="7935" width="6.625" style="85" customWidth="1"/>
    <col min="7936" max="7937" width="21.625" style="85" customWidth="1"/>
    <col min="7938" max="7938" width="16.125" style="85" bestFit="1" customWidth="1"/>
    <col min="7939" max="7939" width="13.875" style="85" bestFit="1" customWidth="1"/>
    <col min="7940" max="7940" width="17.25" style="85" bestFit="1" customWidth="1"/>
    <col min="7941" max="7942" width="20.5" style="85" bestFit="1" customWidth="1"/>
    <col min="7943" max="7943" width="0" style="85" hidden="1" customWidth="1"/>
    <col min="7944" max="7944" width="18.375" style="85" bestFit="1" customWidth="1"/>
    <col min="7945" max="7946" width="0" style="85" hidden="1" customWidth="1"/>
    <col min="7947" max="8190" width="9" style="85"/>
    <col min="8191" max="8191" width="6.625" style="85" customWidth="1"/>
    <col min="8192" max="8193" width="21.625" style="85" customWidth="1"/>
    <col min="8194" max="8194" width="16.125" style="85" bestFit="1" customWidth="1"/>
    <col min="8195" max="8195" width="13.875" style="85" bestFit="1" customWidth="1"/>
    <col min="8196" max="8196" width="17.25" style="85" bestFit="1" customWidth="1"/>
    <col min="8197" max="8198" width="20.5" style="85" bestFit="1" customWidth="1"/>
    <col min="8199" max="8199" width="0" style="85" hidden="1" customWidth="1"/>
    <col min="8200" max="8200" width="18.375" style="85" bestFit="1" customWidth="1"/>
    <col min="8201" max="8202" width="0" style="85" hidden="1" customWidth="1"/>
    <col min="8203" max="8446" width="9" style="85"/>
    <col min="8447" max="8447" width="6.625" style="85" customWidth="1"/>
    <col min="8448" max="8449" width="21.625" style="85" customWidth="1"/>
    <col min="8450" max="8450" width="16.125" style="85" bestFit="1" customWidth="1"/>
    <col min="8451" max="8451" width="13.875" style="85" bestFit="1" customWidth="1"/>
    <col min="8452" max="8452" width="17.25" style="85" bestFit="1" customWidth="1"/>
    <col min="8453" max="8454" width="20.5" style="85" bestFit="1" customWidth="1"/>
    <col min="8455" max="8455" width="0" style="85" hidden="1" customWidth="1"/>
    <col min="8456" max="8456" width="18.375" style="85" bestFit="1" customWidth="1"/>
    <col min="8457" max="8458" width="0" style="85" hidden="1" customWidth="1"/>
    <col min="8459" max="8702" width="9" style="85"/>
    <col min="8703" max="8703" width="6.625" style="85" customWidth="1"/>
    <col min="8704" max="8705" width="21.625" style="85" customWidth="1"/>
    <col min="8706" max="8706" width="16.125" style="85" bestFit="1" customWidth="1"/>
    <col min="8707" max="8707" width="13.875" style="85" bestFit="1" customWidth="1"/>
    <col min="8708" max="8708" width="17.25" style="85" bestFit="1" customWidth="1"/>
    <col min="8709" max="8710" width="20.5" style="85" bestFit="1" customWidth="1"/>
    <col min="8711" max="8711" width="0" style="85" hidden="1" customWidth="1"/>
    <col min="8712" max="8712" width="18.375" style="85" bestFit="1" customWidth="1"/>
    <col min="8713" max="8714" width="0" style="85" hidden="1" customWidth="1"/>
    <col min="8715" max="8958" width="9" style="85"/>
    <col min="8959" max="8959" width="6.625" style="85" customWidth="1"/>
    <col min="8960" max="8961" width="21.625" style="85" customWidth="1"/>
    <col min="8962" max="8962" width="16.125" style="85" bestFit="1" customWidth="1"/>
    <col min="8963" max="8963" width="13.875" style="85" bestFit="1" customWidth="1"/>
    <col min="8964" max="8964" width="17.25" style="85" bestFit="1" customWidth="1"/>
    <col min="8965" max="8966" width="20.5" style="85" bestFit="1" customWidth="1"/>
    <col min="8967" max="8967" width="0" style="85" hidden="1" customWidth="1"/>
    <col min="8968" max="8968" width="18.375" style="85" bestFit="1" customWidth="1"/>
    <col min="8969" max="8970" width="0" style="85" hidden="1" customWidth="1"/>
    <col min="8971" max="9214" width="9" style="85"/>
    <col min="9215" max="9215" width="6.625" style="85" customWidth="1"/>
    <col min="9216" max="9217" width="21.625" style="85" customWidth="1"/>
    <col min="9218" max="9218" width="16.125" style="85" bestFit="1" customWidth="1"/>
    <col min="9219" max="9219" width="13.875" style="85" bestFit="1" customWidth="1"/>
    <col min="9220" max="9220" width="17.25" style="85" bestFit="1" customWidth="1"/>
    <col min="9221" max="9222" width="20.5" style="85" bestFit="1" customWidth="1"/>
    <col min="9223" max="9223" width="0" style="85" hidden="1" customWidth="1"/>
    <col min="9224" max="9224" width="18.375" style="85" bestFit="1" customWidth="1"/>
    <col min="9225" max="9226" width="0" style="85" hidden="1" customWidth="1"/>
    <col min="9227" max="9470" width="9" style="85"/>
    <col min="9471" max="9471" width="6.625" style="85" customWidth="1"/>
    <col min="9472" max="9473" width="21.625" style="85" customWidth="1"/>
    <col min="9474" max="9474" width="16.125" style="85" bestFit="1" customWidth="1"/>
    <col min="9475" max="9475" width="13.875" style="85" bestFit="1" customWidth="1"/>
    <col min="9476" max="9476" width="17.25" style="85" bestFit="1" customWidth="1"/>
    <col min="9477" max="9478" width="20.5" style="85" bestFit="1" customWidth="1"/>
    <col min="9479" max="9479" width="0" style="85" hidden="1" customWidth="1"/>
    <col min="9480" max="9480" width="18.375" style="85" bestFit="1" customWidth="1"/>
    <col min="9481" max="9482" width="0" style="85" hidden="1" customWidth="1"/>
    <col min="9483" max="9726" width="9" style="85"/>
    <col min="9727" max="9727" width="6.625" style="85" customWidth="1"/>
    <col min="9728" max="9729" width="21.625" style="85" customWidth="1"/>
    <col min="9730" max="9730" width="16.125" style="85" bestFit="1" customWidth="1"/>
    <col min="9731" max="9731" width="13.875" style="85" bestFit="1" customWidth="1"/>
    <col min="9732" max="9732" width="17.25" style="85" bestFit="1" customWidth="1"/>
    <col min="9733" max="9734" width="20.5" style="85" bestFit="1" customWidth="1"/>
    <col min="9735" max="9735" width="0" style="85" hidden="1" customWidth="1"/>
    <col min="9736" max="9736" width="18.375" style="85" bestFit="1" customWidth="1"/>
    <col min="9737" max="9738" width="0" style="85" hidden="1" customWidth="1"/>
    <col min="9739" max="9982" width="9" style="85"/>
    <col min="9983" max="9983" width="6.625" style="85" customWidth="1"/>
    <col min="9984" max="9985" width="21.625" style="85" customWidth="1"/>
    <col min="9986" max="9986" width="16.125" style="85" bestFit="1" customWidth="1"/>
    <col min="9987" max="9987" width="13.875" style="85" bestFit="1" customWidth="1"/>
    <col min="9988" max="9988" width="17.25" style="85" bestFit="1" customWidth="1"/>
    <col min="9989" max="9990" width="20.5" style="85" bestFit="1" customWidth="1"/>
    <col min="9991" max="9991" width="0" style="85" hidden="1" customWidth="1"/>
    <col min="9992" max="9992" width="18.375" style="85" bestFit="1" customWidth="1"/>
    <col min="9993" max="9994" width="0" style="85" hidden="1" customWidth="1"/>
    <col min="9995" max="10238" width="9" style="85"/>
    <col min="10239" max="10239" width="6.625" style="85" customWidth="1"/>
    <col min="10240" max="10241" width="21.625" style="85" customWidth="1"/>
    <col min="10242" max="10242" width="16.125" style="85" bestFit="1" customWidth="1"/>
    <col min="10243" max="10243" width="13.875" style="85" bestFit="1" customWidth="1"/>
    <col min="10244" max="10244" width="17.25" style="85" bestFit="1" customWidth="1"/>
    <col min="10245" max="10246" width="20.5" style="85" bestFit="1" customWidth="1"/>
    <col min="10247" max="10247" width="0" style="85" hidden="1" customWidth="1"/>
    <col min="10248" max="10248" width="18.375" style="85" bestFit="1" customWidth="1"/>
    <col min="10249" max="10250" width="0" style="85" hidden="1" customWidth="1"/>
    <col min="10251" max="10494" width="9" style="85"/>
    <col min="10495" max="10495" width="6.625" style="85" customWidth="1"/>
    <col min="10496" max="10497" width="21.625" style="85" customWidth="1"/>
    <col min="10498" max="10498" width="16.125" style="85" bestFit="1" customWidth="1"/>
    <col min="10499" max="10499" width="13.875" style="85" bestFit="1" customWidth="1"/>
    <col min="10500" max="10500" width="17.25" style="85" bestFit="1" customWidth="1"/>
    <col min="10501" max="10502" width="20.5" style="85" bestFit="1" customWidth="1"/>
    <col min="10503" max="10503" width="0" style="85" hidden="1" customWidth="1"/>
    <col min="10504" max="10504" width="18.375" style="85" bestFit="1" customWidth="1"/>
    <col min="10505" max="10506" width="0" style="85" hidden="1" customWidth="1"/>
    <col min="10507" max="10750" width="9" style="85"/>
    <col min="10751" max="10751" width="6.625" style="85" customWidth="1"/>
    <col min="10752" max="10753" width="21.625" style="85" customWidth="1"/>
    <col min="10754" max="10754" width="16.125" style="85" bestFit="1" customWidth="1"/>
    <col min="10755" max="10755" width="13.875" style="85" bestFit="1" customWidth="1"/>
    <col min="10756" max="10756" width="17.25" style="85" bestFit="1" customWidth="1"/>
    <col min="10757" max="10758" width="20.5" style="85" bestFit="1" customWidth="1"/>
    <col min="10759" max="10759" width="0" style="85" hidden="1" customWidth="1"/>
    <col min="10760" max="10760" width="18.375" style="85" bestFit="1" customWidth="1"/>
    <col min="10761" max="10762" width="0" style="85" hidden="1" customWidth="1"/>
    <col min="10763" max="11006" width="9" style="85"/>
    <col min="11007" max="11007" width="6.625" style="85" customWidth="1"/>
    <col min="11008" max="11009" width="21.625" style="85" customWidth="1"/>
    <col min="11010" max="11010" width="16.125" style="85" bestFit="1" customWidth="1"/>
    <col min="11011" max="11011" width="13.875" style="85" bestFit="1" customWidth="1"/>
    <col min="11012" max="11012" width="17.25" style="85" bestFit="1" customWidth="1"/>
    <col min="11013" max="11014" width="20.5" style="85" bestFit="1" customWidth="1"/>
    <col min="11015" max="11015" width="0" style="85" hidden="1" customWidth="1"/>
    <col min="11016" max="11016" width="18.375" style="85" bestFit="1" customWidth="1"/>
    <col min="11017" max="11018" width="0" style="85" hidden="1" customWidth="1"/>
    <col min="11019" max="11262" width="9" style="85"/>
    <col min="11263" max="11263" width="6.625" style="85" customWidth="1"/>
    <col min="11264" max="11265" width="21.625" style="85" customWidth="1"/>
    <col min="11266" max="11266" width="16.125" style="85" bestFit="1" customWidth="1"/>
    <col min="11267" max="11267" width="13.875" style="85" bestFit="1" customWidth="1"/>
    <col min="11268" max="11268" width="17.25" style="85" bestFit="1" customWidth="1"/>
    <col min="11269" max="11270" width="20.5" style="85" bestFit="1" customWidth="1"/>
    <col min="11271" max="11271" width="0" style="85" hidden="1" customWidth="1"/>
    <col min="11272" max="11272" width="18.375" style="85" bestFit="1" customWidth="1"/>
    <col min="11273" max="11274" width="0" style="85" hidden="1" customWidth="1"/>
    <col min="11275" max="11518" width="9" style="85"/>
    <col min="11519" max="11519" width="6.625" style="85" customWidth="1"/>
    <col min="11520" max="11521" width="21.625" style="85" customWidth="1"/>
    <col min="11522" max="11522" width="16.125" style="85" bestFit="1" customWidth="1"/>
    <col min="11523" max="11523" width="13.875" style="85" bestFit="1" customWidth="1"/>
    <col min="11524" max="11524" width="17.25" style="85" bestFit="1" customWidth="1"/>
    <col min="11525" max="11526" width="20.5" style="85" bestFit="1" customWidth="1"/>
    <col min="11527" max="11527" width="0" style="85" hidden="1" customWidth="1"/>
    <col min="11528" max="11528" width="18.375" style="85" bestFit="1" customWidth="1"/>
    <col min="11529" max="11530" width="0" style="85" hidden="1" customWidth="1"/>
    <col min="11531" max="11774" width="9" style="85"/>
    <col min="11775" max="11775" width="6.625" style="85" customWidth="1"/>
    <col min="11776" max="11777" width="21.625" style="85" customWidth="1"/>
    <col min="11778" max="11778" width="16.125" style="85" bestFit="1" customWidth="1"/>
    <col min="11779" max="11779" width="13.875" style="85" bestFit="1" customWidth="1"/>
    <col min="11780" max="11780" width="17.25" style="85" bestFit="1" customWidth="1"/>
    <col min="11781" max="11782" width="20.5" style="85" bestFit="1" customWidth="1"/>
    <col min="11783" max="11783" width="0" style="85" hidden="1" customWidth="1"/>
    <col min="11784" max="11784" width="18.375" style="85" bestFit="1" customWidth="1"/>
    <col min="11785" max="11786" width="0" style="85" hidden="1" customWidth="1"/>
    <col min="11787" max="12030" width="9" style="85"/>
    <col min="12031" max="12031" width="6.625" style="85" customWidth="1"/>
    <col min="12032" max="12033" width="21.625" style="85" customWidth="1"/>
    <col min="12034" max="12034" width="16.125" style="85" bestFit="1" customWidth="1"/>
    <col min="12035" max="12035" width="13.875" style="85" bestFit="1" customWidth="1"/>
    <col min="12036" max="12036" width="17.25" style="85" bestFit="1" customWidth="1"/>
    <col min="12037" max="12038" width="20.5" style="85" bestFit="1" customWidth="1"/>
    <col min="12039" max="12039" width="0" style="85" hidden="1" customWidth="1"/>
    <col min="12040" max="12040" width="18.375" style="85" bestFit="1" customWidth="1"/>
    <col min="12041" max="12042" width="0" style="85" hidden="1" customWidth="1"/>
    <col min="12043" max="12286" width="9" style="85"/>
    <col min="12287" max="12287" width="6.625" style="85" customWidth="1"/>
    <col min="12288" max="12289" width="21.625" style="85" customWidth="1"/>
    <col min="12290" max="12290" width="16.125" style="85" bestFit="1" customWidth="1"/>
    <col min="12291" max="12291" width="13.875" style="85" bestFit="1" customWidth="1"/>
    <col min="12292" max="12292" width="17.25" style="85" bestFit="1" customWidth="1"/>
    <col min="12293" max="12294" width="20.5" style="85" bestFit="1" customWidth="1"/>
    <col min="12295" max="12295" width="0" style="85" hidden="1" customWidth="1"/>
    <col min="12296" max="12296" width="18.375" style="85" bestFit="1" customWidth="1"/>
    <col min="12297" max="12298" width="0" style="85" hidden="1" customWidth="1"/>
    <col min="12299" max="12542" width="9" style="85"/>
    <col min="12543" max="12543" width="6.625" style="85" customWidth="1"/>
    <col min="12544" max="12545" width="21.625" style="85" customWidth="1"/>
    <col min="12546" max="12546" width="16.125" style="85" bestFit="1" customWidth="1"/>
    <col min="12547" max="12547" width="13.875" style="85" bestFit="1" customWidth="1"/>
    <col min="12548" max="12548" width="17.25" style="85" bestFit="1" customWidth="1"/>
    <col min="12549" max="12550" width="20.5" style="85" bestFit="1" customWidth="1"/>
    <col min="12551" max="12551" width="0" style="85" hidden="1" customWidth="1"/>
    <col min="12552" max="12552" width="18.375" style="85" bestFit="1" customWidth="1"/>
    <col min="12553" max="12554" width="0" style="85" hidden="1" customWidth="1"/>
    <col min="12555" max="12798" width="9" style="85"/>
    <col min="12799" max="12799" width="6.625" style="85" customWidth="1"/>
    <col min="12800" max="12801" width="21.625" style="85" customWidth="1"/>
    <col min="12802" max="12802" width="16.125" style="85" bestFit="1" customWidth="1"/>
    <col min="12803" max="12803" width="13.875" style="85" bestFit="1" customWidth="1"/>
    <col min="12804" max="12804" width="17.25" style="85" bestFit="1" customWidth="1"/>
    <col min="12805" max="12806" width="20.5" style="85" bestFit="1" customWidth="1"/>
    <col min="12807" max="12807" width="0" style="85" hidden="1" customWidth="1"/>
    <col min="12808" max="12808" width="18.375" style="85" bestFit="1" customWidth="1"/>
    <col min="12809" max="12810" width="0" style="85" hidden="1" customWidth="1"/>
    <col min="12811" max="13054" width="9" style="85"/>
    <col min="13055" max="13055" width="6.625" style="85" customWidth="1"/>
    <col min="13056" max="13057" width="21.625" style="85" customWidth="1"/>
    <col min="13058" max="13058" width="16.125" style="85" bestFit="1" customWidth="1"/>
    <col min="13059" max="13059" width="13.875" style="85" bestFit="1" customWidth="1"/>
    <col min="13060" max="13060" width="17.25" style="85" bestFit="1" customWidth="1"/>
    <col min="13061" max="13062" width="20.5" style="85" bestFit="1" customWidth="1"/>
    <col min="13063" max="13063" width="0" style="85" hidden="1" customWidth="1"/>
    <col min="13064" max="13064" width="18.375" style="85" bestFit="1" customWidth="1"/>
    <col min="13065" max="13066" width="0" style="85" hidden="1" customWidth="1"/>
    <col min="13067" max="13310" width="9" style="85"/>
    <col min="13311" max="13311" width="6.625" style="85" customWidth="1"/>
    <col min="13312" max="13313" width="21.625" style="85" customWidth="1"/>
    <col min="13314" max="13314" width="16.125" style="85" bestFit="1" customWidth="1"/>
    <col min="13315" max="13315" width="13.875" style="85" bestFit="1" customWidth="1"/>
    <col min="13316" max="13316" width="17.25" style="85" bestFit="1" customWidth="1"/>
    <col min="13317" max="13318" width="20.5" style="85" bestFit="1" customWidth="1"/>
    <col min="13319" max="13319" width="0" style="85" hidden="1" customWidth="1"/>
    <col min="13320" max="13320" width="18.375" style="85" bestFit="1" customWidth="1"/>
    <col min="13321" max="13322" width="0" style="85" hidden="1" customWidth="1"/>
    <col min="13323" max="13566" width="9" style="85"/>
    <col min="13567" max="13567" width="6.625" style="85" customWidth="1"/>
    <col min="13568" max="13569" width="21.625" style="85" customWidth="1"/>
    <col min="13570" max="13570" width="16.125" style="85" bestFit="1" customWidth="1"/>
    <col min="13571" max="13571" width="13.875" style="85" bestFit="1" customWidth="1"/>
    <col min="13572" max="13572" width="17.25" style="85" bestFit="1" customWidth="1"/>
    <col min="13573" max="13574" width="20.5" style="85" bestFit="1" customWidth="1"/>
    <col min="13575" max="13575" width="0" style="85" hidden="1" customWidth="1"/>
    <col min="13576" max="13576" width="18.375" style="85" bestFit="1" customWidth="1"/>
    <col min="13577" max="13578" width="0" style="85" hidden="1" customWidth="1"/>
    <col min="13579" max="13822" width="9" style="85"/>
    <col min="13823" max="13823" width="6.625" style="85" customWidth="1"/>
    <col min="13824" max="13825" width="21.625" style="85" customWidth="1"/>
    <col min="13826" max="13826" width="16.125" style="85" bestFit="1" customWidth="1"/>
    <col min="13827" max="13827" width="13.875" style="85" bestFit="1" customWidth="1"/>
    <col min="13828" max="13828" width="17.25" style="85" bestFit="1" customWidth="1"/>
    <col min="13829" max="13830" width="20.5" style="85" bestFit="1" customWidth="1"/>
    <col min="13831" max="13831" width="0" style="85" hidden="1" customWidth="1"/>
    <col min="13832" max="13832" width="18.375" style="85" bestFit="1" customWidth="1"/>
    <col min="13833" max="13834" width="0" style="85" hidden="1" customWidth="1"/>
    <col min="13835" max="14078" width="9" style="85"/>
    <col min="14079" max="14079" width="6.625" style="85" customWidth="1"/>
    <col min="14080" max="14081" width="21.625" style="85" customWidth="1"/>
    <col min="14082" max="14082" width="16.125" style="85" bestFit="1" customWidth="1"/>
    <col min="14083" max="14083" width="13.875" style="85" bestFit="1" customWidth="1"/>
    <col min="14084" max="14084" width="17.25" style="85" bestFit="1" customWidth="1"/>
    <col min="14085" max="14086" width="20.5" style="85" bestFit="1" customWidth="1"/>
    <col min="14087" max="14087" width="0" style="85" hidden="1" customWidth="1"/>
    <col min="14088" max="14088" width="18.375" style="85" bestFit="1" customWidth="1"/>
    <col min="14089" max="14090" width="0" style="85" hidden="1" customWidth="1"/>
    <col min="14091" max="14334" width="9" style="85"/>
    <col min="14335" max="14335" width="6.625" style="85" customWidth="1"/>
    <col min="14336" max="14337" width="21.625" style="85" customWidth="1"/>
    <col min="14338" max="14338" width="16.125" style="85" bestFit="1" customWidth="1"/>
    <col min="14339" max="14339" width="13.875" style="85" bestFit="1" customWidth="1"/>
    <col min="14340" max="14340" width="17.25" style="85" bestFit="1" customWidth="1"/>
    <col min="14341" max="14342" width="20.5" style="85" bestFit="1" customWidth="1"/>
    <col min="14343" max="14343" width="0" style="85" hidden="1" customWidth="1"/>
    <col min="14344" max="14344" width="18.375" style="85" bestFit="1" customWidth="1"/>
    <col min="14345" max="14346" width="0" style="85" hidden="1" customWidth="1"/>
    <col min="14347" max="14590" width="9" style="85"/>
    <col min="14591" max="14591" width="6.625" style="85" customWidth="1"/>
    <col min="14592" max="14593" width="21.625" style="85" customWidth="1"/>
    <col min="14594" max="14594" width="16.125" style="85" bestFit="1" customWidth="1"/>
    <col min="14595" max="14595" width="13.875" style="85" bestFit="1" customWidth="1"/>
    <col min="14596" max="14596" width="17.25" style="85" bestFit="1" customWidth="1"/>
    <col min="14597" max="14598" width="20.5" style="85" bestFit="1" customWidth="1"/>
    <col min="14599" max="14599" width="0" style="85" hidden="1" customWidth="1"/>
    <col min="14600" max="14600" width="18.375" style="85" bestFit="1" customWidth="1"/>
    <col min="14601" max="14602" width="0" style="85" hidden="1" customWidth="1"/>
    <col min="14603" max="14846" width="9" style="85"/>
    <col min="14847" max="14847" width="6.625" style="85" customWidth="1"/>
    <col min="14848" max="14849" width="21.625" style="85" customWidth="1"/>
    <col min="14850" max="14850" width="16.125" style="85" bestFit="1" customWidth="1"/>
    <col min="14851" max="14851" width="13.875" style="85" bestFit="1" customWidth="1"/>
    <col min="14852" max="14852" width="17.25" style="85" bestFit="1" customWidth="1"/>
    <col min="14853" max="14854" width="20.5" style="85" bestFit="1" customWidth="1"/>
    <col min="14855" max="14855" width="0" style="85" hidden="1" customWidth="1"/>
    <col min="14856" max="14856" width="18.375" style="85" bestFit="1" customWidth="1"/>
    <col min="14857" max="14858" width="0" style="85" hidden="1" customWidth="1"/>
    <col min="14859" max="15102" width="9" style="85"/>
    <col min="15103" max="15103" width="6.625" style="85" customWidth="1"/>
    <col min="15104" max="15105" width="21.625" style="85" customWidth="1"/>
    <col min="15106" max="15106" width="16.125" style="85" bestFit="1" customWidth="1"/>
    <col min="15107" max="15107" width="13.875" style="85" bestFit="1" customWidth="1"/>
    <col min="15108" max="15108" width="17.25" style="85" bestFit="1" customWidth="1"/>
    <col min="15109" max="15110" width="20.5" style="85" bestFit="1" customWidth="1"/>
    <col min="15111" max="15111" width="0" style="85" hidden="1" customWidth="1"/>
    <col min="15112" max="15112" width="18.375" style="85" bestFit="1" customWidth="1"/>
    <col min="15113" max="15114" width="0" style="85" hidden="1" customWidth="1"/>
    <col min="15115" max="15358" width="9" style="85"/>
    <col min="15359" max="15359" width="6.625" style="85" customWidth="1"/>
    <col min="15360" max="15361" width="21.625" style="85" customWidth="1"/>
    <col min="15362" max="15362" width="16.125" style="85" bestFit="1" customWidth="1"/>
    <col min="15363" max="15363" width="13.875" style="85" bestFit="1" customWidth="1"/>
    <col min="15364" max="15364" width="17.25" style="85" bestFit="1" customWidth="1"/>
    <col min="15365" max="15366" width="20.5" style="85" bestFit="1" customWidth="1"/>
    <col min="15367" max="15367" width="0" style="85" hidden="1" customWidth="1"/>
    <col min="15368" max="15368" width="18.375" style="85" bestFit="1" customWidth="1"/>
    <col min="15369" max="15370" width="0" style="85" hidden="1" customWidth="1"/>
    <col min="15371" max="15614" width="9" style="85"/>
    <col min="15615" max="15615" width="6.625" style="85" customWidth="1"/>
    <col min="15616" max="15617" width="21.625" style="85" customWidth="1"/>
    <col min="15618" max="15618" width="16.125" style="85" bestFit="1" customWidth="1"/>
    <col min="15619" max="15619" width="13.875" style="85" bestFit="1" customWidth="1"/>
    <col min="15620" max="15620" width="17.25" style="85" bestFit="1" customWidth="1"/>
    <col min="15621" max="15622" width="20.5" style="85" bestFit="1" customWidth="1"/>
    <col min="15623" max="15623" width="0" style="85" hidden="1" customWidth="1"/>
    <col min="15624" max="15624" width="18.375" style="85" bestFit="1" customWidth="1"/>
    <col min="15625" max="15626" width="0" style="85" hidden="1" customWidth="1"/>
    <col min="15627" max="15870" width="9" style="85"/>
    <col min="15871" max="15871" width="6.625" style="85" customWidth="1"/>
    <col min="15872" max="15873" width="21.625" style="85" customWidth="1"/>
    <col min="15874" max="15874" width="16.125" style="85" bestFit="1" customWidth="1"/>
    <col min="15875" max="15875" width="13.875" style="85" bestFit="1" customWidth="1"/>
    <col min="15876" max="15876" width="17.25" style="85" bestFit="1" customWidth="1"/>
    <col min="15877" max="15878" width="20.5" style="85" bestFit="1" customWidth="1"/>
    <col min="15879" max="15879" width="0" style="85" hidden="1" customWidth="1"/>
    <col min="15880" max="15880" width="18.375" style="85" bestFit="1" customWidth="1"/>
    <col min="15881" max="15882" width="0" style="85" hidden="1" customWidth="1"/>
    <col min="15883" max="16126" width="9" style="85"/>
    <col min="16127" max="16127" width="6.625" style="85" customWidth="1"/>
    <col min="16128" max="16129" width="21.625" style="85" customWidth="1"/>
    <col min="16130" max="16130" width="16.125" style="85" bestFit="1" customWidth="1"/>
    <col min="16131" max="16131" width="13.875" style="85" bestFit="1" customWidth="1"/>
    <col min="16132" max="16132" width="17.25" style="85" bestFit="1" customWidth="1"/>
    <col min="16133" max="16134" width="20.5" style="85" bestFit="1" customWidth="1"/>
    <col min="16135" max="16135" width="0" style="85" hidden="1" customWidth="1"/>
    <col min="16136" max="16136" width="18.375" style="85" bestFit="1" customWidth="1"/>
    <col min="16137" max="16138" width="0" style="85" hidden="1" customWidth="1"/>
    <col min="16139" max="16384" width="9" style="85"/>
  </cols>
  <sheetData>
    <row r="2" spans="1:5" ht="20.25">
      <c r="A2" s="93" t="s">
        <v>303</v>
      </c>
      <c r="B2" s="94"/>
      <c r="C2" s="94"/>
      <c r="D2" s="94"/>
      <c r="E2" s="94"/>
    </row>
    <row r="3" spans="1:5" ht="35.1" customHeight="1">
      <c r="A3" s="95" t="s">
        <v>313</v>
      </c>
      <c r="B3" s="96"/>
      <c r="E3" s="86" t="s">
        <v>304</v>
      </c>
    </row>
    <row r="4" spans="1:5" ht="30" customHeight="1">
      <c r="A4" s="87" t="s">
        <v>305</v>
      </c>
      <c r="B4" s="87" t="s">
        <v>306</v>
      </c>
      <c r="C4" s="88" t="s">
        <v>307</v>
      </c>
      <c r="D4" s="88" t="s">
        <v>263</v>
      </c>
      <c r="E4" s="88" t="s">
        <v>308</v>
      </c>
    </row>
    <row r="5" spans="1:5" ht="30" customHeight="1">
      <c r="A5" s="87">
        <v>1</v>
      </c>
      <c r="B5" s="87" t="s">
        <v>309</v>
      </c>
      <c r="C5" s="89">
        <f>浦江!V4</f>
        <v>262222614.5</v>
      </c>
      <c r="D5" s="89"/>
      <c r="E5" s="90">
        <f t="shared" ref="E5:E10" si="0">C5-D5</f>
        <v>262222614.5</v>
      </c>
    </row>
    <row r="6" spans="1:5" ht="30" customHeight="1">
      <c r="A6" s="87">
        <v>2</v>
      </c>
      <c r="B6" s="87" t="s">
        <v>310</v>
      </c>
      <c r="C6" s="89">
        <f>浦江!V52</f>
        <v>49211856.560000002</v>
      </c>
      <c r="D6" s="89"/>
      <c r="E6" s="90">
        <f t="shared" si="0"/>
        <v>49211856.560000002</v>
      </c>
    </row>
    <row r="7" spans="1:5" ht="30" customHeight="1">
      <c r="A7" s="87">
        <v>3</v>
      </c>
      <c r="B7" s="87" t="s">
        <v>311</v>
      </c>
      <c r="C7" s="89">
        <f>浦江!V31</f>
        <v>133680</v>
      </c>
      <c r="D7" s="89"/>
      <c r="E7" s="90">
        <f t="shared" si="0"/>
        <v>133680</v>
      </c>
    </row>
    <row r="8" spans="1:5" ht="30" customHeight="1">
      <c r="A8" s="87">
        <v>4</v>
      </c>
      <c r="B8" s="87" t="s">
        <v>315</v>
      </c>
      <c r="C8" s="89">
        <f>社区教育!C3</f>
        <v>895023</v>
      </c>
      <c r="D8" s="89"/>
      <c r="E8" s="90">
        <f t="shared" si="0"/>
        <v>895023</v>
      </c>
    </row>
    <row r="9" spans="1:5" ht="30" customHeight="1">
      <c r="A9" s="87">
        <v>5</v>
      </c>
      <c r="B9" s="87" t="s">
        <v>316</v>
      </c>
      <c r="C9" s="89">
        <f>[1]志愿者联盟!C3</f>
        <v>40000</v>
      </c>
      <c r="D9" s="89"/>
      <c r="E9" s="90">
        <f t="shared" si="0"/>
        <v>40000</v>
      </c>
    </row>
    <row r="10" spans="1:5" ht="30" customHeight="1">
      <c r="A10" s="87">
        <v>6</v>
      </c>
      <c r="B10" s="87" t="s">
        <v>314</v>
      </c>
      <c r="C10" s="89">
        <f>保安经费!AD4</f>
        <v>370770</v>
      </c>
      <c r="D10" s="89">
        <v>370770</v>
      </c>
      <c r="E10" s="90">
        <f t="shared" si="0"/>
        <v>0</v>
      </c>
    </row>
    <row r="11" spans="1:5" ht="30" customHeight="1">
      <c r="A11" s="87"/>
      <c r="B11" s="87" t="s">
        <v>312</v>
      </c>
      <c r="C11" s="91">
        <f>SUM(C5:C10)</f>
        <v>312873944.06</v>
      </c>
      <c r="D11" s="91">
        <f t="shared" ref="D11:E11" si="1">SUM(D5:D10)</f>
        <v>370770</v>
      </c>
      <c r="E11" s="91">
        <f t="shared" si="1"/>
        <v>312503174.06</v>
      </c>
    </row>
    <row r="12" spans="1:5" ht="30" customHeight="1"/>
    <row r="13" spans="1:5" ht="30" customHeight="1"/>
  </sheetData>
  <mergeCells count="2">
    <mergeCell ref="A2:E2"/>
    <mergeCell ref="A3:B3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10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97" t="s">
        <v>10</v>
      </c>
      <c r="B1" s="97"/>
      <c r="C1" s="97"/>
    </row>
    <row r="2" spans="1:3" ht="24.95" customHeight="1">
      <c r="A2" s="8" t="s">
        <v>1</v>
      </c>
      <c r="B2" s="8" t="s">
        <v>11</v>
      </c>
      <c r="C2" s="8" t="s">
        <v>12</v>
      </c>
    </row>
    <row r="3" spans="1:3" ht="24.95" customHeight="1">
      <c r="A3" s="4" t="s">
        <v>2</v>
      </c>
      <c r="B3" s="5">
        <v>298341</v>
      </c>
      <c r="C3" s="2">
        <f t="shared" ref="C3" si="0">B3*3</f>
        <v>895023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10"/>
    </sheetView>
  </sheetViews>
  <sheetFormatPr defaultRowHeight="13.5"/>
  <cols>
    <col min="1" max="1" width="14" style="6" customWidth="1"/>
    <col min="2" max="2" width="26.75" style="1" customWidth="1"/>
    <col min="3" max="3" width="24" style="7" customWidth="1"/>
    <col min="4" max="16384" width="9" style="1"/>
  </cols>
  <sheetData>
    <row r="1" spans="1:3" ht="20.25">
      <c r="A1" s="98" t="s">
        <v>13</v>
      </c>
      <c r="B1" s="98"/>
      <c r="C1" s="98"/>
    </row>
    <row r="2" spans="1:3" ht="24.95" customHeight="1">
      <c r="A2" s="9" t="s">
        <v>3</v>
      </c>
      <c r="B2" s="9" t="s">
        <v>14</v>
      </c>
      <c r="C2" s="10" t="s">
        <v>15</v>
      </c>
    </row>
    <row r="3" spans="1:3" ht="24.95" customHeight="1">
      <c r="A3" s="3">
        <v>1</v>
      </c>
      <c r="B3" s="39" t="s">
        <v>4</v>
      </c>
      <c r="C3" s="40"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"/>
  <sheetViews>
    <sheetView workbookViewId="0">
      <selection activeCell="A4" sqref="A4:XFD10"/>
    </sheetView>
  </sheetViews>
  <sheetFormatPr defaultRowHeight="12"/>
  <cols>
    <col min="1" max="1" width="18.625" style="18" customWidth="1"/>
    <col min="2" max="2" width="7.125" style="18" customWidth="1"/>
    <col min="3" max="3" width="8.375" style="18" customWidth="1"/>
    <col min="4" max="4" width="7.625" style="18" customWidth="1"/>
    <col min="5" max="5" width="6.375" style="18" customWidth="1"/>
    <col min="6" max="6" width="10.75" style="37" customWidth="1"/>
    <col min="7" max="7" width="15.75" style="38" customWidth="1"/>
    <col min="8" max="8" width="6.625" style="18" customWidth="1"/>
    <col min="9" max="9" width="10.75" style="18" customWidth="1"/>
    <col min="10" max="10" width="11" style="18" customWidth="1"/>
    <col min="11" max="11" width="12.5" style="18" customWidth="1"/>
    <col min="12" max="12" width="12.25" style="18" hidden="1" customWidth="1"/>
    <col min="13" max="15" width="0" style="18" hidden="1" customWidth="1"/>
    <col min="16" max="16" width="10" style="18" bestFit="1" customWidth="1"/>
    <col min="17" max="20" width="9" style="18"/>
    <col min="21" max="23" width="0" style="18" hidden="1" customWidth="1"/>
    <col min="24" max="24" width="12.625" style="18" customWidth="1"/>
    <col min="25" max="25" width="12" style="18" hidden="1" customWidth="1"/>
    <col min="26" max="28" width="0" style="18" hidden="1" customWidth="1"/>
    <col min="29" max="29" width="10.5" style="18" bestFit="1" customWidth="1"/>
    <col min="30" max="30" width="10" style="18" bestFit="1" customWidth="1"/>
    <col min="31" max="16384" width="9" style="18"/>
  </cols>
  <sheetData>
    <row r="1" spans="1:30" ht="31.5" customHeight="1">
      <c r="A1" s="101" t="s">
        <v>273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</row>
    <row r="2" spans="1:30" s="17" customFormat="1" ht="39.950000000000003" customHeight="1">
      <c r="A2" s="99" t="s">
        <v>274</v>
      </c>
      <c r="B2" s="100"/>
      <c r="C2" s="19" t="s">
        <v>275</v>
      </c>
      <c r="D2" s="20" t="s">
        <v>276</v>
      </c>
      <c r="E2" s="20" t="s">
        <v>277</v>
      </c>
      <c r="F2" s="21" t="s">
        <v>259</v>
      </c>
      <c r="G2" s="22" t="s">
        <v>260</v>
      </c>
      <c r="H2" s="23" t="s">
        <v>261</v>
      </c>
      <c r="I2" s="23" t="s">
        <v>278</v>
      </c>
      <c r="J2" s="23" t="s">
        <v>262</v>
      </c>
      <c r="K2" s="23" t="s">
        <v>279</v>
      </c>
      <c r="L2" s="24" t="s">
        <v>280</v>
      </c>
      <c r="M2" s="25" t="s">
        <v>281</v>
      </c>
      <c r="N2" s="20" t="s">
        <v>282</v>
      </c>
      <c r="O2" s="20" t="s">
        <v>283</v>
      </c>
      <c r="P2" s="26" t="s">
        <v>284</v>
      </c>
      <c r="Q2" s="20" t="s">
        <v>285</v>
      </c>
      <c r="R2" s="20" t="s">
        <v>277</v>
      </c>
      <c r="S2" s="21" t="s">
        <v>259</v>
      </c>
      <c r="T2" s="22" t="s">
        <v>260</v>
      </c>
      <c r="U2" s="23" t="s">
        <v>261</v>
      </c>
      <c r="V2" s="23" t="s">
        <v>286</v>
      </c>
      <c r="W2" s="23" t="s">
        <v>262</v>
      </c>
      <c r="X2" s="23" t="s">
        <v>279</v>
      </c>
      <c r="Y2" s="23" t="s">
        <v>287</v>
      </c>
      <c r="Z2" s="23" t="s">
        <v>288</v>
      </c>
      <c r="AA2" s="23" t="s">
        <v>289</v>
      </c>
      <c r="AB2" s="23" t="s">
        <v>262</v>
      </c>
      <c r="AC2" s="27" t="s">
        <v>290</v>
      </c>
      <c r="AD2" s="27" t="s">
        <v>291</v>
      </c>
    </row>
    <row r="3" spans="1:30" ht="26.1" customHeight="1">
      <c r="A3" s="105" t="s">
        <v>292</v>
      </c>
      <c r="B3" s="105"/>
      <c r="C3" s="36" t="s">
        <v>293</v>
      </c>
      <c r="D3" s="28">
        <v>1</v>
      </c>
      <c r="E3" s="33">
        <v>5</v>
      </c>
      <c r="F3" s="29">
        <f t="shared" ref="F3" si="0">72000/12*3</f>
        <v>18000</v>
      </c>
      <c r="G3" s="29">
        <f t="shared" ref="G3" si="1">F3*E3</f>
        <v>90000</v>
      </c>
      <c r="H3" s="28">
        <v>0</v>
      </c>
      <c r="I3" s="28">
        <f t="shared" ref="I3" si="2">H3*45</f>
        <v>0</v>
      </c>
      <c r="J3" s="35">
        <f t="shared" ref="J3" si="3">ROUND(I3*7*33,2)</f>
        <v>0</v>
      </c>
      <c r="K3" s="35">
        <f t="shared" ref="K3" si="4">ROUND(G3+J3,2)</f>
        <v>90000</v>
      </c>
      <c r="L3" s="31"/>
      <c r="M3" s="31"/>
      <c r="N3" s="31"/>
      <c r="O3" s="31"/>
      <c r="P3" s="32">
        <f t="shared" ref="P3" si="5">K3+O3</f>
        <v>90000</v>
      </c>
      <c r="Q3" s="28">
        <v>1</v>
      </c>
      <c r="R3" s="33">
        <v>5</v>
      </c>
      <c r="S3" s="29">
        <f t="shared" ref="S3" si="6">74872/12*9</f>
        <v>56154</v>
      </c>
      <c r="T3" s="29">
        <f t="shared" ref="T3" si="7">S3*R3</f>
        <v>280770</v>
      </c>
      <c r="U3" s="28">
        <v>0</v>
      </c>
      <c r="V3" s="28">
        <f t="shared" ref="V3" si="8">U3*165</f>
        <v>0</v>
      </c>
      <c r="W3" s="30">
        <f t="shared" ref="W3" si="9">ROUND(V3*7*34.6,2)</f>
        <v>0</v>
      </c>
      <c r="X3" s="35">
        <f t="shared" ref="X3" si="10">ROUND(T3+W3,2)</f>
        <v>280770</v>
      </c>
      <c r="Y3" s="31"/>
      <c r="Z3" s="31"/>
      <c r="AA3" s="31"/>
      <c r="AB3" s="31"/>
      <c r="AC3" s="32">
        <f t="shared" ref="AC3" si="11">X3+AB3</f>
        <v>280770</v>
      </c>
      <c r="AD3" s="32">
        <f t="shared" ref="AD3" si="12">P3+AC3</f>
        <v>370770</v>
      </c>
    </row>
    <row r="4" spans="1:30" ht="26.1" customHeight="1">
      <c r="A4" s="103" t="s">
        <v>294</v>
      </c>
      <c r="B4" s="104"/>
      <c r="C4" s="104"/>
      <c r="D4" s="34">
        <f>SUM(D3:D3)</f>
        <v>1</v>
      </c>
      <c r="E4" s="34">
        <f>SUM(E3:E3)</f>
        <v>5</v>
      </c>
      <c r="F4" s="34">
        <v>18000</v>
      </c>
      <c r="G4" s="34">
        <f t="shared" ref="G4:AD4" si="13">SUM(G3:G3)</f>
        <v>90000</v>
      </c>
      <c r="H4" s="34">
        <f t="shared" si="13"/>
        <v>0</v>
      </c>
      <c r="I4" s="34">
        <f t="shared" si="13"/>
        <v>0</v>
      </c>
      <c r="J4" s="34">
        <f t="shared" si="13"/>
        <v>0</v>
      </c>
      <c r="K4" s="34">
        <f t="shared" si="13"/>
        <v>90000</v>
      </c>
      <c r="L4" s="34">
        <f t="shared" si="13"/>
        <v>0</v>
      </c>
      <c r="M4" s="34">
        <f t="shared" si="13"/>
        <v>0</v>
      </c>
      <c r="N4" s="34">
        <f t="shared" si="13"/>
        <v>0</v>
      </c>
      <c r="O4" s="34">
        <f t="shared" si="13"/>
        <v>0</v>
      </c>
      <c r="P4" s="34">
        <f t="shared" si="13"/>
        <v>90000</v>
      </c>
      <c r="Q4" s="34">
        <f t="shared" si="13"/>
        <v>1</v>
      </c>
      <c r="R4" s="34">
        <f t="shared" si="13"/>
        <v>5</v>
      </c>
      <c r="S4" s="34">
        <f t="shared" si="13"/>
        <v>56154</v>
      </c>
      <c r="T4" s="34">
        <f t="shared" si="13"/>
        <v>280770</v>
      </c>
      <c r="U4" s="34">
        <f t="shared" si="13"/>
        <v>0</v>
      </c>
      <c r="V4" s="34">
        <f t="shared" si="13"/>
        <v>0</v>
      </c>
      <c r="W4" s="34">
        <f t="shared" si="13"/>
        <v>0</v>
      </c>
      <c r="X4" s="34">
        <f t="shared" si="13"/>
        <v>280770</v>
      </c>
      <c r="Y4" s="34">
        <f t="shared" si="13"/>
        <v>0</v>
      </c>
      <c r="Z4" s="34">
        <f t="shared" si="13"/>
        <v>0</v>
      </c>
      <c r="AA4" s="34">
        <f t="shared" si="13"/>
        <v>0</v>
      </c>
      <c r="AB4" s="34">
        <f t="shared" si="13"/>
        <v>0</v>
      </c>
      <c r="AC4" s="34">
        <f t="shared" si="13"/>
        <v>280770</v>
      </c>
      <c r="AD4" s="34">
        <f t="shared" si="13"/>
        <v>370770</v>
      </c>
    </row>
  </sheetData>
  <mergeCells count="4">
    <mergeCell ref="A2:B2"/>
    <mergeCell ref="A1:AD1"/>
    <mergeCell ref="A4:C4"/>
    <mergeCell ref="A3:B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workbookViewId="0">
      <pane xSplit="4" ySplit="2" topLeftCell="V15" activePane="bottomRight" state="frozen"/>
      <selection activeCell="A4" sqref="A4:XFD10"/>
      <selection pane="topRight" activeCell="A4" sqref="A4:XFD10"/>
      <selection pane="bottomLeft" activeCell="A4" sqref="A4:XFD10"/>
      <selection pane="bottomRight" activeCell="A4" sqref="A4:XFD10"/>
    </sheetView>
  </sheetViews>
  <sheetFormatPr defaultColWidth="15.625" defaultRowHeight="15.75"/>
  <cols>
    <col min="1" max="1" width="4.625" style="13" customWidth="1"/>
    <col min="2" max="2" width="34.125" style="13" customWidth="1"/>
    <col min="3" max="3" width="12.375" style="13" hidden="1" customWidth="1"/>
    <col min="4" max="4" width="23.875" style="83" hidden="1" customWidth="1"/>
    <col min="5" max="5" width="10.75" style="84" bestFit="1" customWidth="1"/>
    <col min="6" max="6" width="10.75" style="84" customWidth="1"/>
    <col min="7" max="7" width="11" style="84" customWidth="1"/>
    <col min="8" max="8" width="9.875" style="13" customWidth="1"/>
    <col min="9" max="9" width="10.75" style="13" customWidth="1"/>
    <col min="10" max="11" width="10.75" style="84" customWidth="1"/>
    <col min="12" max="12" width="10.75" style="13" customWidth="1"/>
    <col min="13" max="13" width="10.75" style="84" bestFit="1" customWidth="1"/>
    <col min="14" max="14" width="10.75" style="13" bestFit="1" customWidth="1"/>
    <col min="15" max="15" width="10.5" style="84" bestFit="1" customWidth="1"/>
    <col min="16" max="16" width="10.75" style="13" bestFit="1" customWidth="1"/>
    <col min="17" max="17" width="10.75" style="84" customWidth="1"/>
    <col min="18" max="18" width="11.5" style="13" bestFit="1" customWidth="1"/>
    <col min="19" max="19" width="10.75" style="13" bestFit="1" customWidth="1"/>
    <col min="20" max="20" width="9.875" style="13" bestFit="1" customWidth="1"/>
    <col min="21" max="21" width="13.375" style="13" bestFit="1" customWidth="1"/>
    <col min="22" max="256" width="15.625" style="13"/>
    <col min="257" max="257" width="4.625" style="13" customWidth="1"/>
    <col min="258" max="258" width="34.125" style="13" customWidth="1"/>
    <col min="259" max="260" width="0" style="13" hidden="1" customWidth="1"/>
    <col min="261" max="261" width="10.75" style="13" bestFit="1" customWidth="1"/>
    <col min="262" max="262" width="10.75" style="13" customWidth="1"/>
    <col min="263" max="263" width="11" style="13" customWidth="1"/>
    <col min="264" max="264" width="9.875" style="13" customWidth="1"/>
    <col min="265" max="268" width="10.75" style="13" customWidth="1"/>
    <col min="269" max="270" width="10.75" style="13" bestFit="1" customWidth="1"/>
    <col min="271" max="271" width="10.5" style="13" bestFit="1" customWidth="1"/>
    <col min="272" max="272" width="10.75" style="13" bestFit="1" customWidth="1"/>
    <col min="273" max="273" width="10.75" style="13" customWidth="1"/>
    <col min="274" max="274" width="11.5" style="13" bestFit="1" customWidth="1"/>
    <col min="275" max="275" width="10.75" style="13" bestFit="1" customWidth="1"/>
    <col min="276" max="276" width="9.875" style="13" bestFit="1" customWidth="1"/>
    <col min="277" max="277" width="13.375" style="13" bestFit="1" customWidth="1"/>
    <col min="278" max="512" width="15.625" style="13"/>
    <col min="513" max="513" width="4.625" style="13" customWidth="1"/>
    <col min="514" max="514" width="34.125" style="13" customWidth="1"/>
    <col min="515" max="516" width="0" style="13" hidden="1" customWidth="1"/>
    <col min="517" max="517" width="10.75" style="13" bestFit="1" customWidth="1"/>
    <col min="518" max="518" width="10.75" style="13" customWidth="1"/>
    <col min="519" max="519" width="11" style="13" customWidth="1"/>
    <col min="520" max="520" width="9.875" style="13" customWidth="1"/>
    <col min="521" max="524" width="10.75" style="13" customWidth="1"/>
    <col min="525" max="526" width="10.75" style="13" bestFit="1" customWidth="1"/>
    <col min="527" max="527" width="10.5" style="13" bestFit="1" customWidth="1"/>
    <col min="528" max="528" width="10.75" style="13" bestFit="1" customWidth="1"/>
    <col min="529" max="529" width="10.75" style="13" customWidth="1"/>
    <col min="530" max="530" width="11.5" style="13" bestFit="1" customWidth="1"/>
    <col min="531" max="531" width="10.75" style="13" bestFit="1" customWidth="1"/>
    <col min="532" max="532" width="9.875" style="13" bestFit="1" customWidth="1"/>
    <col min="533" max="533" width="13.375" style="13" bestFit="1" customWidth="1"/>
    <col min="534" max="768" width="15.625" style="13"/>
    <col min="769" max="769" width="4.625" style="13" customWidth="1"/>
    <col min="770" max="770" width="34.125" style="13" customWidth="1"/>
    <col min="771" max="772" width="0" style="13" hidden="1" customWidth="1"/>
    <col min="773" max="773" width="10.75" style="13" bestFit="1" customWidth="1"/>
    <col min="774" max="774" width="10.75" style="13" customWidth="1"/>
    <col min="775" max="775" width="11" style="13" customWidth="1"/>
    <col min="776" max="776" width="9.875" style="13" customWidth="1"/>
    <col min="777" max="780" width="10.75" style="13" customWidth="1"/>
    <col min="781" max="782" width="10.75" style="13" bestFit="1" customWidth="1"/>
    <col min="783" max="783" width="10.5" style="13" bestFit="1" customWidth="1"/>
    <col min="784" max="784" width="10.75" style="13" bestFit="1" customWidth="1"/>
    <col min="785" max="785" width="10.75" style="13" customWidth="1"/>
    <col min="786" max="786" width="11.5" style="13" bestFit="1" customWidth="1"/>
    <col min="787" max="787" width="10.75" style="13" bestFit="1" customWidth="1"/>
    <col min="788" max="788" width="9.875" style="13" bestFit="1" customWidth="1"/>
    <col min="789" max="789" width="13.375" style="13" bestFit="1" customWidth="1"/>
    <col min="790" max="1024" width="15.625" style="13"/>
    <col min="1025" max="1025" width="4.625" style="13" customWidth="1"/>
    <col min="1026" max="1026" width="34.125" style="13" customWidth="1"/>
    <col min="1027" max="1028" width="0" style="13" hidden="1" customWidth="1"/>
    <col min="1029" max="1029" width="10.75" style="13" bestFit="1" customWidth="1"/>
    <col min="1030" max="1030" width="10.75" style="13" customWidth="1"/>
    <col min="1031" max="1031" width="11" style="13" customWidth="1"/>
    <col min="1032" max="1032" width="9.875" style="13" customWidth="1"/>
    <col min="1033" max="1036" width="10.75" style="13" customWidth="1"/>
    <col min="1037" max="1038" width="10.75" style="13" bestFit="1" customWidth="1"/>
    <col min="1039" max="1039" width="10.5" style="13" bestFit="1" customWidth="1"/>
    <col min="1040" max="1040" width="10.75" style="13" bestFit="1" customWidth="1"/>
    <col min="1041" max="1041" width="10.75" style="13" customWidth="1"/>
    <col min="1042" max="1042" width="11.5" style="13" bestFit="1" customWidth="1"/>
    <col min="1043" max="1043" width="10.75" style="13" bestFit="1" customWidth="1"/>
    <col min="1044" max="1044" width="9.875" style="13" bestFit="1" customWidth="1"/>
    <col min="1045" max="1045" width="13.375" style="13" bestFit="1" customWidth="1"/>
    <col min="1046" max="1280" width="15.625" style="13"/>
    <col min="1281" max="1281" width="4.625" style="13" customWidth="1"/>
    <col min="1282" max="1282" width="34.125" style="13" customWidth="1"/>
    <col min="1283" max="1284" width="0" style="13" hidden="1" customWidth="1"/>
    <col min="1285" max="1285" width="10.75" style="13" bestFit="1" customWidth="1"/>
    <col min="1286" max="1286" width="10.75" style="13" customWidth="1"/>
    <col min="1287" max="1287" width="11" style="13" customWidth="1"/>
    <col min="1288" max="1288" width="9.875" style="13" customWidth="1"/>
    <col min="1289" max="1292" width="10.75" style="13" customWidth="1"/>
    <col min="1293" max="1294" width="10.75" style="13" bestFit="1" customWidth="1"/>
    <col min="1295" max="1295" width="10.5" style="13" bestFit="1" customWidth="1"/>
    <col min="1296" max="1296" width="10.75" style="13" bestFit="1" customWidth="1"/>
    <col min="1297" max="1297" width="10.75" style="13" customWidth="1"/>
    <col min="1298" max="1298" width="11.5" style="13" bestFit="1" customWidth="1"/>
    <col min="1299" max="1299" width="10.75" style="13" bestFit="1" customWidth="1"/>
    <col min="1300" max="1300" width="9.875" style="13" bestFit="1" customWidth="1"/>
    <col min="1301" max="1301" width="13.375" style="13" bestFit="1" customWidth="1"/>
    <col min="1302" max="1536" width="15.625" style="13"/>
    <col min="1537" max="1537" width="4.625" style="13" customWidth="1"/>
    <col min="1538" max="1538" width="34.125" style="13" customWidth="1"/>
    <col min="1539" max="1540" width="0" style="13" hidden="1" customWidth="1"/>
    <col min="1541" max="1541" width="10.75" style="13" bestFit="1" customWidth="1"/>
    <col min="1542" max="1542" width="10.75" style="13" customWidth="1"/>
    <col min="1543" max="1543" width="11" style="13" customWidth="1"/>
    <col min="1544" max="1544" width="9.875" style="13" customWidth="1"/>
    <col min="1545" max="1548" width="10.75" style="13" customWidth="1"/>
    <col min="1549" max="1550" width="10.75" style="13" bestFit="1" customWidth="1"/>
    <col min="1551" max="1551" width="10.5" style="13" bestFit="1" customWidth="1"/>
    <col min="1552" max="1552" width="10.75" style="13" bestFit="1" customWidth="1"/>
    <col min="1553" max="1553" width="10.75" style="13" customWidth="1"/>
    <col min="1554" max="1554" width="11.5" style="13" bestFit="1" customWidth="1"/>
    <col min="1555" max="1555" width="10.75" style="13" bestFit="1" customWidth="1"/>
    <col min="1556" max="1556" width="9.875" style="13" bestFit="1" customWidth="1"/>
    <col min="1557" max="1557" width="13.375" style="13" bestFit="1" customWidth="1"/>
    <col min="1558" max="1792" width="15.625" style="13"/>
    <col min="1793" max="1793" width="4.625" style="13" customWidth="1"/>
    <col min="1794" max="1794" width="34.125" style="13" customWidth="1"/>
    <col min="1795" max="1796" width="0" style="13" hidden="1" customWidth="1"/>
    <col min="1797" max="1797" width="10.75" style="13" bestFit="1" customWidth="1"/>
    <col min="1798" max="1798" width="10.75" style="13" customWidth="1"/>
    <col min="1799" max="1799" width="11" style="13" customWidth="1"/>
    <col min="1800" max="1800" width="9.875" style="13" customWidth="1"/>
    <col min="1801" max="1804" width="10.75" style="13" customWidth="1"/>
    <col min="1805" max="1806" width="10.75" style="13" bestFit="1" customWidth="1"/>
    <col min="1807" max="1807" width="10.5" style="13" bestFit="1" customWidth="1"/>
    <col min="1808" max="1808" width="10.75" style="13" bestFit="1" customWidth="1"/>
    <col min="1809" max="1809" width="10.75" style="13" customWidth="1"/>
    <col min="1810" max="1810" width="11.5" style="13" bestFit="1" customWidth="1"/>
    <col min="1811" max="1811" width="10.75" style="13" bestFit="1" customWidth="1"/>
    <col min="1812" max="1812" width="9.875" style="13" bestFit="1" customWidth="1"/>
    <col min="1813" max="1813" width="13.375" style="13" bestFit="1" customWidth="1"/>
    <col min="1814" max="2048" width="15.625" style="13"/>
    <col min="2049" max="2049" width="4.625" style="13" customWidth="1"/>
    <col min="2050" max="2050" width="34.125" style="13" customWidth="1"/>
    <col min="2051" max="2052" width="0" style="13" hidden="1" customWidth="1"/>
    <col min="2053" max="2053" width="10.75" style="13" bestFit="1" customWidth="1"/>
    <col min="2054" max="2054" width="10.75" style="13" customWidth="1"/>
    <col min="2055" max="2055" width="11" style="13" customWidth="1"/>
    <col min="2056" max="2056" width="9.875" style="13" customWidth="1"/>
    <col min="2057" max="2060" width="10.75" style="13" customWidth="1"/>
    <col min="2061" max="2062" width="10.75" style="13" bestFit="1" customWidth="1"/>
    <col min="2063" max="2063" width="10.5" style="13" bestFit="1" customWidth="1"/>
    <col min="2064" max="2064" width="10.75" style="13" bestFit="1" customWidth="1"/>
    <col min="2065" max="2065" width="10.75" style="13" customWidth="1"/>
    <col min="2066" max="2066" width="11.5" style="13" bestFit="1" customWidth="1"/>
    <col min="2067" max="2067" width="10.75" style="13" bestFit="1" customWidth="1"/>
    <col min="2068" max="2068" width="9.875" style="13" bestFit="1" customWidth="1"/>
    <col min="2069" max="2069" width="13.375" style="13" bestFit="1" customWidth="1"/>
    <col min="2070" max="2304" width="15.625" style="13"/>
    <col min="2305" max="2305" width="4.625" style="13" customWidth="1"/>
    <col min="2306" max="2306" width="34.125" style="13" customWidth="1"/>
    <col min="2307" max="2308" width="0" style="13" hidden="1" customWidth="1"/>
    <col min="2309" max="2309" width="10.75" style="13" bestFit="1" customWidth="1"/>
    <col min="2310" max="2310" width="10.75" style="13" customWidth="1"/>
    <col min="2311" max="2311" width="11" style="13" customWidth="1"/>
    <col min="2312" max="2312" width="9.875" style="13" customWidth="1"/>
    <col min="2313" max="2316" width="10.75" style="13" customWidth="1"/>
    <col min="2317" max="2318" width="10.75" style="13" bestFit="1" customWidth="1"/>
    <col min="2319" max="2319" width="10.5" style="13" bestFit="1" customWidth="1"/>
    <col min="2320" max="2320" width="10.75" style="13" bestFit="1" customWidth="1"/>
    <col min="2321" max="2321" width="10.75" style="13" customWidth="1"/>
    <col min="2322" max="2322" width="11.5" style="13" bestFit="1" customWidth="1"/>
    <col min="2323" max="2323" width="10.75" style="13" bestFit="1" customWidth="1"/>
    <col min="2324" max="2324" width="9.875" style="13" bestFit="1" customWidth="1"/>
    <col min="2325" max="2325" width="13.375" style="13" bestFit="1" customWidth="1"/>
    <col min="2326" max="2560" width="15.625" style="13"/>
    <col min="2561" max="2561" width="4.625" style="13" customWidth="1"/>
    <col min="2562" max="2562" width="34.125" style="13" customWidth="1"/>
    <col min="2563" max="2564" width="0" style="13" hidden="1" customWidth="1"/>
    <col min="2565" max="2565" width="10.75" style="13" bestFit="1" customWidth="1"/>
    <col min="2566" max="2566" width="10.75" style="13" customWidth="1"/>
    <col min="2567" max="2567" width="11" style="13" customWidth="1"/>
    <col min="2568" max="2568" width="9.875" style="13" customWidth="1"/>
    <col min="2569" max="2572" width="10.75" style="13" customWidth="1"/>
    <col min="2573" max="2574" width="10.75" style="13" bestFit="1" customWidth="1"/>
    <col min="2575" max="2575" width="10.5" style="13" bestFit="1" customWidth="1"/>
    <col min="2576" max="2576" width="10.75" style="13" bestFit="1" customWidth="1"/>
    <col min="2577" max="2577" width="10.75" style="13" customWidth="1"/>
    <col min="2578" max="2578" width="11.5" style="13" bestFit="1" customWidth="1"/>
    <col min="2579" max="2579" width="10.75" style="13" bestFit="1" customWidth="1"/>
    <col min="2580" max="2580" width="9.875" style="13" bestFit="1" customWidth="1"/>
    <col min="2581" max="2581" width="13.375" style="13" bestFit="1" customWidth="1"/>
    <col min="2582" max="2816" width="15.625" style="13"/>
    <col min="2817" max="2817" width="4.625" style="13" customWidth="1"/>
    <col min="2818" max="2818" width="34.125" style="13" customWidth="1"/>
    <col min="2819" max="2820" width="0" style="13" hidden="1" customWidth="1"/>
    <col min="2821" max="2821" width="10.75" style="13" bestFit="1" customWidth="1"/>
    <col min="2822" max="2822" width="10.75" style="13" customWidth="1"/>
    <col min="2823" max="2823" width="11" style="13" customWidth="1"/>
    <col min="2824" max="2824" width="9.875" style="13" customWidth="1"/>
    <col min="2825" max="2828" width="10.75" style="13" customWidth="1"/>
    <col min="2829" max="2830" width="10.75" style="13" bestFit="1" customWidth="1"/>
    <col min="2831" max="2831" width="10.5" style="13" bestFit="1" customWidth="1"/>
    <col min="2832" max="2832" width="10.75" style="13" bestFit="1" customWidth="1"/>
    <col min="2833" max="2833" width="10.75" style="13" customWidth="1"/>
    <col min="2834" max="2834" width="11.5" style="13" bestFit="1" customWidth="1"/>
    <col min="2835" max="2835" width="10.75" style="13" bestFit="1" customWidth="1"/>
    <col min="2836" max="2836" width="9.875" style="13" bestFit="1" customWidth="1"/>
    <col min="2837" max="2837" width="13.375" style="13" bestFit="1" customWidth="1"/>
    <col min="2838" max="3072" width="15.625" style="13"/>
    <col min="3073" max="3073" width="4.625" style="13" customWidth="1"/>
    <col min="3074" max="3074" width="34.125" style="13" customWidth="1"/>
    <col min="3075" max="3076" width="0" style="13" hidden="1" customWidth="1"/>
    <col min="3077" max="3077" width="10.75" style="13" bestFit="1" customWidth="1"/>
    <col min="3078" max="3078" width="10.75" style="13" customWidth="1"/>
    <col min="3079" max="3079" width="11" style="13" customWidth="1"/>
    <col min="3080" max="3080" width="9.875" style="13" customWidth="1"/>
    <col min="3081" max="3084" width="10.75" style="13" customWidth="1"/>
    <col min="3085" max="3086" width="10.75" style="13" bestFit="1" customWidth="1"/>
    <col min="3087" max="3087" width="10.5" style="13" bestFit="1" customWidth="1"/>
    <col min="3088" max="3088" width="10.75" style="13" bestFit="1" customWidth="1"/>
    <col min="3089" max="3089" width="10.75" style="13" customWidth="1"/>
    <col min="3090" max="3090" width="11.5" style="13" bestFit="1" customWidth="1"/>
    <col min="3091" max="3091" width="10.75" style="13" bestFit="1" customWidth="1"/>
    <col min="3092" max="3092" width="9.875" style="13" bestFit="1" customWidth="1"/>
    <col min="3093" max="3093" width="13.375" style="13" bestFit="1" customWidth="1"/>
    <col min="3094" max="3328" width="15.625" style="13"/>
    <col min="3329" max="3329" width="4.625" style="13" customWidth="1"/>
    <col min="3330" max="3330" width="34.125" style="13" customWidth="1"/>
    <col min="3331" max="3332" width="0" style="13" hidden="1" customWidth="1"/>
    <col min="3333" max="3333" width="10.75" style="13" bestFit="1" customWidth="1"/>
    <col min="3334" max="3334" width="10.75" style="13" customWidth="1"/>
    <col min="3335" max="3335" width="11" style="13" customWidth="1"/>
    <col min="3336" max="3336" width="9.875" style="13" customWidth="1"/>
    <col min="3337" max="3340" width="10.75" style="13" customWidth="1"/>
    <col min="3341" max="3342" width="10.75" style="13" bestFit="1" customWidth="1"/>
    <col min="3343" max="3343" width="10.5" style="13" bestFit="1" customWidth="1"/>
    <col min="3344" max="3344" width="10.75" style="13" bestFit="1" customWidth="1"/>
    <col min="3345" max="3345" width="10.75" style="13" customWidth="1"/>
    <col min="3346" max="3346" width="11.5" style="13" bestFit="1" customWidth="1"/>
    <col min="3347" max="3347" width="10.75" style="13" bestFit="1" customWidth="1"/>
    <col min="3348" max="3348" width="9.875" style="13" bestFit="1" customWidth="1"/>
    <col min="3349" max="3349" width="13.375" style="13" bestFit="1" customWidth="1"/>
    <col min="3350" max="3584" width="15.625" style="13"/>
    <col min="3585" max="3585" width="4.625" style="13" customWidth="1"/>
    <col min="3586" max="3586" width="34.125" style="13" customWidth="1"/>
    <col min="3587" max="3588" width="0" style="13" hidden="1" customWidth="1"/>
    <col min="3589" max="3589" width="10.75" style="13" bestFit="1" customWidth="1"/>
    <col min="3590" max="3590" width="10.75" style="13" customWidth="1"/>
    <col min="3591" max="3591" width="11" style="13" customWidth="1"/>
    <col min="3592" max="3592" width="9.875" style="13" customWidth="1"/>
    <col min="3593" max="3596" width="10.75" style="13" customWidth="1"/>
    <col min="3597" max="3598" width="10.75" style="13" bestFit="1" customWidth="1"/>
    <col min="3599" max="3599" width="10.5" style="13" bestFit="1" customWidth="1"/>
    <col min="3600" max="3600" width="10.75" style="13" bestFit="1" customWidth="1"/>
    <col min="3601" max="3601" width="10.75" style="13" customWidth="1"/>
    <col min="3602" max="3602" width="11.5" style="13" bestFit="1" customWidth="1"/>
    <col min="3603" max="3603" width="10.75" style="13" bestFit="1" customWidth="1"/>
    <col min="3604" max="3604" width="9.875" style="13" bestFit="1" customWidth="1"/>
    <col min="3605" max="3605" width="13.375" style="13" bestFit="1" customWidth="1"/>
    <col min="3606" max="3840" width="15.625" style="13"/>
    <col min="3841" max="3841" width="4.625" style="13" customWidth="1"/>
    <col min="3842" max="3842" width="34.125" style="13" customWidth="1"/>
    <col min="3843" max="3844" width="0" style="13" hidden="1" customWidth="1"/>
    <col min="3845" max="3845" width="10.75" style="13" bestFit="1" customWidth="1"/>
    <col min="3846" max="3846" width="10.75" style="13" customWidth="1"/>
    <col min="3847" max="3847" width="11" style="13" customWidth="1"/>
    <col min="3848" max="3848" width="9.875" style="13" customWidth="1"/>
    <col min="3849" max="3852" width="10.75" style="13" customWidth="1"/>
    <col min="3853" max="3854" width="10.75" style="13" bestFit="1" customWidth="1"/>
    <col min="3855" max="3855" width="10.5" style="13" bestFit="1" customWidth="1"/>
    <col min="3856" max="3856" width="10.75" style="13" bestFit="1" customWidth="1"/>
    <col min="3857" max="3857" width="10.75" style="13" customWidth="1"/>
    <col min="3858" max="3858" width="11.5" style="13" bestFit="1" customWidth="1"/>
    <col min="3859" max="3859" width="10.75" style="13" bestFit="1" customWidth="1"/>
    <col min="3860" max="3860" width="9.875" style="13" bestFit="1" customWidth="1"/>
    <col min="3861" max="3861" width="13.375" style="13" bestFit="1" customWidth="1"/>
    <col min="3862" max="4096" width="15.625" style="13"/>
    <col min="4097" max="4097" width="4.625" style="13" customWidth="1"/>
    <col min="4098" max="4098" width="34.125" style="13" customWidth="1"/>
    <col min="4099" max="4100" width="0" style="13" hidden="1" customWidth="1"/>
    <col min="4101" max="4101" width="10.75" style="13" bestFit="1" customWidth="1"/>
    <col min="4102" max="4102" width="10.75" style="13" customWidth="1"/>
    <col min="4103" max="4103" width="11" style="13" customWidth="1"/>
    <col min="4104" max="4104" width="9.875" style="13" customWidth="1"/>
    <col min="4105" max="4108" width="10.75" style="13" customWidth="1"/>
    <col min="4109" max="4110" width="10.75" style="13" bestFit="1" customWidth="1"/>
    <col min="4111" max="4111" width="10.5" style="13" bestFit="1" customWidth="1"/>
    <col min="4112" max="4112" width="10.75" style="13" bestFit="1" customWidth="1"/>
    <col min="4113" max="4113" width="10.75" style="13" customWidth="1"/>
    <col min="4114" max="4114" width="11.5" style="13" bestFit="1" customWidth="1"/>
    <col min="4115" max="4115" width="10.75" style="13" bestFit="1" customWidth="1"/>
    <col min="4116" max="4116" width="9.875" style="13" bestFit="1" customWidth="1"/>
    <col min="4117" max="4117" width="13.375" style="13" bestFit="1" customWidth="1"/>
    <col min="4118" max="4352" width="15.625" style="13"/>
    <col min="4353" max="4353" width="4.625" style="13" customWidth="1"/>
    <col min="4354" max="4354" width="34.125" style="13" customWidth="1"/>
    <col min="4355" max="4356" width="0" style="13" hidden="1" customWidth="1"/>
    <col min="4357" max="4357" width="10.75" style="13" bestFit="1" customWidth="1"/>
    <col min="4358" max="4358" width="10.75" style="13" customWidth="1"/>
    <col min="4359" max="4359" width="11" style="13" customWidth="1"/>
    <col min="4360" max="4360" width="9.875" style="13" customWidth="1"/>
    <col min="4361" max="4364" width="10.75" style="13" customWidth="1"/>
    <col min="4365" max="4366" width="10.75" style="13" bestFit="1" customWidth="1"/>
    <col min="4367" max="4367" width="10.5" style="13" bestFit="1" customWidth="1"/>
    <col min="4368" max="4368" width="10.75" style="13" bestFit="1" customWidth="1"/>
    <col min="4369" max="4369" width="10.75" style="13" customWidth="1"/>
    <col min="4370" max="4370" width="11.5" style="13" bestFit="1" customWidth="1"/>
    <col min="4371" max="4371" width="10.75" style="13" bestFit="1" customWidth="1"/>
    <col min="4372" max="4372" width="9.875" style="13" bestFit="1" customWidth="1"/>
    <col min="4373" max="4373" width="13.375" style="13" bestFit="1" customWidth="1"/>
    <col min="4374" max="4608" width="15.625" style="13"/>
    <col min="4609" max="4609" width="4.625" style="13" customWidth="1"/>
    <col min="4610" max="4610" width="34.125" style="13" customWidth="1"/>
    <col min="4611" max="4612" width="0" style="13" hidden="1" customWidth="1"/>
    <col min="4613" max="4613" width="10.75" style="13" bestFit="1" customWidth="1"/>
    <col min="4614" max="4614" width="10.75" style="13" customWidth="1"/>
    <col min="4615" max="4615" width="11" style="13" customWidth="1"/>
    <col min="4616" max="4616" width="9.875" style="13" customWidth="1"/>
    <col min="4617" max="4620" width="10.75" style="13" customWidth="1"/>
    <col min="4621" max="4622" width="10.75" style="13" bestFit="1" customWidth="1"/>
    <col min="4623" max="4623" width="10.5" style="13" bestFit="1" customWidth="1"/>
    <col min="4624" max="4624" width="10.75" style="13" bestFit="1" customWidth="1"/>
    <col min="4625" max="4625" width="10.75" style="13" customWidth="1"/>
    <col min="4626" max="4626" width="11.5" style="13" bestFit="1" customWidth="1"/>
    <col min="4627" max="4627" width="10.75" style="13" bestFit="1" customWidth="1"/>
    <col min="4628" max="4628" width="9.875" style="13" bestFit="1" customWidth="1"/>
    <col min="4629" max="4629" width="13.375" style="13" bestFit="1" customWidth="1"/>
    <col min="4630" max="4864" width="15.625" style="13"/>
    <col min="4865" max="4865" width="4.625" style="13" customWidth="1"/>
    <col min="4866" max="4866" width="34.125" style="13" customWidth="1"/>
    <col min="4867" max="4868" width="0" style="13" hidden="1" customWidth="1"/>
    <col min="4869" max="4869" width="10.75" style="13" bestFit="1" customWidth="1"/>
    <col min="4870" max="4870" width="10.75" style="13" customWidth="1"/>
    <col min="4871" max="4871" width="11" style="13" customWidth="1"/>
    <col min="4872" max="4872" width="9.875" style="13" customWidth="1"/>
    <col min="4873" max="4876" width="10.75" style="13" customWidth="1"/>
    <col min="4877" max="4878" width="10.75" style="13" bestFit="1" customWidth="1"/>
    <col min="4879" max="4879" width="10.5" style="13" bestFit="1" customWidth="1"/>
    <col min="4880" max="4880" width="10.75" style="13" bestFit="1" customWidth="1"/>
    <col min="4881" max="4881" width="10.75" style="13" customWidth="1"/>
    <col min="4882" max="4882" width="11.5" style="13" bestFit="1" customWidth="1"/>
    <col min="4883" max="4883" width="10.75" style="13" bestFit="1" customWidth="1"/>
    <col min="4884" max="4884" width="9.875" style="13" bestFit="1" customWidth="1"/>
    <col min="4885" max="4885" width="13.375" style="13" bestFit="1" customWidth="1"/>
    <col min="4886" max="5120" width="15.625" style="13"/>
    <col min="5121" max="5121" width="4.625" style="13" customWidth="1"/>
    <col min="5122" max="5122" width="34.125" style="13" customWidth="1"/>
    <col min="5123" max="5124" width="0" style="13" hidden="1" customWidth="1"/>
    <col min="5125" max="5125" width="10.75" style="13" bestFit="1" customWidth="1"/>
    <col min="5126" max="5126" width="10.75" style="13" customWidth="1"/>
    <col min="5127" max="5127" width="11" style="13" customWidth="1"/>
    <col min="5128" max="5128" width="9.875" style="13" customWidth="1"/>
    <col min="5129" max="5132" width="10.75" style="13" customWidth="1"/>
    <col min="5133" max="5134" width="10.75" style="13" bestFit="1" customWidth="1"/>
    <col min="5135" max="5135" width="10.5" style="13" bestFit="1" customWidth="1"/>
    <col min="5136" max="5136" width="10.75" style="13" bestFit="1" customWidth="1"/>
    <col min="5137" max="5137" width="10.75" style="13" customWidth="1"/>
    <col min="5138" max="5138" width="11.5" style="13" bestFit="1" customWidth="1"/>
    <col min="5139" max="5139" width="10.75" style="13" bestFit="1" customWidth="1"/>
    <col min="5140" max="5140" width="9.875" style="13" bestFit="1" customWidth="1"/>
    <col min="5141" max="5141" width="13.375" style="13" bestFit="1" customWidth="1"/>
    <col min="5142" max="5376" width="15.625" style="13"/>
    <col min="5377" max="5377" width="4.625" style="13" customWidth="1"/>
    <col min="5378" max="5378" width="34.125" style="13" customWidth="1"/>
    <col min="5379" max="5380" width="0" style="13" hidden="1" customWidth="1"/>
    <col min="5381" max="5381" width="10.75" style="13" bestFit="1" customWidth="1"/>
    <col min="5382" max="5382" width="10.75" style="13" customWidth="1"/>
    <col min="5383" max="5383" width="11" style="13" customWidth="1"/>
    <col min="5384" max="5384" width="9.875" style="13" customWidth="1"/>
    <col min="5385" max="5388" width="10.75" style="13" customWidth="1"/>
    <col min="5389" max="5390" width="10.75" style="13" bestFit="1" customWidth="1"/>
    <col min="5391" max="5391" width="10.5" style="13" bestFit="1" customWidth="1"/>
    <col min="5392" max="5392" width="10.75" style="13" bestFit="1" customWidth="1"/>
    <col min="5393" max="5393" width="10.75" style="13" customWidth="1"/>
    <col min="5394" max="5394" width="11.5" style="13" bestFit="1" customWidth="1"/>
    <col min="5395" max="5395" width="10.75" style="13" bestFit="1" customWidth="1"/>
    <col min="5396" max="5396" width="9.875" style="13" bestFit="1" customWidth="1"/>
    <col min="5397" max="5397" width="13.375" style="13" bestFit="1" customWidth="1"/>
    <col min="5398" max="5632" width="15.625" style="13"/>
    <col min="5633" max="5633" width="4.625" style="13" customWidth="1"/>
    <col min="5634" max="5634" width="34.125" style="13" customWidth="1"/>
    <col min="5635" max="5636" width="0" style="13" hidden="1" customWidth="1"/>
    <col min="5637" max="5637" width="10.75" style="13" bestFit="1" customWidth="1"/>
    <col min="5638" max="5638" width="10.75" style="13" customWidth="1"/>
    <col min="5639" max="5639" width="11" style="13" customWidth="1"/>
    <col min="5640" max="5640" width="9.875" style="13" customWidth="1"/>
    <col min="5641" max="5644" width="10.75" style="13" customWidth="1"/>
    <col min="5645" max="5646" width="10.75" style="13" bestFit="1" customWidth="1"/>
    <col min="5647" max="5647" width="10.5" style="13" bestFit="1" customWidth="1"/>
    <col min="5648" max="5648" width="10.75" style="13" bestFit="1" customWidth="1"/>
    <col min="5649" max="5649" width="10.75" style="13" customWidth="1"/>
    <col min="5650" max="5650" width="11.5" style="13" bestFit="1" customWidth="1"/>
    <col min="5651" max="5651" width="10.75" style="13" bestFit="1" customWidth="1"/>
    <col min="5652" max="5652" width="9.875" style="13" bestFit="1" customWidth="1"/>
    <col min="5653" max="5653" width="13.375" style="13" bestFit="1" customWidth="1"/>
    <col min="5654" max="5888" width="15.625" style="13"/>
    <col min="5889" max="5889" width="4.625" style="13" customWidth="1"/>
    <col min="5890" max="5890" width="34.125" style="13" customWidth="1"/>
    <col min="5891" max="5892" width="0" style="13" hidden="1" customWidth="1"/>
    <col min="5893" max="5893" width="10.75" style="13" bestFit="1" customWidth="1"/>
    <col min="5894" max="5894" width="10.75" style="13" customWidth="1"/>
    <col min="5895" max="5895" width="11" style="13" customWidth="1"/>
    <col min="5896" max="5896" width="9.875" style="13" customWidth="1"/>
    <col min="5897" max="5900" width="10.75" style="13" customWidth="1"/>
    <col min="5901" max="5902" width="10.75" style="13" bestFit="1" customWidth="1"/>
    <col min="5903" max="5903" width="10.5" style="13" bestFit="1" customWidth="1"/>
    <col min="5904" max="5904" width="10.75" style="13" bestFit="1" customWidth="1"/>
    <col min="5905" max="5905" width="10.75" style="13" customWidth="1"/>
    <col min="5906" max="5906" width="11.5" style="13" bestFit="1" customWidth="1"/>
    <col min="5907" max="5907" width="10.75" style="13" bestFit="1" customWidth="1"/>
    <col min="5908" max="5908" width="9.875" style="13" bestFit="1" customWidth="1"/>
    <col min="5909" max="5909" width="13.375" style="13" bestFit="1" customWidth="1"/>
    <col min="5910" max="6144" width="15.625" style="13"/>
    <col min="6145" max="6145" width="4.625" style="13" customWidth="1"/>
    <col min="6146" max="6146" width="34.125" style="13" customWidth="1"/>
    <col min="6147" max="6148" width="0" style="13" hidden="1" customWidth="1"/>
    <col min="6149" max="6149" width="10.75" style="13" bestFit="1" customWidth="1"/>
    <col min="6150" max="6150" width="10.75" style="13" customWidth="1"/>
    <col min="6151" max="6151" width="11" style="13" customWidth="1"/>
    <col min="6152" max="6152" width="9.875" style="13" customWidth="1"/>
    <col min="6153" max="6156" width="10.75" style="13" customWidth="1"/>
    <col min="6157" max="6158" width="10.75" style="13" bestFit="1" customWidth="1"/>
    <col min="6159" max="6159" width="10.5" style="13" bestFit="1" customWidth="1"/>
    <col min="6160" max="6160" width="10.75" style="13" bestFit="1" customWidth="1"/>
    <col min="6161" max="6161" width="10.75" style="13" customWidth="1"/>
    <col min="6162" max="6162" width="11.5" style="13" bestFit="1" customWidth="1"/>
    <col min="6163" max="6163" width="10.75" style="13" bestFit="1" customWidth="1"/>
    <col min="6164" max="6164" width="9.875" style="13" bestFit="1" customWidth="1"/>
    <col min="6165" max="6165" width="13.375" style="13" bestFit="1" customWidth="1"/>
    <col min="6166" max="6400" width="15.625" style="13"/>
    <col min="6401" max="6401" width="4.625" style="13" customWidth="1"/>
    <col min="6402" max="6402" width="34.125" style="13" customWidth="1"/>
    <col min="6403" max="6404" width="0" style="13" hidden="1" customWidth="1"/>
    <col min="6405" max="6405" width="10.75" style="13" bestFit="1" customWidth="1"/>
    <col min="6406" max="6406" width="10.75" style="13" customWidth="1"/>
    <col min="6407" max="6407" width="11" style="13" customWidth="1"/>
    <col min="6408" max="6408" width="9.875" style="13" customWidth="1"/>
    <col min="6409" max="6412" width="10.75" style="13" customWidth="1"/>
    <col min="6413" max="6414" width="10.75" style="13" bestFit="1" customWidth="1"/>
    <col min="6415" max="6415" width="10.5" style="13" bestFit="1" customWidth="1"/>
    <col min="6416" max="6416" width="10.75" style="13" bestFit="1" customWidth="1"/>
    <col min="6417" max="6417" width="10.75" style="13" customWidth="1"/>
    <col min="6418" max="6418" width="11.5" style="13" bestFit="1" customWidth="1"/>
    <col min="6419" max="6419" width="10.75" style="13" bestFit="1" customWidth="1"/>
    <col min="6420" max="6420" width="9.875" style="13" bestFit="1" customWidth="1"/>
    <col min="6421" max="6421" width="13.375" style="13" bestFit="1" customWidth="1"/>
    <col min="6422" max="6656" width="15.625" style="13"/>
    <col min="6657" max="6657" width="4.625" style="13" customWidth="1"/>
    <col min="6658" max="6658" width="34.125" style="13" customWidth="1"/>
    <col min="6659" max="6660" width="0" style="13" hidden="1" customWidth="1"/>
    <col min="6661" max="6661" width="10.75" style="13" bestFit="1" customWidth="1"/>
    <col min="6662" max="6662" width="10.75" style="13" customWidth="1"/>
    <col min="6663" max="6663" width="11" style="13" customWidth="1"/>
    <col min="6664" max="6664" width="9.875" style="13" customWidth="1"/>
    <col min="6665" max="6668" width="10.75" style="13" customWidth="1"/>
    <col min="6669" max="6670" width="10.75" style="13" bestFit="1" customWidth="1"/>
    <col min="6671" max="6671" width="10.5" style="13" bestFit="1" customWidth="1"/>
    <col min="6672" max="6672" width="10.75" style="13" bestFit="1" customWidth="1"/>
    <col min="6673" max="6673" width="10.75" style="13" customWidth="1"/>
    <col min="6674" max="6674" width="11.5" style="13" bestFit="1" customWidth="1"/>
    <col min="6675" max="6675" width="10.75" style="13" bestFit="1" customWidth="1"/>
    <col min="6676" max="6676" width="9.875" style="13" bestFit="1" customWidth="1"/>
    <col min="6677" max="6677" width="13.375" style="13" bestFit="1" customWidth="1"/>
    <col min="6678" max="6912" width="15.625" style="13"/>
    <col min="6913" max="6913" width="4.625" style="13" customWidth="1"/>
    <col min="6914" max="6914" width="34.125" style="13" customWidth="1"/>
    <col min="6915" max="6916" width="0" style="13" hidden="1" customWidth="1"/>
    <col min="6917" max="6917" width="10.75" style="13" bestFit="1" customWidth="1"/>
    <col min="6918" max="6918" width="10.75" style="13" customWidth="1"/>
    <col min="6919" max="6919" width="11" style="13" customWidth="1"/>
    <col min="6920" max="6920" width="9.875" style="13" customWidth="1"/>
    <col min="6921" max="6924" width="10.75" style="13" customWidth="1"/>
    <col min="6925" max="6926" width="10.75" style="13" bestFit="1" customWidth="1"/>
    <col min="6927" max="6927" width="10.5" style="13" bestFit="1" customWidth="1"/>
    <col min="6928" max="6928" width="10.75" style="13" bestFit="1" customWidth="1"/>
    <col min="6929" max="6929" width="10.75" style="13" customWidth="1"/>
    <col min="6930" max="6930" width="11.5" style="13" bestFit="1" customWidth="1"/>
    <col min="6931" max="6931" width="10.75" style="13" bestFit="1" customWidth="1"/>
    <col min="6932" max="6932" width="9.875" style="13" bestFit="1" customWidth="1"/>
    <col min="6933" max="6933" width="13.375" style="13" bestFit="1" customWidth="1"/>
    <col min="6934" max="7168" width="15.625" style="13"/>
    <col min="7169" max="7169" width="4.625" style="13" customWidth="1"/>
    <col min="7170" max="7170" width="34.125" style="13" customWidth="1"/>
    <col min="7171" max="7172" width="0" style="13" hidden="1" customWidth="1"/>
    <col min="7173" max="7173" width="10.75" style="13" bestFit="1" customWidth="1"/>
    <col min="7174" max="7174" width="10.75" style="13" customWidth="1"/>
    <col min="7175" max="7175" width="11" style="13" customWidth="1"/>
    <col min="7176" max="7176" width="9.875" style="13" customWidth="1"/>
    <col min="7177" max="7180" width="10.75" style="13" customWidth="1"/>
    <col min="7181" max="7182" width="10.75" style="13" bestFit="1" customWidth="1"/>
    <col min="7183" max="7183" width="10.5" style="13" bestFit="1" customWidth="1"/>
    <col min="7184" max="7184" width="10.75" style="13" bestFit="1" customWidth="1"/>
    <col min="7185" max="7185" width="10.75" style="13" customWidth="1"/>
    <col min="7186" max="7186" width="11.5" style="13" bestFit="1" customWidth="1"/>
    <col min="7187" max="7187" width="10.75" style="13" bestFit="1" customWidth="1"/>
    <col min="7188" max="7188" width="9.875" style="13" bestFit="1" customWidth="1"/>
    <col min="7189" max="7189" width="13.375" style="13" bestFit="1" customWidth="1"/>
    <col min="7190" max="7424" width="15.625" style="13"/>
    <col min="7425" max="7425" width="4.625" style="13" customWidth="1"/>
    <col min="7426" max="7426" width="34.125" style="13" customWidth="1"/>
    <col min="7427" max="7428" width="0" style="13" hidden="1" customWidth="1"/>
    <col min="7429" max="7429" width="10.75" style="13" bestFit="1" customWidth="1"/>
    <col min="7430" max="7430" width="10.75" style="13" customWidth="1"/>
    <col min="7431" max="7431" width="11" style="13" customWidth="1"/>
    <col min="7432" max="7432" width="9.875" style="13" customWidth="1"/>
    <col min="7433" max="7436" width="10.75" style="13" customWidth="1"/>
    <col min="7437" max="7438" width="10.75" style="13" bestFit="1" customWidth="1"/>
    <col min="7439" max="7439" width="10.5" style="13" bestFit="1" customWidth="1"/>
    <col min="7440" max="7440" width="10.75" style="13" bestFit="1" customWidth="1"/>
    <col min="7441" max="7441" width="10.75" style="13" customWidth="1"/>
    <col min="7442" max="7442" width="11.5" style="13" bestFit="1" customWidth="1"/>
    <col min="7443" max="7443" width="10.75" style="13" bestFit="1" customWidth="1"/>
    <col min="7444" max="7444" width="9.875" style="13" bestFit="1" customWidth="1"/>
    <col min="7445" max="7445" width="13.375" style="13" bestFit="1" customWidth="1"/>
    <col min="7446" max="7680" width="15.625" style="13"/>
    <col min="7681" max="7681" width="4.625" style="13" customWidth="1"/>
    <col min="7682" max="7682" width="34.125" style="13" customWidth="1"/>
    <col min="7683" max="7684" width="0" style="13" hidden="1" customWidth="1"/>
    <col min="7685" max="7685" width="10.75" style="13" bestFit="1" customWidth="1"/>
    <col min="7686" max="7686" width="10.75" style="13" customWidth="1"/>
    <col min="7687" max="7687" width="11" style="13" customWidth="1"/>
    <col min="7688" max="7688" width="9.875" style="13" customWidth="1"/>
    <col min="7689" max="7692" width="10.75" style="13" customWidth="1"/>
    <col min="7693" max="7694" width="10.75" style="13" bestFit="1" customWidth="1"/>
    <col min="7695" max="7695" width="10.5" style="13" bestFit="1" customWidth="1"/>
    <col min="7696" max="7696" width="10.75" style="13" bestFit="1" customWidth="1"/>
    <col min="7697" max="7697" width="10.75" style="13" customWidth="1"/>
    <col min="7698" max="7698" width="11.5" style="13" bestFit="1" customWidth="1"/>
    <col min="7699" max="7699" width="10.75" style="13" bestFit="1" customWidth="1"/>
    <col min="7700" max="7700" width="9.875" style="13" bestFit="1" customWidth="1"/>
    <col min="7701" max="7701" width="13.375" style="13" bestFit="1" customWidth="1"/>
    <col min="7702" max="7936" width="15.625" style="13"/>
    <col min="7937" max="7937" width="4.625" style="13" customWidth="1"/>
    <col min="7938" max="7938" width="34.125" style="13" customWidth="1"/>
    <col min="7939" max="7940" width="0" style="13" hidden="1" customWidth="1"/>
    <col min="7941" max="7941" width="10.75" style="13" bestFit="1" customWidth="1"/>
    <col min="7942" max="7942" width="10.75" style="13" customWidth="1"/>
    <col min="7943" max="7943" width="11" style="13" customWidth="1"/>
    <col min="7944" max="7944" width="9.875" style="13" customWidth="1"/>
    <col min="7945" max="7948" width="10.75" style="13" customWidth="1"/>
    <col min="7949" max="7950" width="10.75" style="13" bestFit="1" customWidth="1"/>
    <col min="7951" max="7951" width="10.5" style="13" bestFit="1" customWidth="1"/>
    <col min="7952" max="7952" width="10.75" style="13" bestFit="1" customWidth="1"/>
    <col min="7953" max="7953" width="10.75" style="13" customWidth="1"/>
    <col min="7954" max="7954" width="11.5" style="13" bestFit="1" customWidth="1"/>
    <col min="7955" max="7955" width="10.75" style="13" bestFit="1" customWidth="1"/>
    <col min="7956" max="7956" width="9.875" style="13" bestFit="1" customWidth="1"/>
    <col min="7957" max="7957" width="13.375" style="13" bestFit="1" customWidth="1"/>
    <col min="7958" max="8192" width="15.625" style="13"/>
    <col min="8193" max="8193" width="4.625" style="13" customWidth="1"/>
    <col min="8194" max="8194" width="34.125" style="13" customWidth="1"/>
    <col min="8195" max="8196" width="0" style="13" hidden="1" customWidth="1"/>
    <col min="8197" max="8197" width="10.75" style="13" bestFit="1" customWidth="1"/>
    <col min="8198" max="8198" width="10.75" style="13" customWidth="1"/>
    <col min="8199" max="8199" width="11" style="13" customWidth="1"/>
    <col min="8200" max="8200" width="9.875" style="13" customWidth="1"/>
    <col min="8201" max="8204" width="10.75" style="13" customWidth="1"/>
    <col min="8205" max="8206" width="10.75" style="13" bestFit="1" customWidth="1"/>
    <col min="8207" max="8207" width="10.5" style="13" bestFit="1" customWidth="1"/>
    <col min="8208" max="8208" width="10.75" style="13" bestFit="1" customWidth="1"/>
    <col min="8209" max="8209" width="10.75" style="13" customWidth="1"/>
    <col min="8210" max="8210" width="11.5" style="13" bestFit="1" customWidth="1"/>
    <col min="8211" max="8211" width="10.75" style="13" bestFit="1" customWidth="1"/>
    <col min="8212" max="8212" width="9.875" style="13" bestFit="1" customWidth="1"/>
    <col min="8213" max="8213" width="13.375" style="13" bestFit="1" customWidth="1"/>
    <col min="8214" max="8448" width="15.625" style="13"/>
    <col min="8449" max="8449" width="4.625" style="13" customWidth="1"/>
    <col min="8450" max="8450" width="34.125" style="13" customWidth="1"/>
    <col min="8451" max="8452" width="0" style="13" hidden="1" customWidth="1"/>
    <col min="8453" max="8453" width="10.75" style="13" bestFit="1" customWidth="1"/>
    <col min="8454" max="8454" width="10.75" style="13" customWidth="1"/>
    <col min="8455" max="8455" width="11" style="13" customWidth="1"/>
    <col min="8456" max="8456" width="9.875" style="13" customWidth="1"/>
    <col min="8457" max="8460" width="10.75" style="13" customWidth="1"/>
    <col min="8461" max="8462" width="10.75" style="13" bestFit="1" customWidth="1"/>
    <col min="8463" max="8463" width="10.5" style="13" bestFit="1" customWidth="1"/>
    <col min="8464" max="8464" width="10.75" style="13" bestFit="1" customWidth="1"/>
    <col min="8465" max="8465" width="10.75" style="13" customWidth="1"/>
    <col min="8466" max="8466" width="11.5" style="13" bestFit="1" customWidth="1"/>
    <col min="8467" max="8467" width="10.75" style="13" bestFit="1" customWidth="1"/>
    <col min="8468" max="8468" width="9.875" style="13" bestFit="1" customWidth="1"/>
    <col min="8469" max="8469" width="13.375" style="13" bestFit="1" customWidth="1"/>
    <col min="8470" max="8704" width="15.625" style="13"/>
    <col min="8705" max="8705" width="4.625" style="13" customWidth="1"/>
    <col min="8706" max="8706" width="34.125" style="13" customWidth="1"/>
    <col min="8707" max="8708" width="0" style="13" hidden="1" customWidth="1"/>
    <col min="8709" max="8709" width="10.75" style="13" bestFit="1" customWidth="1"/>
    <col min="8710" max="8710" width="10.75" style="13" customWidth="1"/>
    <col min="8711" max="8711" width="11" style="13" customWidth="1"/>
    <col min="8712" max="8712" width="9.875" style="13" customWidth="1"/>
    <col min="8713" max="8716" width="10.75" style="13" customWidth="1"/>
    <col min="8717" max="8718" width="10.75" style="13" bestFit="1" customWidth="1"/>
    <col min="8719" max="8719" width="10.5" style="13" bestFit="1" customWidth="1"/>
    <col min="8720" max="8720" width="10.75" style="13" bestFit="1" customWidth="1"/>
    <col min="8721" max="8721" width="10.75" style="13" customWidth="1"/>
    <col min="8722" max="8722" width="11.5" style="13" bestFit="1" customWidth="1"/>
    <col min="8723" max="8723" width="10.75" style="13" bestFit="1" customWidth="1"/>
    <col min="8724" max="8724" width="9.875" style="13" bestFit="1" customWidth="1"/>
    <col min="8725" max="8725" width="13.375" style="13" bestFit="1" customWidth="1"/>
    <col min="8726" max="8960" width="15.625" style="13"/>
    <col min="8961" max="8961" width="4.625" style="13" customWidth="1"/>
    <col min="8962" max="8962" width="34.125" style="13" customWidth="1"/>
    <col min="8963" max="8964" width="0" style="13" hidden="1" customWidth="1"/>
    <col min="8965" max="8965" width="10.75" style="13" bestFit="1" customWidth="1"/>
    <col min="8966" max="8966" width="10.75" style="13" customWidth="1"/>
    <col min="8967" max="8967" width="11" style="13" customWidth="1"/>
    <col min="8968" max="8968" width="9.875" style="13" customWidth="1"/>
    <col min="8969" max="8972" width="10.75" style="13" customWidth="1"/>
    <col min="8973" max="8974" width="10.75" style="13" bestFit="1" customWidth="1"/>
    <col min="8975" max="8975" width="10.5" style="13" bestFit="1" customWidth="1"/>
    <col min="8976" max="8976" width="10.75" style="13" bestFit="1" customWidth="1"/>
    <col min="8977" max="8977" width="10.75" style="13" customWidth="1"/>
    <col min="8978" max="8978" width="11.5" style="13" bestFit="1" customWidth="1"/>
    <col min="8979" max="8979" width="10.75" style="13" bestFit="1" customWidth="1"/>
    <col min="8980" max="8980" width="9.875" style="13" bestFit="1" customWidth="1"/>
    <col min="8981" max="8981" width="13.375" style="13" bestFit="1" customWidth="1"/>
    <col min="8982" max="9216" width="15.625" style="13"/>
    <col min="9217" max="9217" width="4.625" style="13" customWidth="1"/>
    <col min="9218" max="9218" width="34.125" style="13" customWidth="1"/>
    <col min="9219" max="9220" width="0" style="13" hidden="1" customWidth="1"/>
    <col min="9221" max="9221" width="10.75" style="13" bestFit="1" customWidth="1"/>
    <col min="9222" max="9222" width="10.75" style="13" customWidth="1"/>
    <col min="9223" max="9223" width="11" style="13" customWidth="1"/>
    <col min="9224" max="9224" width="9.875" style="13" customWidth="1"/>
    <col min="9225" max="9228" width="10.75" style="13" customWidth="1"/>
    <col min="9229" max="9230" width="10.75" style="13" bestFit="1" customWidth="1"/>
    <col min="9231" max="9231" width="10.5" style="13" bestFit="1" customWidth="1"/>
    <col min="9232" max="9232" width="10.75" style="13" bestFit="1" customWidth="1"/>
    <col min="9233" max="9233" width="10.75" style="13" customWidth="1"/>
    <col min="9234" max="9234" width="11.5" style="13" bestFit="1" customWidth="1"/>
    <col min="9235" max="9235" width="10.75" style="13" bestFit="1" customWidth="1"/>
    <col min="9236" max="9236" width="9.875" style="13" bestFit="1" customWidth="1"/>
    <col min="9237" max="9237" width="13.375" style="13" bestFit="1" customWidth="1"/>
    <col min="9238" max="9472" width="15.625" style="13"/>
    <col min="9473" max="9473" width="4.625" style="13" customWidth="1"/>
    <col min="9474" max="9474" width="34.125" style="13" customWidth="1"/>
    <col min="9475" max="9476" width="0" style="13" hidden="1" customWidth="1"/>
    <col min="9477" max="9477" width="10.75" style="13" bestFit="1" customWidth="1"/>
    <col min="9478" max="9478" width="10.75" style="13" customWidth="1"/>
    <col min="9479" max="9479" width="11" style="13" customWidth="1"/>
    <col min="9480" max="9480" width="9.875" style="13" customWidth="1"/>
    <col min="9481" max="9484" width="10.75" style="13" customWidth="1"/>
    <col min="9485" max="9486" width="10.75" style="13" bestFit="1" customWidth="1"/>
    <col min="9487" max="9487" width="10.5" style="13" bestFit="1" customWidth="1"/>
    <col min="9488" max="9488" width="10.75" style="13" bestFit="1" customWidth="1"/>
    <col min="9489" max="9489" width="10.75" style="13" customWidth="1"/>
    <col min="9490" max="9490" width="11.5" style="13" bestFit="1" customWidth="1"/>
    <col min="9491" max="9491" width="10.75" style="13" bestFit="1" customWidth="1"/>
    <col min="9492" max="9492" width="9.875" style="13" bestFit="1" customWidth="1"/>
    <col min="9493" max="9493" width="13.375" style="13" bestFit="1" customWidth="1"/>
    <col min="9494" max="9728" width="15.625" style="13"/>
    <col min="9729" max="9729" width="4.625" style="13" customWidth="1"/>
    <col min="9730" max="9730" width="34.125" style="13" customWidth="1"/>
    <col min="9731" max="9732" width="0" style="13" hidden="1" customWidth="1"/>
    <col min="9733" max="9733" width="10.75" style="13" bestFit="1" customWidth="1"/>
    <col min="9734" max="9734" width="10.75" style="13" customWidth="1"/>
    <col min="9735" max="9735" width="11" style="13" customWidth="1"/>
    <col min="9736" max="9736" width="9.875" style="13" customWidth="1"/>
    <col min="9737" max="9740" width="10.75" style="13" customWidth="1"/>
    <col min="9741" max="9742" width="10.75" style="13" bestFit="1" customWidth="1"/>
    <col min="9743" max="9743" width="10.5" style="13" bestFit="1" customWidth="1"/>
    <col min="9744" max="9744" width="10.75" style="13" bestFit="1" customWidth="1"/>
    <col min="9745" max="9745" width="10.75" style="13" customWidth="1"/>
    <col min="9746" max="9746" width="11.5" style="13" bestFit="1" customWidth="1"/>
    <col min="9747" max="9747" width="10.75" style="13" bestFit="1" customWidth="1"/>
    <col min="9748" max="9748" width="9.875" style="13" bestFit="1" customWidth="1"/>
    <col min="9749" max="9749" width="13.375" style="13" bestFit="1" customWidth="1"/>
    <col min="9750" max="9984" width="15.625" style="13"/>
    <col min="9985" max="9985" width="4.625" style="13" customWidth="1"/>
    <col min="9986" max="9986" width="34.125" style="13" customWidth="1"/>
    <col min="9987" max="9988" width="0" style="13" hidden="1" customWidth="1"/>
    <col min="9989" max="9989" width="10.75" style="13" bestFit="1" customWidth="1"/>
    <col min="9990" max="9990" width="10.75" style="13" customWidth="1"/>
    <col min="9991" max="9991" width="11" style="13" customWidth="1"/>
    <col min="9992" max="9992" width="9.875" style="13" customWidth="1"/>
    <col min="9993" max="9996" width="10.75" style="13" customWidth="1"/>
    <col min="9997" max="9998" width="10.75" style="13" bestFit="1" customWidth="1"/>
    <col min="9999" max="9999" width="10.5" style="13" bestFit="1" customWidth="1"/>
    <col min="10000" max="10000" width="10.75" style="13" bestFit="1" customWidth="1"/>
    <col min="10001" max="10001" width="10.75" style="13" customWidth="1"/>
    <col min="10002" max="10002" width="11.5" style="13" bestFit="1" customWidth="1"/>
    <col min="10003" max="10003" width="10.75" style="13" bestFit="1" customWidth="1"/>
    <col min="10004" max="10004" width="9.875" style="13" bestFit="1" customWidth="1"/>
    <col min="10005" max="10005" width="13.375" style="13" bestFit="1" customWidth="1"/>
    <col min="10006" max="10240" width="15.625" style="13"/>
    <col min="10241" max="10241" width="4.625" style="13" customWidth="1"/>
    <col min="10242" max="10242" width="34.125" style="13" customWidth="1"/>
    <col min="10243" max="10244" width="0" style="13" hidden="1" customWidth="1"/>
    <col min="10245" max="10245" width="10.75" style="13" bestFit="1" customWidth="1"/>
    <col min="10246" max="10246" width="10.75" style="13" customWidth="1"/>
    <col min="10247" max="10247" width="11" style="13" customWidth="1"/>
    <col min="10248" max="10248" width="9.875" style="13" customWidth="1"/>
    <col min="10249" max="10252" width="10.75" style="13" customWidth="1"/>
    <col min="10253" max="10254" width="10.75" style="13" bestFit="1" customWidth="1"/>
    <col min="10255" max="10255" width="10.5" style="13" bestFit="1" customWidth="1"/>
    <col min="10256" max="10256" width="10.75" style="13" bestFit="1" customWidth="1"/>
    <col min="10257" max="10257" width="10.75" style="13" customWidth="1"/>
    <col min="10258" max="10258" width="11.5" style="13" bestFit="1" customWidth="1"/>
    <col min="10259" max="10259" width="10.75" style="13" bestFit="1" customWidth="1"/>
    <col min="10260" max="10260" width="9.875" style="13" bestFit="1" customWidth="1"/>
    <col min="10261" max="10261" width="13.375" style="13" bestFit="1" customWidth="1"/>
    <col min="10262" max="10496" width="15.625" style="13"/>
    <col min="10497" max="10497" width="4.625" style="13" customWidth="1"/>
    <col min="10498" max="10498" width="34.125" style="13" customWidth="1"/>
    <col min="10499" max="10500" width="0" style="13" hidden="1" customWidth="1"/>
    <col min="10501" max="10501" width="10.75" style="13" bestFit="1" customWidth="1"/>
    <col min="10502" max="10502" width="10.75" style="13" customWidth="1"/>
    <col min="10503" max="10503" width="11" style="13" customWidth="1"/>
    <col min="10504" max="10504" width="9.875" style="13" customWidth="1"/>
    <col min="10505" max="10508" width="10.75" style="13" customWidth="1"/>
    <col min="10509" max="10510" width="10.75" style="13" bestFit="1" customWidth="1"/>
    <col min="10511" max="10511" width="10.5" style="13" bestFit="1" customWidth="1"/>
    <col min="10512" max="10512" width="10.75" style="13" bestFit="1" customWidth="1"/>
    <col min="10513" max="10513" width="10.75" style="13" customWidth="1"/>
    <col min="10514" max="10514" width="11.5" style="13" bestFit="1" customWidth="1"/>
    <col min="10515" max="10515" width="10.75" style="13" bestFit="1" customWidth="1"/>
    <col min="10516" max="10516" width="9.875" style="13" bestFit="1" customWidth="1"/>
    <col min="10517" max="10517" width="13.375" style="13" bestFit="1" customWidth="1"/>
    <col min="10518" max="10752" width="15.625" style="13"/>
    <col min="10753" max="10753" width="4.625" style="13" customWidth="1"/>
    <col min="10754" max="10754" width="34.125" style="13" customWidth="1"/>
    <col min="10755" max="10756" width="0" style="13" hidden="1" customWidth="1"/>
    <col min="10757" max="10757" width="10.75" style="13" bestFit="1" customWidth="1"/>
    <col min="10758" max="10758" width="10.75" style="13" customWidth="1"/>
    <col min="10759" max="10759" width="11" style="13" customWidth="1"/>
    <col min="10760" max="10760" width="9.875" style="13" customWidth="1"/>
    <col min="10761" max="10764" width="10.75" style="13" customWidth="1"/>
    <col min="10765" max="10766" width="10.75" style="13" bestFit="1" customWidth="1"/>
    <col min="10767" max="10767" width="10.5" style="13" bestFit="1" customWidth="1"/>
    <col min="10768" max="10768" width="10.75" style="13" bestFit="1" customWidth="1"/>
    <col min="10769" max="10769" width="10.75" style="13" customWidth="1"/>
    <col min="10770" max="10770" width="11.5" style="13" bestFit="1" customWidth="1"/>
    <col min="10771" max="10771" width="10.75" style="13" bestFit="1" customWidth="1"/>
    <col min="10772" max="10772" width="9.875" style="13" bestFit="1" customWidth="1"/>
    <col min="10773" max="10773" width="13.375" style="13" bestFit="1" customWidth="1"/>
    <col min="10774" max="11008" width="15.625" style="13"/>
    <col min="11009" max="11009" width="4.625" style="13" customWidth="1"/>
    <col min="11010" max="11010" width="34.125" style="13" customWidth="1"/>
    <col min="11011" max="11012" width="0" style="13" hidden="1" customWidth="1"/>
    <col min="11013" max="11013" width="10.75" style="13" bestFit="1" customWidth="1"/>
    <col min="11014" max="11014" width="10.75" style="13" customWidth="1"/>
    <col min="11015" max="11015" width="11" style="13" customWidth="1"/>
    <col min="11016" max="11016" width="9.875" style="13" customWidth="1"/>
    <col min="11017" max="11020" width="10.75" style="13" customWidth="1"/>
    <col min="11021" max="11022" width="10.75" style="13" bestFit="1" customWidth="1"/>
    <col min="11023" max="11023" width="10.5" style="13" bestFit="1" customWidth="1"/>
    <col min="11024" max="11024" width="10.75" style="13" bestFit="1" customWidth="1"/>
    <col min="11025" max="11025" width="10.75" style="13" customWidth="1"/>
    <col min="11026" max="11026" width="11.5" style="13" bestFit="1" customWidth="1"/>
    <col min="11027" max="11027" width="10.75" style="13" bestFit="1" customWidth="1"/>
    <col min="11028" max="11028" width="9.875" style="13" bestFit="1" customWidth="1"/>
    <col min="11029" max="11029" width="13.375" style="13" bestFit="1" customWidth="1"/>
    <col min="11030" max="11264" width="15.625" style="13"/>
    <col min="11265" max="11265" width="4.625" style="13" customWidth="1"/>
    <col min="11266" max="11266" width="34.125" style="13" customWidth="1"/>
    <col min="11267" max="11268" width="0" style="13" hidden="1" customWidth="1"/>
    <col min="11269" max="11269" width="10.75" style="13" bestFit="1" customWidth="1"/>
    <col min="11270" max="11270" width="10.75" style="13" customWidth="1"/>
    <col min="11271" max="11271" width="11" style="13" customWidth="1"/>
    <col min="11272" max="11272" width="9.875" style="13" customWidth="1"/>
    <col min="11273" max="11276" width="10.75" style="13" customWidth="1"/>
    <col min="11277" max="11278" width="10.75" style="13" bestFit="1" customWidth="1"/>
    <col min="11279" max="11279" width="10.5" style="13" bestFit="1" customWidth="1"/>
    <col min="11280" max="11280" width="10.75" style="13" bestFit="1" customWidth="1"/>
    <col min="11281" max="11281" width="10.75" style="13" customWidth="1"/>
    <col min="11282" max="11282" width="11.5" style="13" bestFit="1" customWidth="1"/>
    <col min="11283" max="11283" width="10.75" style="13" bestFit="1" customWidth="1"/>
    <col min="11284" max="11284" width="9.875" style="13" bestFit="1" customWidth="1"/>
    <col min="11285" max="11285" width="13.375" style="13" bestFit="1" customWidth="1"/>
    <col min="11286" max="11520" width="15.625" style="13"/>
    <col min="11521" max="11521" width="4.625" style="13" customWidth="1"/>
    <col min="11522" max="11522" width="34.125" style="13" customWidth="1"/>
    <col min="11523" max="11524" width="0" style="13" hidden="1" customWidth="1"/>
    <col min="11525" max="11525" width="10.75" style="13" bestFit="1" customWidth="1"/>
    <col min="11526" max="11526" width="10.75" style="13" customWidth="1"/>
    <col min="11527" max="11527" width="11" style="13" customWidth="1"/>
    <col min="11528" max="11528" width="9.875" style="13" customWidth="1"/>
    <col min="11529" max="11532" width="10.75" style="13" customWidth="1"/>
    <col min="11533" max="11534" width="10.75" style="13" bestFit="1" customWidth="1"/>
    <col min="11535" max="11535" width="10.5" style="13" bestFit="1" customWidth="1"/>
    <col min="11536" max="11536" width="10.75" style="13" bestFit="1" customWidth="1"/>
    <col min="11537" max="11537" width="10.75" style="13" customWidth="1"/>
    <col min="11538" max="11538" width="11.5" style="13" bestFit="1" customWidth="1"/>
    <col min="11539" max="11539" width="10.75" style="13" bestFit="1" customWidth="1"/>
    <col min="11540" max="11540" width="9.875" style="13" bestFit="1" customWidth="1"/>
    <col min="11541" max="11541" width="13.375" style="13" bestFit="1" customWidth="1"/>
    <col min="11542" max="11776" width="15.625" style="13"/>
    <col min="11777" max="11777" width="4.625" style="13" customWidth="1"/>
    <col min="11778" max="11778" width="34.125" style="13" customWidth="1"/>
    <col min="11779" max="11780" width="0" style="13" hidden="1" customWidth="1"/>
    <col min="11781" max="11781" width="10.75" style="13" bestFit="1" customWidth="1"/>
    <col min="11782" max="11782" width="10.75" style="13" customWidth="1"/>
    <col min="11783" max="11783" width="11" style="13" customWidth="1"/>
    <col min="11784" max="11784" width="9.875" style="13" customWidth="1"/>
    <col min="11785" max="11788" width="10.75" style="13" customWidth="1"/>
    <col min="11789" max="11790" width="10.75" style="13" bestFit="1" customWidth="1"/>
    <col min="11791" max="11791" width="10.5" style="13" bestFit="1" customWidth="1"/>
    <col min="11792" max="11792" width="10.75" style="13" bestFit="1" customWidth="1"/>
    <col min="11793" max="11793" width="10.75" style="13" customWidth="1"/>
    <col min="11794" max="11794" width="11.5" style="13" bestFit="1" customWidth="1"/>
    <col min="11795" max="11795" width="10.75" style="13" bestFit="1" customWidth="1"/>
    <col min="11796" max="11796" width="9.875" style="13" bestFit="1" customWidth="1"/>
    <col min="11797" max="11797" width="13.375" style="13" bestFit="1" customWidth="1"/>
    <col min="11798" max="12032" width="15.625" style="13"/>
    <col min="12033" max="12033" width="4.625" style="13" customWidth="1"/>
    <col min="12034" max="12034" width="34.125" style="13" customWidth="1"/>
    <col min="12035" max="12036" width="0" style="13" hidden="1" customWidth="1"/>
    <col min="12037" max="12037" width="10.75" style="13" bestFit="1" customWidth="1"/>
    <col min="12038" max="12038" width="10.75" style="13" customWidth="1"/>
    <col min="12039" max="12039" width="11" style="13" customWidth="1"/>
    <col min="12040" max="12040" width="9.875" style="13" customWidth="1"/>
    <col min="12041" max="12044" width="10.75" style="13" customWidth="1"/>
    <col min="12045" max="12046" width="10.75" style="13" bestFit="1" customWidth="1"/>
    <col min="12047" max="12047" width="10.5" style="13" bestFit="1" customWidth="1"/>
    <col min="12048" max="12048" width="10.75" style="13" bestFit="1" customWidth="1"/>
    <col min="12049" max="12049" width="10.75" style="13" customWidth="1"/>
    <col min="12050" max="12050" width="11.5" style="13" bestFit="1" customWidth="1"/>
    <col min="12051" max="12051" width="10.75" style="13" bestFit="1" customWidth="1"/>
    <col min="12052" max="12052" width="9.875" style="13" bestFit="1" customWidth="1"/>
    <col min="12053" max="12053" width="13.375" style="13" bestFit="1" customWidth="1"/>
    <col min="12054" max="12288" width="15.625" style="13"/>
    <col min="12289" max="12289" width="4.625" style="13" customWidth="1"/>
    <col min="12290" max="12290" width="34.125" style="13" customWidth="1"/>
    <col min="12291" max="12292" width="0" style="13" hidden="1" customWidth="1"/>
    <col min="12293" max="12293" width="10.75" style="13" bestFit="1" customWidth="1"/>
    <col min="12294" max="12294" width="10.75" style="13" customWidth="1"/>
    <col min="12295" max="12295" width="11" style="13" customWidth="1"/>
    <col min="12296" max="12296" width="9.875" style="13" customWidth="1"/>
    <col min="12297" max="12300" width="10.75" style="13" customWidth="1"/>
    <col min="12301" max="12302" width="10.75" style="13" bestFit="1" customWidth="1"/>
    <col min="12303" max="12303" width="10.5" style="13" bestFit="1" customWidth="1"/>
    <col min="12304" max="12304" width="10.75" style="13" bestFit="1" customWidth="1"/>
    <col min="12305" max="12305" width="10.75" style="13" customWidth="1"/>
    <col min="12306" max="12306" width="11.5" style="13" bestFit="1" customWidth="1"/>
    <col min="12307" max="12307" width="10.75" style="13" bestFit="1" customWidth="1"/>
    <col min="12308" max="12308" width="9.875" style="13" bestFit="1" customWidth="1"/>
    <col min="12309" max="12309" width="13.375" style="13" bestFit="1" customWidth="1"/>
    <col min="12310" max="12544" width="15.625" style="13"/>
    <col min="12545" max="12545" width="4.625" style="13" customWidth="1"/>
    <col min="12546" max="12546" width="34.125" style="13" customWidth="1"/>
    <col min="12547" max="12548" width="0" style="13" hidden="1" customWidth="1"/>
    <col min="12549" max="12549" width="10.75" style="13" bestFit="1" customWidth="1"/>
    <col min="12550" max="12550" width="10.75" style="13" customWidth="1"/>
    <col min="12551" max="12551" width="11" style="13" customWidth="1"/>
    <col min="12552" max="12552" width="9.875" style="13" customWidth="1"/>
    <col min="12553" max="12556" width="10.75" style="13" customWidth="1"/>
    <col min="12557" max="12558" width="10.75" style="13" bestFit="1" customWidth="1"/>
    <col min="12559" max="12559" width="10.5" style="13" bestFit="1" customWidth="1"/>
    <col min="12560" max="12560" width="10.75" style="13" bestFit="1" customWidth="1"/>
    <col min="12561" max="12561" width="10.75" style="13" customWidth="1"/>
    <col min="12562" max="12562" width="11.5" style="13" bestFit="1" customWidth="1"/>
    <col min="12563" max="12563" width="10.75" style="13" bestFit="1" customWidth="1"/>
    <col min="12564" max="12564" width="9.875" style="13" bestFit="1" customWidth="1"/>
    <col min="12565" max="12565" width="13.375" style="13" bestFit="1" customWidth="1"/>
    <col min="12566" max="12800" width="15.625" style="13"/>
    <col min="12801" max="12801" width="4.625" style="13" customWidth="1"/>
    <col min="12802" max="12802" width="34.125" style="13" customWidth="1"/>
    <col min="12803" max="12804" width="0" style="13" hidden="1" customWidth="1"/>
    <col min="12805" max="12805" width="10.75" style="13" bestFit="1" customWidth="1"/>
    <col min="12806" max="12806" width="10.75" style="13" customWidth="1"/>
    <col min="12807" max="12807" width="11" style="13" customWidth="1"/>
    <col min="12808" max="12808" width="9.875" style="13" customWidth="1"/>
    <col min="12809" max="12812" width="10.75" style="13" customWidth="1"/>
    <col min="12813" max="12814" width="10.75" style="13" bestFit="1" customWidth="1"/>
    <col min="12815" max="12815" width="10.5" style="13" bestFit="1" customWidth="1"/>
    <col min="12816" max="12816" width="10.75" style="13" bestFit="1" customWidth="1"/>
    <col min="12817" max="12817" width="10.75" style="13" customWidth="1"/>
    <col min="12818" max="12818" width="11.5" style="13" bestFit="1" customWidth="1"/>
    <col min="12819" max="12819" width="10.75" style="13" bestFit="1" customWidth="1"/>
    <col min="12820" max="12820" width="9.875" style="13" bestFit="1" customWidth="1"/>
    <col min="12821" max="12821" width="13.375" style="13" bestFit="1" customWidth="1"/>
    <col min="12822" max="13056" width="15.625" style="13"/>
    <col min="13057" max="13057" width="4.625" style="13" customWidth="1"/>
    <col min="13058" max="13058" width="34.125" style="13" customWidth="1"/>
    <col min="13059" max="13060" width="0" style="13" hidden="1" customWidth="1"/>
    <col min="13061" max="13061" width="10.75" style="13" bestFit="1" customWidth="1"/>
    <col min="13062" max="13062" width="10.75" style="13" customWidth="1"/>
    <col min="13063" max="13063" width="11" style="13" customWidth="1"/>
    <col min="13064" max="13064" width="9.875" style="13" customWidth="1"/>
    <col min="13065" max="13068" width="10.75" style="13" customWidth="1"/>
    <col min="13069" max="13070" width="10.75" style="13" bestFit="1" customWidth="1"/>
    <col min="13071" max="13071" width="10.5" style="13" bestFit="1" customWidth="1"/>
    <col min="13072" max="13072" width="10.75" style="13" bestFit="1" customWidth="1"/>
    <col min="13073" max="13073" width="10.75" style="13" customWidth="1"/>
    <col min="13074" max="13074" width="11.5" style="13" bestFit="1" customWidth="1"/>
    <col min="13075" max="13075" width="10.75" style="13" bestFit="1" customWidth="1"/>
    <col min="13076" max="13076" width="9.875" style="13" bestFit="1" customWidth="1"/>
    <col min="13077" max="13077" width="13.375" style="13" bestFit="1" customWidth="1"/>
    <col min="13078" max="13312" width="15.625" style="13"/>
    <col min="13313" max="13313" width="4.625" style="13" customWidth="1"/>
    <col min="13314" max="13314" width="34.125" style="13" customWidth="1"/>
    <col min="13315" max="13316" width="0" style="13" hidden="1" customWidth="1"/>
    <col min="13317" max="13317" width="10.75" style="13" bestFit="1" customWidth="1"/>
    <col min="13318" max="13318" width="10.75" style="13" customWidth="1"/>
    <col min="13319" max="13319" width="11" style="13" customWidth="1"/>
    <col min="13320" max="13320" width="9.875" style="13" customWidth="1"/>
    <col min="13321" max="13324" width="10.75" style="13" customWidth="1"/>
    <col min="13325" max="13326" width="10.75" style="13" bestFit="1" customWidth="1"/>
    <col min="13327" max="13327" width="10.5" style="13" bestFit="1" customWidth="1"/>
    <col min="13328" max="13328" width="10.75" style="13" bestFit="1" customWidth="1"/>
    <col min="13329" max="13329" width="10.75" style="13" customWidth="1"/>
    <col min="13330" max="13330" width="11.5" style="13" bestFit="1" customWidth="1"/>
    <col min="13331" max="13331" width="10.75" style="13" bestFit="1" customWidth="1"/>
    <col min="13332" max="13332" width="9.875" style="13" bestFit="1" customWidth="1"/>
    <col min="13333" max="13333" width="13.375" style="13" bestFit="1" customWidth="1"/>
    <col min="13334" max="13568" width="15.625" style="13"/>
    <col min="13569" max="13569" width="4.625" style="13" customWidth="1"/>
    <col min="13570" max="13570" width="34.125" style="13" customWidth="1"/>
    <col min="13571" max="13572" width="0" style="13" hidden="1" customWidth="1"/>
    <col min="13573" max="13573" width="10.75" style="13" bestFit="1" customWidth="1"/>
    <col min="13574" max="13574" width="10.75" style="13" customWidth="1"/>
    <col min="13575" max="13575" width="11" style="13" customWidth="1"/>
    <col min="13576" max="13576" width="9.875" style="13" customWidth="1"/>
    <col min="13577" max="13580" width="10.75" style="13" customWidth="1"/>
    <col min="13581" max="13582" width="10.75" style="13" bestFit="1" customWidth="1"/>
    <col min="13583" max="13583" width="10.5" style="13" bestFit="1" customWidth="1"/>
    <col min="13584" max="13584" width="10.75" style="13" bestFit="1" customWidth="1"/>
    <col min="13585" max="13585" width="10.75" style="13" customWidth="1"/>
    <col min="13586" max="13586" width="11.5" style="13" bestFit="1" customWidth="1"/>
    <col min="13587" max="13587" width="10.75" style="13" bestFit="1" customWidth="1"/>
    <col min="13588" max="13588" width="9.875" style="13" bestFit="1" customWidth="1"/>
    <col min="13589" max="13589" width="13.375" style="13" bestFit="1" customWidth="1"/>
    <col min="13590" max="13824" width="15.625" style="13"/>
    <col min="13825" max="13825" width="4.625" style="13" customWidth="1"/>
    <col min="13826" max="13826" width="34.125" style="13" customWidth="1"/>
    <col min="13827" max="13828" width="0" style="13" hidden="1" customWidth="1"/>
    <col min="13829" max="13829" width="10.75" style="13" bestFit="1" customWidth="1"/>
    <col min="13830" max="13830" width="10.75" style="13" customWidth="1"/>
    <col min="13831" max="13831" width="11" style="13" customWidth="1"/>
    <col min="13832" max="13832" width="9.875" style="13" customWidth="1"/>
    <col min="13833" max="13836" width="10.75" style="13" customWidth="1"/>
    <col min="13837" max="13838" width="10.75" style="13" bestFit="1" customWidth="1"/>
    <col min="13839" max="13839" width="10.5" style="13" bestFit="1" customWidth="1"/>
    <col min="13840" max="13840" width="10.75" style="13" bestFit="1" customWidth="1"/>
    <col min="13841" max="13841" width="10.75" style="13" customWidth="1"/>
    <col min="13842" max="13842" width="11.5" style="13" bestFit="1" customWidth="1"/>
    <col min="13843" max="13843" width="10.75" style="13" bestFit="1" customWidth="1"/>
    <col min="13844" max="13844" width="9.875" style="13" bestFit="1" customWidth="1"/>
    <col min="13845" max="13845" width="13.375" style="13" bestFit="1" customWidth="1"/>
    <col min="13846" max="14080" width="15.625" style="13"/>
    <col min="14081" max="14081" width="4.625" style="13" customWidth="1"/>
    <col min="14082" max="14082" width="34.125" style="13" customWidth="1"/>
    <col min="14083" max="14084" width="0" style="13" hidden="1" customWidth="1"/>
    <col min="14085" max="14085" width="10.75" style="13" bestFit="1" customWidth="1"/>
    <col min="14086" max="14086" width="10.75" style="13" customWidth="1"/>
    <col min="14087" max="14087" width="11" style="13" customWidth="1"/>
    <col min="14088" max="14088" width="9.875" style="13" customWidth="1"/>
    <col min="14089" max="14092" width="10.75" style="13" customWidth="1"/>
    <col min="14093" max="14094" width="10.75" style="13" bestFit="1" customWidth="1"/>
    <col min="14095" max="14095" width="10.5" style="13" bestFit="1" customWidth="1"/>
    <col min="14096" max="14096" width="10.75" style="13" bestFit="1" customWidth="1"/>
    <col min="14097" max="14097" width="10.75" style="13" customWidth="1"/>
    <col min="14098" max="14098" width="11.5" style="13" bestFit="1" customWidth="1"/>
    <col min="14099" max="14099" width="10.75" style="13" bestFit="1" customWidth="1"/>
    <col min="14100" max="14100" width="9.875" style="13" bestFit="1" customWidth="1"/>
    <col min="14101" max="14101" width="13.375" style="13" bestFit="1" customWidth="1"/>
    <col min="14102" max="14336" width="15.625" style="13"/>
    <col min="14337" max="14337" width="4.625" style="13" customWidth="1"/>
    <col min="14338" max="14338" width="34.125" style="13" customWidth="1"/>
    <col min="14339" max="14340" width="0" style="13" hidden="1" customWidth="1"/>
    <col min="14341" max="14341" width="10.75" style="13" bestFit="1" customWidth="1"/>
    <col min="14342" max="14342" width="10.75" style="13" customWidth="1"/>
    <col min="14343" max="14343" width="11" style="13" customWidth="1"/>
    <col min="14344" max="14344" width="9.875" style="13" customWidth="1"/>
    <col min="14345" max="14348" width="10.75" style="13" customWidth="1"/>
    <col min="14349" max="14350" width="10.75" style="13" bestFit="1" customWidth="1"/>
    <col min="14351" max="14351" width="10.5" style="13" bestFit="1" customWidth="1"/>
    <col min="14352" max="14352" width="10.75" style="13" bestFit="1" customWidth="1"/>
    <col min="14353" max="14353" width="10.75" style="13" customWidth="1"/>
    <col min="14354" max="14354" width="11.5" style="13" bestFit="1" customWidth="1"/>
    <col min="14355" max="14355" width="10.75" style="13" bestFit="1" customWidth="1"/>
    <col min="14356" max="14356" width="9.875" style="13" bestFit="1" customWidth="1"/>
    <col min="14357" max="14357" width="13.375" style="13" bestFit="1" customWidth="1"/>
    <col min="14358" max="14592" width="15.625" style="13"/>
    <col min="14593" max="14593" width="4.625" style="13" customWidth="1"/>
    <col min="14594" max="14594" width="34.125" style="13" customWidth="1"/>
    <col min="14595" max="14596" width="0" style="13" hidden="1" customWidth="1"/>
    <col min="14597" max="14597" width="10.75" style="13" bestFit="1" customWidth="1"/>
    <col min="14598" max="14598" width="10.75" style="13" customWidth="1"/>
    <col min="14599" max="14599" width="11" style="13" customWidth="1"/>
    <col min="14600" max="14600" width="9.875" style="13" customWidth="1"/>
    <col min="14601" max="14604" width="10.75" style="13" customWidth="1"/>
    <col min="14605" max="14606" width="10.75" style="13" bestFit="1" customWidth="1"/>
    <col min="14607" max="14607" width="10.5" style="13" bestFit="1" customWidth="1"/>
    <col min="14608" max="14608" width="10.75" style="13" bestFit="1" customWidth="1"/>
    <col min="14609" max="14609" width="10.75" style="13" customWidth="1"/>
    <col min="14610" max="14610" width="11.5" style="13" bestFit="1" customWidth="1"/>
    <col min="14611" max="14611" width="10.75" style="13" bestFit="1" customWidth="1"/>
    <col min="14612" max="14612" width="9.875" style="13" bestFit="1" customWidth="1"/>
    <col min="14613" max="14613" width="13.375" style="13" bestFit="1" customWidth="1"/>
    <col min="14614" max="14848" width="15.625" style="13"/>
    <col min="14849" max="14849" width="4.625" style="13" customWidth="1"/>
    <col min="14850" max="14850" width="34.125" style="13" customWidth="1"/>
    <col min="14851" max="14852" width="0" style="13" hidden="1" customWidth="1"/>
    <col min="14853" max="14853" width="10.75" style="13" bestFit="1" customWidth="1"/>
    <col min="14854" max="14854" width="10.75" style="13" customWidth="1"/>
    <col min="14855" max="14855" width="11" style="13" customWidth="1"/>
    <col min="14856" max="14856" width="9.875" style="13" customWidth="1"/>
    <col min="14857" max="14860" width="10.75" style="13" customWidth="1"/>
    <col min="14861" max="14862" width="10.75" style="13" bestFit="1" customWidth="1"/>
    <col min="14863" max="14863" width="10.5" style="13" bestFit="1" customWidth="1"/>
    <col min="14864" max="14864" width="10.75" style="13" bestFit="1" customWidth="1"/>
    <col min="14865" max="14865" width="10.75" style="13" customWidth="1"/>
    <col min="14866" max="14866" width="11.5" style="13" bestFit="1" customWidth="1"/>
    <col min="14867" max="14867" width="10.75" style="13" bestFit="1" customWidth="1"/>
    <col min="14868" max="14868" width="9.875" style="13" bestFit="1" customWidth="1"/>
    <col min="14869" max="14869" width="13.375" style="13" bestFit="1" customWidth="1"/>
    <col min="14870" max="15104" width="15.625" style="13"/>
    <col min="15105" max="15105" width="4.625" style="13" customWidth="1"/>
    <col min="15106" max="15106" width="34.125" style="13" customWidth="1"/>
    <col min="15107" max="15108" width="0" style="13" hidden="1" customWidth="1"/>
    <col min="15109" max="15109" width="10.75" style="13" bestFit="1" customWidth="1"/>
    <col min="15110" max="15110" width="10.75" style="13" customWidth="1"/>
    <col min="15111" max="15111" width="11" style="13" customWidth="1"/>
    <col min="15112" max="15112" width="9.875" style="13" customWidth="1"/>
    <col min="15113" max="15116" width="10.75" style="13" customWidth="1"/>
    <col min="15117" max="15118" width="10.75" style="13" bestFit="1" customWidth="1"/>
    <col min="15119" max="15119" width="10.5" style="13" bestFit="1" customWidth="1"/>
    <col min="15120" max="15120" width="10.75" style="13" bestFit="1" customWidth="1"/>
    <col min="15121" max="15121" width="10.75" style="13" customWidth="1"/>
    <col min="15122" max="15122" width="11.5" style="13" bestFit="1" customWidth="1"/>
    <col min="15123" max="15123" width="10.75" style="13" bestFit="1" customWidth="1"/>
    <col min="15124" max="15124" width="9.875" style="13" bestFit="1" customWidth="1"/>
    <col min="15125" max="15125" width="13.375" style="13" bestFit="1" customWidth="1"/>
    <col min="15126" max="15360" width="15.625" style="13"/>
    <col min="15361" max="15361" width="4.625" style="13" customWidth="1"/>
    <col min="15362" max="15362" width="34.125" style="13" customWidth="1"/>
    <col min="15363" max="15364" width="0" style="13" hidden="1" customWidth="1"/>
    <col min="15365" max="15365" width="10.75" style="13" bestFit="1" customWidth="1"/>
    <col min="15366" max="15366" width="10.75" style="13" customWidth="1"/>
    <col min="15367" max="15367" width="11" style="13" customWidth="1"/>
    <col min="15368" max="15368" width="9.875" style="13" customWidth="1"/>
    <col min="15369" max="15372" width="10.75" style="13" customWidth="1"/>
    <col min="15373" max="15374" width="10.75" style="13" bestFit="1" customWidth="1"/>
    <col min="15375" max="15375" width="10.5" style="13" bestFit="1" customWidth="1"/>
    <col min="15376" max="15376" width="10.75" style="13" bestFit="1" customWidth="1"/>
    <col min="15377" max="15377" width="10.75" style="13" customWidth="1"/>
    <col min="15378" max="15378" width="11.5" style="13" bestFit="1" customWidth="1"/>
    <col min="15379" max="15379" width="10.75" style="13" bestFit="1" customWidth="1"/>
    <col min="15380" max="15380" width="9.875" style="13" bestFit="1" customWidth="1"/>
    <col min="15381" max="15381" width="13.375" style="13" bestFit="1" customWidth="1"/>
    <col min="15382" max="15616" width="15.625" style="13"/>
    <col min="15617" max="15617" width="4.625" style="13" customWidth="1"/>
    <col min="15618" max="15618" width="34.125" style="13" customWidth="1"/>
    <col min="15619" max="15620" width="0" style="13" hidden="1" customWidth="1"/>
    <col min="15621" max="15621" width="10.75" style="13" bestFit="1" customWidth="1"/>
    <col min="15622" max="15622" width="10.75" style="13" customWidth="1"/>
    <col min="15623" max="15623" width="11" style="13" customWidth="1"/>
    <col min="15624" max="15624" width="9.875" style="13" customWidth="1"/>
    <col min="15625" max="15628" width="10.75" style="13" customWidth="1"/>
    <col min="15629" max="15630" width="10.75" style="13" bestFit="1" customWidth="1"/>
    <col min="15631" max="15631" width="10.5" style="13" bestFit="1" customWidth="1"/>
    <col min="15632" max="15632" width="10.75" style="13" bestFit="1" customWidth="1"/>
    <col min="15633" max="15633" width="10.75" style="13" customWidth="1"/>
    <col min="15634" max="15634" width="11.5" style="13" bestFit="1" customWidth="1"/>
    <col min="15635" max="15635" width="10.75" style="13" bestFit="1" customWidth="1"/>
    <col min="15636" max="15636" width="9.875" style="13" bestFit="1" customWidth="1"/>
    <col min="15637" max="15637" width="13.375" style="13" bestFit="1" customWidth="1"/>
    <col min="15638" max="15872" width="15.625" style="13"/>
    <col min="15873" max="15873" width="4.625" style="13" customWidth="1"/>
    <col min="15874" max="15874" width="34.125" style="13" customWidth="1"/>
    <col min="15875" max="15876" width="0" style="13" hidden="1" customWidth="1"/>
    <col min="15877" max="15877" width="10.75" style="13" bestFit="1" customWidth="1"/>
    <col min="15878" max="15878" width="10.75" style="13" customWidth="1"/>
    <col min="15879" max="15879" width="11" style="13" customWidth="1"/>
    <col min="15880" max="15880" width="9.875" style="13" customWidth="1"/>
    <col min="15881" max="15884" width="10.75" style="13" customWidth="1"/>
    <col min="15885" max="15886" width="10.75" style="13" bestFit="1" customWidth="1"/>
    <col min="15887" max="15887" width="10.5" style="13" bestFit="1" customWidth="1"/>
    <col min="15888" max="15888" width="10.75" style="13" bestFit="1" customWidth="1"/>
    <col min="15889" max="15889" width="10.75" style="13" customWidth="1"/>
    <col min="15890" max="15890" width="11.5" style="13" bestFit="1" customWidth="1"/>
    <col min="15891" max="15891" width="10.75" style="13" bestFit="1" customWidth="1"/>
    <col min="15892" max="15892" width="9.875" style="13" bestFit="1" customWidth="1"/>
    <col min="15893" max="15893" width="13.375" style="13" bestFit="1" customWidth="1"/>
    <col min="15894" max="16128" width="15.625" style="13"/>
    <col min="16129" max="16129" width="4.625" style="13" customWidth="1"/>
    <col min="16130" max="16130" width="34.125" style="13" customWidth="1"/>
    <col min="16131" max="16132" width="0" style="13" hidden="1" customWidth="1"/>
    <col min="16133" max="16133" width="10.75" style="13" bestFit="1" customWidth="1"/>
    <col min="16134" max="16134" width="10.75" style="13" customWidth="1"/>
    <col min="16135" max="16135" width="11" style="13" customWidth="1"/>
    <col min="16136" max="16136" width="9.875" style="13" customWidth="1"/>
    <col min="16137" max="16140" width="10.75" style="13" customWidth="1"/>
    <col min="16141" max="16142" width="10.75" style="13" bestFit="1" customWidth="1"/>
    <col min="16143" max="16143" width="10.5" style="13" bestFit="1" customWidth="1"/>
    <col min="16144" max="16144" width="10.75" style="13" bestFit="1" customWidth="1"/>
    <col min="16145" max="16145" width="10.75" style="13" customWidth="1"/>
    <col min="16146" max="16146" width="11.5" style="13" bestFit="1" customWidth="1"/>
    <col min="16147" max="16147" width="10.75" style="13" bestFit="1" customWidth="1"/>
    <col min="16148" max="16148" width="9.875" style="13" bestFit="1" customWidth="1"/>
    <col min="16149" max="16149" width="13.375" style="13" bestFit="1" customWidth="1"/>
    <col min="16150" max="16384" width="15.625" style="13"/>
  </cols>
  <sheetData>
    <row r="1" spans="1:23" ht="25.5">
      <c r="A1" s="106" t="s">
        <v>16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3" ht="30" customHeight="1">
      <c r="A2" s="41" t="s">
        <v>0</v>
      </c>
      <c r="B2" s="41" t="s">
        <v>17</v>
      </c>
      <c r="C2" s="41" t="s">
        <v>18</v>
      </c>
      <c r="D2" s="42" t="s">
        <v>19</v>
      </c>
      <c r="E2" s="43" t="s">
        <v>264</v>
      </c>
      <c r="F2" s="43" t="s">
        <v>265</v>
      </c>
      <c r="G2" s="43" t="s">
        <v>266</v>
      </c>
      <c r="H2" s="42" t="s">
        <v>267</v>
      </c>
      <c r="I2" s="42" t="s">
        <v>268</v>
      </c>
      <c r="J2" s="43" t="s">
        <v>6</v>
      </c>
      <c r="K2" s="43" t="s">
        <v>269</v>
      </c>
      <c r="L2" s="42" t="s">
        <v>270</v>
      </c>
      <c r="M2" s="43" t="s">
        <v>295</v>
      </c>
      <c r="N2" s="42" t="s">
        <v>271</v>
      </c>
      <c r="O2" s="43" t="s">
        <v>296</v>
      </c>
      <c r="P2" s="42" t="s">
        <v>297</v>
      </c>
      <c r="Q2" s="43" t="s">
        <v>7</v>
      </c>
      <c r="R2" s="42" t="s">
        <v>272</v>
      </c>
      <c r="S2" s="42" t="s">
        <v>8</v>
      </c>
      <c r="T2" s="42" t="s">
        <v>298</v>
      </c>
      <c r="U2" s="42" t="s">
        <v>299</v>
      </c>
      <c r="V2" s="42" t="s">
        <v>5</v>
      </c>
    </row>
    <row r="3" spans="1:23" ht="11.25">
      <c r="A3" s="11" t="s">
        <v>20</v>
      </c>
      <c r="B3" s="15" t="s">
        <v>21</v>
      </c>
      <c r="C3" s="15"/>
      <c r="D3" s="16" t="s">
        <v>22</v>
      </c>
      <c r="E3" s="12">
        <f>E4+E31+E52</f>
        <v>31174976.399999999</v>
      </c>
      <c r="F3" s="12">
        <f t="shared" ref="F3:U3" si="0">F4+F31+F52</f>
        <v>30149544.600000001</v>
      </c>
      <c r="G3" s="12">
        <f t="shared" si="0"/>
        <v>21593989.899999999</v>
      </c>
      <c r="H3" s="12">
        <f t="shared" si="0"/>
        <v>8730639.5899999999</v>
      </c>
      <c r="I3" s="12">
        <f t="shared" si="0"/>
        <v>31959333.850000001</v>
      </c>
      <c r="J3" s="12">
        <f t="shared" si="0"/>
        <v>27508919.300000001</v>
      </c>
      <c r="K3" s="12">
        <f t="shared" si="0"/>
        <v>29853472</v>
      </c>
      <c r="L3" s="12">
        <f t="shared" si="0"/>
        <v>14225102.15</v>
      </c>
      <c r="M3" s="12">
        <f t="shared" si="0"/>
        <v>16670463.550000001</v>
      </c>
      <c r="N3" s="12">
        <f t="shared" si="0"/>
        <v>18890007.75</v>
      </c>
      <c r="O3" s="12">
        <f t="shared" si="0"/>
        <v>21458405.699999999</v>
      </c>
      <c r="P3" s="12">
        <f t="shared" si="0"/>
        <v>21941384.100000001</v>
      </c>
      <c r="Q3" s="12">
        <f t="shared" si="0"/>
        <v>10396663.800000001</v>
      </c>
      <c r="R3" s="12">
        <f t="shared" si="0"/>
        <v>7210106.4500000002</v>
      </c>
      <c r="S3" s="12">
        <f t="shared" si="0"/>
        <v>13486895.92</v>
      </c>
      <c r="T3" s="12">
        <f>T4+T31+T52</f>
        <v>4070570</v>
      </c>
      <c r="U3" s="12">
        <f t="shared" si="0"/>
        <v>2247676</v>
      </c>
      <c r="V3" s="44">
        <f t="shared" ref="V3:V66" si="1">SUM(E3:U3)</f>
        <v>311568151.06000006</v>
      </c>
      <c r="W3" s="45"/>
    </row>
    <row r="4" spans="1:23" ht="11.25">
      <c r="A4" s="11" t="s">
        <v>23</v>
      </c>
      <c r="B4" s="15" t="s">
        <v>9</v>
      </c>
      <c r="C4" s="15"/>
      <c r="D4" s="16" t="s">
        <v>22</v>
      </c>
      <c r="E4" s="12">
        <f>E5+E8+E13+E17+E20+E22+E25+E27+E29+E30</f>
        <v>27222441</v>
      </c>
      <c r="F4" s="12">
        <f t="shared" ref="F4:U4" si="2">F5+F8+F13+F17+F20+F22+F25+F27+F29+F30</f>
        <v>26351934</v>
      </c>
      <c r="G4" s="12">
        <f t="shared" si="2"/>
        <v>18947527</v>
      </c>
      <c r="H4" s="12">
        <f t="shared" si="2"/>
        <v>5994613.2000000002</v>
      </c>
      <c r="I4" s="12">
        <f t="shared" si="2"/>
        <v>26036705</v>
      </c>
      <c r="J4" s="12">
        <f t="shared" si="2"/>
        <v>23251644</v>
      </c>
      <c r="K4" s="12">
        <f t="shared" si="2"/>
        <v>25042064</v>
      </c>
      <c r="L4" s="12">
        <f t="shared" si="2"/>
        <v>11877178</v>
      </c>
      <c r="M4" s="12">
        <f t="shared" si="2"/>
        <v>14201550</v>
      </c>
      <c r="N4" s="12">
        <f t="shared" si="2"/>
        <v>16317131</v>
      </c>
      <c r="O4" s="12">
        <f t="shared" si="2"/>
        <v>18254619</v>
      </c>
      <c r="P4" s="12">
        <f t="shared" si="2"/>
        <v>18328075.300000001</v>
      </c>
      <c r="Q4" s="12">
        <f t="shared" si="2"/>
        <v>8237667</v>
      </c>
      <c r="R4" s="12">
        <f t="shared" si="2"/>
        <v>6091000</v>
      </c>
      <c r="S4" s="12">
        <f t="shared" si="2"/>
        <v>11308580</v>
      </c>
      <c r="T4" s="12">
        <f t="shared" si="2"/>
        <v>2977410</v>
      </c>
      <c r="U4" s="12">
        <f t="shared" si="2"/>
        <v>1782476</v>
      </c>
      <c r="V4" s="44">
        <f t="shared" si="1"/>
        <v>262222614.5</v>
      </c>
    </row>
    <row r="5" spans="1:23" ht="11.25">
      <c r="A5" s="11" t="s">
        <v>24</v>
      </c>
      <c r="B5" s="15" t="s">
        <v>25</v>
      </c>
      <c r="C5" s="15"/>
      <c r="D5" s="16" t="s">
        <v>22</v>
      </c>
      <c r="E5" s="12">
        <f>E6+E7</f>
        <v>3898176</v>
      </c>
      <c r="F5" s="12">
        <f t="shared" ref="F5:U5" si="3">F6+F7</f>
        <v>3535752</v>
      </c>
      <c r="G5" s="12">
        <f t="shared" si="3"/>
        <v>2280888</v>
      </c>
      <c r="H5" s="12">
        <f t="shared" si="3"/>
        <v>1016352</v>
      </c>
      <c r="I5" s="12">
        <f t="shared" si="3"/>
        <v>4006668</v>
      </c>
      <c r="J5" s="12">
        <f t="shared" si="3"/>
        <v>3170268</v>
      </c>
      <c r="K5" s="12">
        <f t="shared" si="3"/>
        <v>2937744</v>
      </c>
      <c r="L5" s="12">
        <f t="shared" si="3"/>
        <v>1313712</v>
      </c>
      <c r="M5" s="12">
        <f t="shared" si="3"/>
        <v>1581924</v>
      </c>
      <c r="N5" s="12">
        <f t="shared" si="3"/>
        <v>2168304</v>
      </c>
      <c r="O5" s="12">
        <f t="shared" si="3"/>
        <v>2305728</v>
      </c>
      <c r="P5" s="12">
        <f t="shared" si="3"/>
        <v>2057110.6</v>
      </c>
      <c r="Q5" s="12">
        <f t="shared" si="3"/>
        <v>957552</v>
      </c>
      <c r="R5" s="12">
        <f t="shared" si="3"/>
        <v>748560</v>
      </c>
      <c r="S5" s="12">
        <f t="shared" si="3"/>
        <v>1305636</v>
      </c>
      <c r="T5" s="12">
        <f t="shared" si="3"/>
        <v>404688</v>
      </c>
      <c r="U5" s="12">
        <f t="shared" si="3"/>
        <v>253980</v>
      </c>
      <c r="V5" s="44">
        <f t="shared" si="1"/>
        <v>33943042.600000001</v>
      </c>
    </row>
    <row r="6" spans="1:23" ht="11.25">
      <c r="A6" s="11" t="s">
        <v>26</v>
      </c>
      <c r="B6" s="15" t="s">
        <v>27</v>
      </c>
      <c r="C6" s="15" t="s">
        <v>28</v>
      </c>
      <c r="D6" s="16" t="s">
        <v>29</v>
      </c>
      <c r="E6" s="46">
        <f>185411*12</f>
        <v>2224932</v>
      </c>
      <c r="F6" s="14">
        <v>2068800</v>
      </c>
      <c r="G6" s="46">
        <v>1530684</v>
      </c>
      <c r="H6" s="14">
        <v>512712</v>
      </c>
      <c r="I6" s="14">
        <v>2064012</v>
      </c>
      <c r="J6" s="46">
        <v>1851804</v>
      </c>
      <c r="K6" s="46">
        <v>2032584</v>
      </c>
      <c r="L6" s="14">
        <v>894636</v>
      </c>
      <c r="M6" s="46">
        <f>92545*12</f>
        <v>1110540</v>
      </c>
      <c r="N6" s="46">
        <v>1382748</v>
      </c>
      <c r="O6" s="46">
        <v>1519716</v>
      </c>
      <c r="P6" s="14">
        <f>'[2]基本支出（学校）'!$E$6</f>
        <v>1415976.5</v>
      </c>
      <c r="Q6" s="46">
        <f>56186*12</f>
        <v>674232</v>
      </c>
      <c r="R6" s="14">
        <v>505836</v>
      </c>
      <c r="S6" s="14">
        <v>908952</v>
      </c>
      <c r="T6" s="14">
        <v>266772</v>
      </c>
      <c r="U6" s="14">
        <v>131448</v>
      </c>
      <c r="V6" s="44">
        <f t="shared" si="1"/>
        <v>21096384.5</v>
      </c>
    </row>
    <row r="7" spans="1:23" ht="11.25">
      <c r="A7" s="11" t="s">
        <v>30</v>
      </c>
      <c r="B7" s="15" t="s">
        <v>31</v>
      </c>
      <c r="C7" s="15" t="s">
        <v>28</v>
      </c>
      <c r="D7" s="16" t="s">
        <v>29</v>
      </c>
      <c r="E7" s="46">
        <f>139437*12</f>
        <v>1673244</v>
      </c>
      <c r="F7" s="14">
        <v>1466952</v>
      </c>
      <c r="G7" s="46">
        <v>750204</v>
      </c>
      <c r="H7" s="14">
        <v>503640</v>
      </c>
      <c r="I7" s="14">
        <v>1942656</v>
      </c>
      <c r="J7" s="46">
        <v>1318464</v>
      </c>
      <c r="K7" s="46">
        <v>905160</v>
      </c>
      <c r="L7" s="14">
        <v>419076</v>
      </c>
      <c r="M7" s="46">
        <f>39282*12</f>
        <v>471384</v>
      </c>
      <c r="N7" s="46">
        <v>785556</v>
      </c>
      <c r="O7" s="46">
        <v>786012</v>
      </c>
      <c r="P7" s="14">
        <f>'[2]基本支出（学校）'!$E$7</f>
        <v>641134.1</v>
      </c>
      <c r="Q7" s="46">
        <f>23610*12</f>
        <v>283320</v>
      </c>
      <c r="R7" s="14">
        <v>242724</v>
      </c>
      <c r="S7" s="14">
        <v>396684</v>
      </c>
      <c r="T7" s="14">
        <v>137916</v>
      </c>
      <c r="U7" s="14">
        <v>122532</v>
      </c>
      <c r="V7" s="44">
        <f t="shared" si="1"/>
        <v>12846658.1</v>
      </c>
    </row>
    <row r="8" spans="1:23" ht="11.25">
      <c r="A8" s="11" t="s">
        <v>32</v>
      </c>
      <c r="B8" s="15" t="s">
        <v>33</v>
      </c>
      <c r="C8" s="15"/>
      <c r="D8" s="16" t="s">
        <v>22</v>
      </c>
      <c r="E8" s="12">
        <f>E9+E10</f>
        <v>471396</v>
      </c>
      <c r="F8" s="12">
        <f t="shared" ref="F8:U8" si="4">F9+F10</f>
        <v>454200</v>
      </c>
      <c r="G8" s="12">
        <f t="shared" si="4"/>
        <v>328896</v>
      </c>
      <c r="H8" s="12">
        <f t="shared" si="4"/>
        <v>98496</v>
      </c>
      <c r="I8" s="12">
        <f t="shared" si="4"/>
        <v>460356</v>
      </c>
      <c r="J8" s="12">
        <f t="shared" si="4"/>
        <v>421656</v>
      </c>
      <c r="K8" s="12">
        <f t="shared" si="4"/>
        <v>471822</v>
      </c>
      <c r="L8" s="12">
        <f t="shared" si="4"/>
        <v>214848</v>
      </c>
      <c r="M8" s="12">
        <f t="shared" si="4"/>
        <v>258216</v>
      </c>
      <c r="N8" s="12">
        <f t="shared" si="4"/>
        <v>310416</v>
      </c>
      <c r="O8" s="12">
        <f t="shared" si="4"/>
        <v>345636</v>
      </c>
      <c r="P8" s="12">
        <f t="shared" si="4"/>
        <v>365419.7</v>
      </c>
      <c r="Q8" s="12">
        <f t="shared" si="4"/>
        <v>161316</v>
      </c>
      <c r="R8" s="12">
        <f t="shared" si="4"/>
        <v>118632</v>
      </c>
      <c r="S8" s="12">
        <f t="shared" si="4"/>
        <v>220428</v>
      </c>
      <c r="T8" s="12">
        <f t="shared" si="4"/>
        <v>59352</v>
      </c>
      <c r="U8" s="12">
        <f t="shared" si="4"/>
        <v>32352</v>
      </c>
      <c r="V8" s="44">
        <f t="shared" si="1"/>
        <v>4793437.7</v>
      </c>
    </row>
    <row r="9" spans="1:23" ht="11.25">
      <c r="A9" s="11" t="s">
        <v>34</v>
      </c>
      <c r="B9" s="15" t="s">
        <v>35</v>
      </c>
      <c r="C9" s="15" t="s">
        <v>28</v>
      </c>
      <c r="D9" s="16" t="s">
        <v>29</v>
      </c>
      <c r="E9" s="46">
        <f>481*12</f>
        <v>5772</v>
      </c>
      <c r="F9" s="14">
        <v>4632</v>
      </c>
      <c r="G9" s="46">
        <v>2424</v>
      </c>
      <c r="H9" s="14">
        <v>2160</v>
      </c>
      <c r="I9" s="14">
        <v>16140</v>
      </c>
      <c r="J9" s="46">
        <v>4200</v>
      </c>
      <c r="K9" s="46">
        <v>11550</v>
      </c>
      <c r="L9" s="14">
        <v>768</v>
      </c>
      <c r="M9" s="46">
        <f>110*12</f>
        <v>1320</v>
      </c>
      <c r="N9" s="14"/>
      <c r="O9" s="46">
        <v>3108</v>
      </c>
      <c r="P9" s="14">
        <f>'[2]基本支出（学校）'!$E$9</f>
        <v>22891.699999999997</v>
      </c>
      <c r="Q9" s="46">
        <f>63*12</f>
        <v>756</v>
      </c>
      <c r="R9" s="14">
        <v>888</v>
      </c>
      <c r="S9" s="14">
        <v>996</v>
      </c>
      <c r="T9" s="14">
        <v>480</v>
      </c>
      <c r="U9" s="14">
        <v>240</v>
      </c>
      <c r="V9" s="44">
        <f t="shared" si="1"/>
        <v>78325.7</v>
      </c>
    </row>
    <row r="10" spans="1:23" ht="11.25">
      <c r="A10" s="11" t="s">
        <v>36</v>
      </c>
      <c r="B10" s="15" t="s">
        <v>37</v>
      </c>
      <c r="C10" s="15"/>
      <c r="D10" s="16" t="s">
        <v>22</v>
      </c>
      <c r="E10" s="12">
        <f>E11+E12</f>
        <v>465624</v>
      </c>
      <c r="F10" s="12">
        <f t="shared" ref="F10:U10" si="5">F11+F12</f>
        <v>449568</v>
      </c>
      <c r="G10" s="12">
        <f t="shared" si="5"/>
        <v>326472</v>
      </c>
      <c r="H10" s="12">
        <f t="shared" si="5"/>
        <v>96336</v>
      </c>
      <c r="I10" s="12">
        <f t="shared" si="5"/>
        <v>444216</v>
      </c>
      <c r="J10" s="12">
        <f t="shared" si="5"/>
        <v>417456</v>
      </c>
      <c r="K10" s="12">
        <f t="shared" si="5"/>
        <v>460272</v>
      </c>
      <c r="L10" s="12">
        <f t="shared" si="5"/>
        <v>214080</v>
      </c>
      <c r="M10" s="12">
        <f t="shared" si="5"/>
        <v>256896</v>
      </c>
      <c r="N10" s="12">
        <f t="shared" si="5"/>
        <v>310416</v>
      </c>
      <c r="O10" s="12">
        <f t="shared" si="5"/>
        <v>342528</v>
      </c>
      <c r="P10" s="12">
        <f t="shared" si="5"/>
        <v>342528</v>
      </c>
      <c r="Q10" s="12">
        <f t="shared" si="5"/>
        <v>160560</v>
      </c>
      <c r="R10" s="12">
        <f t="shared" si="5"/>
        <v>117744</v>
      </c>
      <c r="S10" s="12">
        <f t="shared" si="5"/>
        <v>219432</v>
      </c>
      <c r="T10" s="12">
        <f t="shared" si="5"/>
        <v>58872</v>
      </c>
      <c r="U10" s="12">
        <f t="shared" si="5"/>
        <v>32112</v>
      </c>
      <c r="V10" s="44">
        <f t="shared" si="1"/>
        <v>4715112</v>
      </c>
    </row>
    <row r="11" spans="1:23" s="50" customFormat="1" ht="11.25">
      <c r="A11" s="11" t="s">
        <v>38</v>
      </c>
      <c r="B11" s="47" t="s">
        <v>39</v>
      </c>
      <c r="C11" s="47" t="s">
        <v>28</v>
      </c>
      <c r="D11" s="48" t="s">
        <v>22</v>
      </c>
      <c r="E11" s="12">
        <f>72*E96</f>
        <v>6264</v>
      </c>
      <c r="F11" s="12">
        <f>72*F96</f>
        <v>6048</v>
      </c>
      <c r="G11" s="49">
        <v>4392</v>
      </c>
      <c r="H11" s="12">
        <f>72*H96</f>
        <v>1296</v>
      </c>
      <c r="I11" s="12">
        <f>72*I96</f>
        <v>5976</v>
      </c>
      <c r="J11" s="49">
        <v>5616</v>
      </c>
      <c r="K11" s="49">
        <v>6192</v>
      </c>
      <c r="L11" s="12">
        <f>72*L96</f>
        <v>2880</v>
      </c>
      <c r="M11" s="12">
        <f>72*M96</f>
        <v>3456</v>
      </c>
      <c r="N11" s="12">
        <f>72*N96</f>
        <v>4176</v>
      </c>
      <c r="O11" s="49">
        <v>4608</v>
      </c>
      <c r="P11" s="12">
        <f>72*P96</f>
        <v>4608</v>
      </c>
      <c r="Q11" s="49">
        <f>6*30*12</f>
        <v>2160</v>
      </c>
      <c r="R11" s="12">
        <f>72*R96</f>
        <v>1584</v>
      </c>
      <c r="S11" s="12">
        <f>72*S96</f>
        <v>2952</v>
      </c>
      <c r="T11" s="12">
        <f>72*T96</f>
        <v>792</v>
      </c>
      <c r="U11" s="12">
        <f>72*U96</f>
        <v>432</v>
      </c>
      <c r="V11" s="44">
        <f t="shared" si="1"/>
        <v>63432</v>
      </c>
    </row>
    <row r="12" spans="1:23" s="50" customFormat="1" ht="11.25">
      <c r="A12" s="11" t="s">
        <v>40</v>
      </c>
      <c r="B12" s="47" t="s">
        <v>41</v>
      </c>
      <c r="C12" s="47" t="s">
        <v>28</v>
      </c>
      <c r="D12" s="48" t="s">
        <v>22</v>
      </c>
      <c r="E12" s="12">
        <f>440*12*E96</f>
        <v>459360</v>
      </c>
      <c r="F12" s="12">
        <f>440*12*F96</f>
        <v>443520</v>
      </c>
      <c r="G12" s="49">
        <v>322080</v>
      </c>
      <c r="H12" s="12">
        <f>440*12*H96</f>
        <v>95040</v>
      </c>
      <c r="I12" s="12">
        <f>440*12*I96</f>
        <v>438240</v>
      </c>
      <c r="J12" s="49">
        <v>411840</v>
      </c>
      <c r="K12" s="49">
        <v>454080</v>
      </c>
      <c r="L12" s="12">
        <f>440*12*L96</f>
        <v>211200</v>
      </c>
      <c r="M12" s="12">
        <f>440*12*M96</f>
        <v>253440</v>
      </c>
      <c r="N12" s="12">
        <f>440*12*N96</f>
        <v>306240</v>
      </c>
      <c r="O12" s="49">
        <v>337920</v>
      </c>
      <c r="P12" s="12">
        <f>440*12*P96</f>
        <v>337920</v>
      </c>
      <c r="Q12" s="49">
        <f>440*30*12</f>
        <v>158400</v>
      </c>
      <c r="R12" s="12">
        <f>440*12*R96</f>
        <v>116160</v>
      </c>
      <c r="S12" s="12">
        <f>440*12*S96</f>
        <v>216480</v>
      </c>
      <c r="T12" s="12">
        <f>440*12*T96</f>
        <v>58080</v>
      </c>
      <c r="U12" s="12">
        <f>440*12*U96</f>
        <v>31680</v>
      </c>
      <c r="V12" s="44">
        <f t="shared" si="1"/>
        <v>4651680</v>
      </c>
    </row>
    <row r="13" spans="1:23" ht="11.25">
      <c r="A13" s="11" t="s">
        <v>42</v>
      </c>
      <c r="B13" s="15" t="s">
        <v>43</v>
      </c>
      <c r="C13" s="15"/>
      <c r="D13" s="16" t="s">
        <v>44</v>
      </c>
      <c r="E13" s="12">
        <f>E14+E15+E16</f>
        <v>424998</v>
      </c>
      <c r="F13" s="12">
        <f t="shared" ref="F13:U13" si="6">F14+F15+F16</f>
        <v>425982</v>
      </c>
      <c r="G13" s="12">
        <f t="shared" si="6"/>
        <v>314538</v>
      </c>
      <c r="H13" s="12">
        <f t="shared" si="6"/>
        <v>95908.799999999988</v>
      </c>
      <c r="I13" s="12">
        <f t="shared" si="6"/>
        <v>393222</v>
      </c>
      <c r="J13" s="12">
        <f t="shared" si="6"/>
        <v>337398</v>
      </c>
      <c r="K13" s="12">
        <f t="shared" si="6"/>
        <v>369708</v>
      </c>
      <c r="L13" s="12">
        <f t="shared" si="6"/>
        <v>187061.99999999997</v>
      </c>
      <c r="M13" s="12">
        <f t="shared" si="6"/>
        <v>221478.00000000003</v>
      </c>
      <c r="N13" s="12">
        <f t="shared" si="6"/>
        <v>244129</v>
      </c>
      <c r="O13" s="12">
        <f t="shared" si="6"/>
        <v>286925</v>
      </c>
      <c r="P13" s="12">
        <f t="shared" si="6"/>
        <v>302835</v>
      </c>
      <c r="Q13" s="12">
        <f t="shared" si="6"/>
        <v>124221</v>
      </c>
      <c r="R13" s="12">
        <f t="shared" si="6"/>
        <v>91272</v>
      </c>
      <c r="S13" s="12">
        <f t="shared" si="6"/>
        <v>172584</v>
      </c>
      <c r="T13" s="12">
        <f>T14+T15+T16</f>
        <v>40450</v>
      </c>
      <c r="U13" s="12">
        <f t="shared" si="6"/>
        <v>29150</v>
      </c>
      <c r="V13" s="44">
        <f t="shared" si="1"/>
        <v>4061860.8</v>
      </c>
    </row>
    <row r="14" spans="1:23" s="50" customFormat="1" ht="11.25">
      <c r="A14" s="11" t="s">
        <v>45</v>
      </c>
      <c r="B14" s="47" t="s">
        <v>46</v>
      </c>
      <c r="C14" s="47" t="s">
        <v>28</v>
      </c>
      <c r="D14" s="48" t="s">
        <v>47</v>
      </c>
      <c r="E14" s="12">
        <f>E16*3</f>
        <v>254998.80000000002</v>
      </c>
      <c r="F14" s="12">
        <f t="shared" ref="F14:U14" si="7">F16*3</f>
        <v>255589.19999999998</v>
      </c>
      <c r="G14" s="12">
        <f t="shared" si="7"/>
        <v>188722.80000000002</v>
      </c>
      <c r="H14" s="12">
        <f t="shared" si="7"/>
        <v>57545.279999999999</v>
      </c>
      <c r="I14" s="12">
        <f>I16*3</f>
        <v>235933.19999999998</v>
      </c>
      <c r="J14" s="12">
        <f t="shared" si="7"/>
        <v>202438.80000000002</v>
      </c>
      <c r="K14" s="12">
        <f t="shared" si="7"/>
        <v>221824.80000000002</v>
      </c>
      <c r="L14" s="12">
        <f t="shared" si="7"/>
        <v>112237.19999999998</v>
      </c>
      <c r="M14" s="12">
        <f t="shared" si="7"/>
        <v>132886.80000000002</v>
      </c>
      <c r="N14" s="12">
        <f t="shared" si="7"/>
        <v>146477.40000000002</v>
      </c>
      <c r="O14" s="12">
        <f t="shared" si="7"/>
        <v>172155</v>
      </c>
      <c r="P14" s="12">
        <f t="shared" si="7"/>
        <v>181701</v>
      </c>
      <c r="Q14" s="12">
        <f t="shared" si="7"/>
        <v>74532.600000000006</v>
      </c>
      <c r="R14" s="12">
        <f t="shared" si="7"/>
        <v>54763.200000000004</v>
      </c>
      <c r="S14" s="12">
        <f t="shared" si="7"/>
        <v>103550.40000000001</v>
      </c>
      <c r="T14" s="12">
        <f t="shared" si="7"/>
        <v>24270</v>
      </c>
      <c r="U14" s="12">
        <f t="shared" si="7"/>
        <v>17490</v>
      </c>
      <c r="V14" s="44">
        <f t="shared" si="1"/>
        <v>2437116.4800000004</v>
      </c>
    </row>
    <row r="15" spans="1:23" s="50" customFormat="1" ht="11.25">
      <c r="A15" s="11" t="s">
        <v>48</v>
      </c>
      <c r="B15" s="47" t="s">
        <v>49</v>
      </c>
      <c r="C15" s="47" t="s">
        <v>28</v>
      </c>
      <c r="D15" s="48" t="s">
        <v>47</v>
      </c>
      <c r="E15" s="51">
        <f>E16</f>
        <v>84999.6</v>
      </c>
      <c r="F15" s="12">
        <f t="shared" ref="F15:U15" si="8">F16</f>
        <v>85196.4</v>
      </c>
      <c r="G15" s="12">
        <f t="shared" si="8"/>
        <v>62907.600000000006</v>
      </c>
      <c r="H15" s="12">
        <f t="shared" si="8"/>
        <v>19181.759999999998</v>
      </c>
      <c r="I15" s="12">
        <f>I16</f>
        <v>78644.399999999994</v>
      </c>
      <c r="J15" s="12">
        <f t="shared" si="8"/>
        <v>67479.600000000006</v>
      </c>
      <c r="K15" s="12">
        <f t="shared" si="8"/>
        <v>73941.600000000006</v>
      </c>
      <c r="L15" s="12">
        <f t="shared" si="8"/>
        <v>37412.399999999994</v>
      </c>
      <c r="M15" s="12">
        <f t="shared" si="8"/>
        <v>44295.600000000006</v>
      </c>
      <c r="N15" s="12">
        <f t="shared" si="8"/>
        <v>48825.8</v>
      </c>
      <c r="O15" s="12">
        <f t="shared" si="8"/>
        <v>57385</v>
      </c>
      <c r="P15" s="12">
        <f t="shared" si="8"/>
        <v>60567</v>
      </c>
      <c r="Q15" s="12">
        <f t="shared" si="8"/>
        <v>24844.2</v>
      </c>
      <c r="R15" s="12">
        <f t="shared" si="8"/>
        <v>18254.400000000001</v>
      </c>
      <c r="S15" s="12">
        <f t="shared" si="8"/>
        <v>34516.800000000003</v>
      </c>
      <c r="T15" s="12">
        <f t="shared" si="8"/>
        <v>8090</v>
      </c>
      <c r="U15" s="12">
        <f t="shared" si="8"/>
        <v>5830</v>
      </c>
      <c r="V15" s="44">
        <f t="shared" si="1"/>
        <v>812372.16</v>
      </c>
    </row>
    <row r="16" spans="1:23" s="50" customFormat="1" ht="11.25">
      <c r="A16" s="11" t="s">
        <v>50</v>
      </c>
      <c r="B16" s="47" t="s">
        <v>51</v>
      </c>
      <c r="C16" s="47" t="s">
        <v>28</v>
      </c>
      <c r="D16" s="48" t="s">
        <v>47</v>
      </c>
      <c r="E16" s="52">
        <v>84999.6</v>
      </c>
      <c r="F16" s="53">
        <v>85196.4</v>
      </c>
      <c r="G16" s="53">
        <f>5242.3*12</f>
        <v>62907.600000000006</v>
      </c>
      <c r="H16" s="54">
        <v>19181.759999999998</v>
      </c>
      <c r="I16" s="54">
        <v>78644.399999999994</v>
      </c>
      <c r="J16" s="53">
        <v>67479.600000000006</v>
      </c>
      <c r="K16" s="53">
        <v>73941.600000000006</v>
      </c>
      <c r="L16" s="54">
        <f>3117.7*12</f>
        <v>37412.399999999994</v>
      </c>
      <c r="M16" s="53">
        <v>44295.600000000006</v>
      </c>
      <c r="N16" s="54">
        <v>48825.8</v>
      </c>
      <c r="O16" s="53">
        <v>57385</v>
      </c>
      <c r="P16" s="54">
        <v>60567</v>
      </c>
      <c r="Q16" s="53">
        <v>24844.2</v>
      </c>
      <c r="R16" s="54">
        <v>18254.400000000001</v>
      </c>
      <c r="S16" s="54">
        <v>34516.800000000003</v>
      </c>
      <c r="T16" s="54">
        <v>8090</v>
      </c>
      <c r="U16" s="54">
        <v>5830</v>
      </c>
      <c r="V16" s="44">
        <f t="shared" si="1"/>
        <v>812372.16</v>
      </c>
    </row>
    <row r="17" spans="1:22" ht="11.25">
      <c r="A17" s="11" t="s">
        <v>52</v>
      </c>
      <c r="B17" s="15" t="s">
        <v>53</v>
      </c>
      <c r="C17" s="15"/>
      <c r="D17" s="16" t="s">
        <v>22</v>
      </c>
      <c r="E17" s="12">
        <v>13942707</v>
      </c>
      <c r="F17" s="12">
        <v>13461924</v>
      </c>
      <c r="G17" s="49">
        <v>9775921</v>
      </c>
      <c r="H17" s="12">
        <v>2884698</v>
      </c>
      <c r="I17" s="12">
        <v>13301663</v>
      </c>
      <c r="J17" s="49">
        <v>12500358</v>
      </c>
      <c r="K17" s="49">
        <v>13782446</v>
      </c>
      <c r="L17" s="12">
        <v>6410440</v>
      </c>
      <c r="M17" s="12">
        <v>7692528</v>
      </c>
      <c r="N17" s="12">
        <v>8643160</v>
      </c>
      <c r="O17" s="49">
        <v>9537280</v>
      </c>
      <c r="P17" s="12">
        <v>9537280</v>
      </c>
      <c r="Q17" s="49">
        <v>4470600</v>
      </c>
      <c r="R17" s="12">
        <v>3278440</v>
      </c>
      <c r="S17" s="12">
        <v>6109820</v>
      </c>
      <c r="T17" s="12">
        <v>1639220</v>
      </c>
      <c r="U17" s="12">
        <v>884694</v>
      </c>
      <c r="V17" s="44">
        <f t="shared" si="1"/>
        <v>137853179</v>
      </c>
    </row>
    <row r="18" spans="1:22" ht="11.25">
      <c r="A18" s="11" t="s">
        <v>54</v>
      </c>
      <c r="B18" s="55" t="s">
        <v>55</v>
      </c>
      <c r="C18" s="55" t="s">
        <v>28</v>
      </c>
      <c r="D18" s="56" t="s">
        <v>56</v>
      </c>
      <c r="E18" s="57">
        <f>E17-E19</f>
        <v>13615309</v>
      </c>
      <c r="F18" s="57">
        <f t="shared" ref="F18:U18" si="9">F17-F19</f>
        <v>13174630</v>
      </c>
      <c r="G18" s="57">
        <f t="shared" si="9"/>
        <v>9608469</v>
      </c>
      <c r="H18" s="57">
        <f t="shared" si="9"/>
        <v>2884698</v>
      </c>
      <c r="I18" s="57">
        <f t="shared" si="9"/>
        <v>12927875</v>
      </c>
      <c r="J18" s="57">
        <f t="shared" si="9"/>
        <v>12326126</v>
      </c>
      <c r="K18" s="57">
        <f t="shared" si="9"/>
        <v>13595770</v>
      </c>
      <c r="L18" s="57">
        <f t="shared" si="9"/>
        <v>6236868</v>
      </c>
      <c r="M18" s="57">
        <f t="shared" si="9"/>
        <v>7526756</v>
      </c>
      <c r="N18" s="57">
        <f t="shared" si="9"/>
        <v>8471608</v>
      </c>
      <c r="O18" s="57">
        <f t="shared" si="9"/>
        <v>9336724</v>
      </c>
      <c r="P18" s="57">
        <f t="shared" si="9"/>
        <v>9353392</v>
      </c>
      <c r="Q18" s="57">
        <f t="shared" si="9"/>
        <v>4322004</v>
      </c>
      <c r="R18" s="57">
        <f t="shared" si="9"/>
        <v>3143384</v>
      </c>
      <c r="S18" s="57">
        <f t="shared" si="9"/>
        <v>5959844</v>
      </c>
      <c r="T18" s="57">
        <f t="shared" si="9"/>
        <v>1489754</v>
      </c>
      <c r="U18" s="57">
        <f t="shared" si="9"/>
        <v>884694</v>
      </c>
      <c r="V18" s="44">
        <f t="shared" si="1"/>
        <v>134857905</v>
      </c>
    </row>
    <row r="19" spans="1:22" ht="12.75">
      <c r="A19" s="11" t="s">
        <v>57</v>
      </c>
      <c r="B19" s="55" t="s">
        <v>58</v>
      </c>
      <c r="C19" s="55" t="s">
        <v>28</v>
      </c>
      <c r="D19" s="56" t="s">
        <v>59</v>
      </c>
      <c r="E19" s="57">
        <v>327398</v>
      </c>
      <c r="F19" s="57">
        <v>287294</v>
      </c>
      <c r="G19" s="58">
        <v>167452</v>
      </c>
      <c r="H19" s="57"/>
      <c r="I19" s="57">
        <v>373788</v>
      </c>
      <c r="J19" s="58">
        <v>174232</v>
      </c>
      <c r="K19" s="58">
        <v>186676</v>
      </c>
      <c r="L19" s="59">
        <v>173572</v>
      </c>
      <c r="M19" s="57">
        <v>165772</v>
      </c>
      <c r="N19" s="57">
        <v>171552</v>
      </c>
      <c r="O19" s="58">
        <v>200556</v>
      </c>
      <c r="P19" s="57">
        <v>183888</v>
      </c>
      <c r="Q19" s="58">
        <v>148596</v>
      </c>
      <c r="R19" s="57">
        <v>135056</v>
      </c>
      <c r="S19" s="57">
        <v>149976</v>
      </c>
      <c r="T19" s="57">
        <v>149466</v>
      </c>
      <c r="U19" s="57"/>
      <c r="V19" s="44">
        <f t="shared" si="1"/>
        <v>2995274</v>
      </c>
    </row>
    <row r="20" spans="1:22" ht="11.25">
      <c r="A20" s="11" t="s">
        <v>60</v>
      </c>
      <c r="B20" s="15" t="s">
        <v>61</v>
      </c>
      <c r="C20" s="15"/>
      <c r="D20" s="56" t="s">
        <v>22</v>
      </c>
      <c r="E20" s="51">
        <f>E21</f>
        <v>1699992</v>
      </c>
      <c r="F20" s="51">
        <f t="shared" ref="F20:U20" si="10">F21</f>
        <v>1703928</v>
      </c>
      <c r="G20" s="51">
        <f t="shared" si="10"/>
        <v>1258152</v>
      </c>
      <c r="H20" s="51">
        <f t="shared" si="10"/>
        <v>383635.19999999995</v>
      </c>
      <c r="I20" s="51">
        <f t="shared" si="10"/>
        <v>1572888</v>
      </c>
      <c r="J20" s="51">
        <f t="shared" si="10"/>
        <v>1349592</v>
      </c>
      <c r="K20" s="51">
        <f t="shared" si="10"/>
        <v>1478832</v>
      </c>
      <c r="L20" s="51">
        <f t="shared" si="10"/>
        <v>748247.99999999988</v>
      </c>
      <c r="M20" s="51">
        <f t="shared" si="10"/>
        <v>885912.00000000012</v>
      </c>
      <c r="N20" s="51">
        <f t="shared" si="10"/>
        <v>976516</v>
      </c>
      <c r="O20" s="51">
        <f t="shared" si="10"/>
        <v>1147700</v>
      </c>
      <c r="P20" s="51">
        <f t="shared" si="10"/>
        <v>1211340</v>
      </c>
      <c r="Q20" s="51">
        <f t="shared" si="10"/>
        <v>496884</v>
      </c>
      <c r="R20" s="51">
        <f t="shared" si="10"/>
        <v>365088</v>
      </c>
      <c r="S20" s="51">
        <f t="shared" si="10"/>
        <v>690336</v>
      </c>
      <c r="T20" s="51">
        <f t="shared" si="10"/>
        <v>161800</v>
      </c>
      <c r="U20" s="51">
        <f t="shared" si="10"/>
        <v>116600</v>
      </c>
      <c r="V20" s="44">
        <f t="shared" si="1"/>
        <v>16247443.199999999</v>
      </c>
    </row>
    <row r="21" spans="1:22" ht="11.25">
      <c r="A21" s="11" t="s">
        <v>62</v>
      </c>
      <c r="B21" s="15" t="s">
        <v>63</v>
      </c>
      <c r="C21" s="15" t="s">
        <v>64</v>
      </c>
      <c r="D21" s="56" t="s">
        <v>22</v>
      </c>
      <c r="E21" s="51">
        <f>E16*20</f>
        <v>1699992</v>
      </c>
      <c r="F21" s="51">
        <f t="shared" ref="F21:U21" si="11">F16*20</f>
        <v>1703928</v>
      </c>
      <c r="G21" s="51">
        <f t="shared" si="11"/>
        <v>1258152</v>
      </c>
      <c r="H21" s="51">
        <f t="shared" si="11"/>
        <v>383635.19999999995</v>
      </c>
      <c r="I21" s="51">
        <f>I16*20</f>
        <v>1572888</v>
      </c>
      <c r="J21" s="51">
        <f t="shared" si="11"/>
        <v>1349592</v>
      </c>
      <c r="K21" s="51">
        <f t="shared" si="11"/>
        <v>1478832</v>
      </c>
      <c r="L21" s="51">
        <f t="shared" si="11"/>
        <v>748247.99999999988</v>
      </c>
      <c r="M21" s="51">
        <f t="shared" si="11"/>
        <v>885912.00000000012</v>
      </c>
      <c r="N21" s="51">
        <f t="shared" si="11"/>
        <v>976516</v>
      </c>
      <c r="O21" s="51">
        <f t="shared" si="11"/>
        <v>1147700</v>
      </c>
      <c r="P21" s="51">
        <f t="shared" si="11"/>
        <v>1211340</v>
      </c>
      <c r="Q21" s="51">
        <f t="shared" si="11"/>
        <v>496884</v>
      </c>
      <c r="R21" s="51">
        <f t="shared" si="11"/>
        <v>365088</v>
      </c>
      <c r="S21" s="51">
        <f t="shared" si="11"/>
        <v>690336</v>
      </c>
      <c r="T21" s="51">
        <f t="shared" si="11"/>
        <v>161800</v>
      </c>
      <c r="U21" s="51">
        <f t="shared" si="11"/>
        <v>116600</v>
      </c>
      <c r="V21" s="44">
        <f t="shared" si="1"/>
        <v>16247443.199999999</v>
      </c>
    </row>
    <row r="22" spans="1:22" ht="11.25">
      <c r="A22" s="11" t="s">
        <v>65</v>
      </c>
      <c r="B22" s="15" t="s">
        <v>66</v>
      </c>
      <c r="C22" s="15"/>
      <c r="D22" s="56" t="s">
        <v>47</v>
      </c>
      <c r="E22" s="51">
        <f>E23+E24</f>
        <v>679996.8</v>
      </c>
      <c r="F22" s="51">
        <f t="shared" ref="F22:U22" si="12">F23+F24</f>
        <v>681571.2</v>
      </c>
      <c r="G22" s="51">
        <f t="shared" si="12"/>
        <v>503260.80000000005</v>
      </c>
      <c r="H22" s="51">
        <f t="shared" si="12"/>
        <v>153454.07999999999</v>
      </c>
      <c r="I22" s="51">
        <f t="shared" si="12"/>
        <v>629155.19999999995</v>
      </c>
      <c r="J22" s="51">
        <f t="shared" si="12"/>
        <v>539836.80000000005</v>
      </c>
      <c r="K22" s="51">
        <f t="shared" si="12"/>
        <v>591532.80000000005</v>
      </c>
      <c r="L22" s="51">
        <f t="shared" si="12"/>
        <v>299299.19999999995</v>
      </c>
      <c r="M22" s="51">
        <f t="shared" si="12"/>
        <v>354364.80000000005</v>
      </c>
      <c r="N22" s="51">
        <f t="shared" si="12"/>
        <v>390606.4</v>
      </c>
      <c r="O22" s="51">
        <f t="shared" si="12"/>
        <v>459080</v>
      </c>
      <c r="P22" s="51">
        <f t="shared" si="12"/>
        <v>484536</v>
      </c>
      <c r="Q22" s="51">
        <f t="shared" si="12"/>
        <v>198753.6</v>
      </c>
      <c r="R22" s="51">
        <f t="shared" si="12"/>
        <v>146035.20000000001</v>
      </c>
      <c r="S22" s="51">
        <f t="shared" si="12"/>
        <v>276134.40000000002</v>
      </c>
      <c r="T22" s="51">
        <f t="shared" si="12"/>
        <v>64720</v>
      </c>
      <c r="U22" s="51">
        <f t="shared" si="12"/>
        <v>46640</v>
      </c>
      <c r="V22" s="44">
        <f t="shared" si="1"/>
        <v>6498977.2800000003</v>
      </c>
    </row>
    <row r="23" spans="1:22" ht="11.25">
      <c r="A23" s="11" t="s">
        <v>67</v>
      </c>
      <c r="B23" s="15" t="s">
        <v>68</v>
      </c>
      <c r="C23" s="15" t="s">
        <v>69</v>
      </c>
      <c r="D23" s="56" t="s">
        <v>47</v>
      </c>
      <c r="E23" s="51">
        <f>E16*4</f>
        <v>339998.4</v>
      </c>
      <c r="F23" s="51">
        <f t="shared" ref="F23:U23" si="13">F16*4</f>
        <v>340785.6</v>
      </c>
      <c r="G23" s="51">
        <f t="shared" si="13"/>
        <v>251630.40000000002</v>
      </c>
      <c r="H23" s="51">
        <f t="shared" si="13"/>
        <v>76727.039999999994</v>
      </c>
      <c r="I23" s="51">
        <f>I16*4</f>
        <v>314577.59999999998</v>
      </c>
      <c r="J23" s="51">
        <f t="shared" si="13"/>
        <v>269918.40000000002</v>
      </c>
      <c r="K23" s="51">
        <f>K16*4</f>
        <v>295766.40000000002</v>
      </c>
      <c r="L23" s="51">
        <f t="shared" si="13"/>
        <v>149649.59999999998</v>
      </c>
      <c r="M23" s="51">
        <f t="shared" si="13"/>
        <v>177182.40000000002</v>
      </c>
      <c r="N23" s="51">
        <f t="shared" si="13"/>
        <v>195303.2</v>
      </c>
      <c r="O23" s="51">
        <f t="shared" si="13"/>
        <v>229540</v>
      </c>
      <c r="P23" s="51">
        <f t="shared" si="13"/>
        <v>242268</v>
      </c>
      <c r="Q23" s="51">
        <f t="shared" si="13"/>
        <v>99376.8</v>
      </c>
      <c r="R23" s="51">
        <f t="shared" si="13"/>
        <v>73017.600000000006</v>
      </c>
      <c r="S23" s="51">
        <f t="shared" si="13"/>
        <v>138067.20000000001</v>
      </c>
      <c r="T23" s="51">
        <f t="shared" si="13"/>
        <v>32360</v>
      </c>
      <c r="U23" s="51">
        <f t="shared" si="13"/>
        <v>23320</v>
      </c>
      <c r="V23" s="44">
        <f t="shared" si="1"/>
        <v>3249488.64</v>
      </c>
    </row>
    <row r="24" spans="1:22" ht="11.25">
      <c r="A24" s="11" t="s">
        <v>70</v>
      </c>
      <c r="B24" s="15" t="s">
        <v>71</v>
      </c>
      <c r="C24" s="15" t="s">
        <v>69</v>
      </c>
      <c r="D24" s="56" t="s">
        <v>47</v>
      </c>
      <c r="E24" s="51">
        <f>E16*4</f>
        <v>339998.4</v>
      </c>
      <c r="F24" s="51">
        <f t="shared" ref="F24:U24" si="14">F16*4</f>
        <v>340785.6</v>
      </c>
      <c r="G24" s="51">
        <f t="shared" si="14"/>
        <v>251630.40000000002</v>
      </c>
      <c r="H24" s="51">
        <f t="shared" si="14"/>
        <v>76727.039999999994</v>
      </c>
      <c r="I24" s="51">
        <f>I16*4</f>
        <v>314577.59999999998</v>
      </c>
      <c r="J24" s="51">
        <f t="shared" si="14"/>
        <v>269918.40000000002</v>
      </c>
      <c r="K24" s="51">
        <f t="shared" si="14"/>
        <v>295766.40000000002</v>
      </c>
      <c r="L24" s="51">
        <f t="shared" si="14"/>
        <v>149649.59999999998</v>
      </c>
      <c r="M24" s="51">
        <f t="shared" si="14"/>
        <v>177182.40000000002</v>
      </c>
      <c r="N24" s="51">
        <f t="shared" si="14"/>
        <v>195303.2</v>
      </c>
      <c r="O24" s="51">
        <f t="shared" si="14"/>
        <v>229540</v>
      </c>
      <c r="P24" s="51">
        <f t="shared" si="14"/>
        <v>242268</v>
      </c>
      <c r="Q24" s="51">
        <f t="shared" si="14"/>
        <v>99376.8</v>
      </c>
      <c r="R24" s="51">
        <f t="shared" si="14"/>
        <v>73017.600000000006</v>
      </c>
      <c r="S24" s="51">
        <f t="shared" si="14"/>
        <v>138067.20000000001</v>
      </c>
      <c r="T24" s="51">
        <f t="shared" si="14"/>
        <v>32360</v>
      </c>
      <c r="U24" s="51">
        <f t="shared" si="14"/>
        <v>23320</v>
      </c>
      <c r="V24" s="44">
        <f t="shared" si="1"/>
        <v>3249488.64</v>
      </c>
    </row>
    <row r="25" spans="1:22" ht="11.25">
      <c r="A25" s="11" t="s">
        <v>72</v>
      </c>
      <c r="B25" s="15" t="s">
        <v>73</v>
      </c>
      <c r="C25" s="15"/>
      <c r="D25" s="16" t="s">
        <v>22</v>
      </c>
      <c r="E25" s="12">
        <f>E26</f>
        <v>2719987.2</v>
      </c>
      <c r="F25" s="12">
        <f t="shared" ref="F25:U25" si="15">F26</f>
        <v>2726284.8</v>
      </c>
      <c r="G25" s="12">
        <f t="shared" si="15"/>
        <v>2013043.2000000002</v>
      </c>
      <c r="H25" s="12">
        <f t="shared" si="15"/>
        <v>613816.31999999995</v>
      </c>
      <c r="I25" s="12">
        <f t="shared" si="15"/>
        <v>2516620.7999999998</v>
      </c>
      <c r="J25" s="12">
        <f t="shared" si="15"/>
        <v>2159347.2000000002</v>
      </c>
      <c r="K25" s="12">
        <f t="shared" si="15"/>
        <v>2366131.2000000002</v>
      </c>
      <c r="L25" s="12">
        <f t="shared" si="15"/>
        <v>1197196.7999999998</v>
      </c>
      <c r="M25" s="12">
        <f t="shared" si="15"/>
        <v>1417459.2000000002</v>
      </c>
      <c r="N25" s="12">
        <f t="shared" si="15"/>
        <v>1562425.6</v>
      </c>
      <c r="O25" s="12">
        <f t="shared" si="15"/>
        <v>1836320</v>
      </c>
      <c r="P25" s="12">
        <f t="shared" si="15"/>
        <v>1938144</v>
      </c>
      <c r="Q25" s="12">
        <f t="shared" si="15"/>
        <v>795014.4</v>
      </c>
      <c r="R25" s="12">
        <f t="shared" si="15"/>
        <v>584140.80000000005</v>
      </c>
      <c r="S25" s="12">
        <f t="shared" si="15"/>
        <v>1104537.6000000001</v>
      </c>
      <c r="T25" s="12">
        <f t="shared" si="15"/>
        <v>258880</v>
      </c>
      <c r="U25" s="12">
        <f t="shared" si="15"/>
        <v>186560</v>
      </c>
      <c r="V25" s="44">
        <f t="shared" si="1"/>
        <v>25995909.120000001</v>
      </c>
    </row>
    <row r="26" spans="1:22" s="50" customFormat="1" ht="11.25">
      <c r="A26" s="11" t="s">
        <v>74</v>
      </c>
      <c r="B26" s="47" t="s">
        <v>75</v>
      </c>
      <c r="C26" s="47" t="s">
        <v>76</v>
      </c>
      <c r="D26" s="48" t="s">
        <v>47</v>
      </c>
      <c r="E26" s="12">
        <f>E16*32</f>
        <v>2719987.2</v>
      </c>
      <c r="F26" s="12">
        <f t="shared" ref="F26:U26" si="16">F16*32</f>
        <v>2726284.8</v>
      </c>
      <c r="G26" s="12">
        <f t="shared" si="16"/>
        <v>2013043.2000000002</v>
      </c>
      <c r="H26" s="12">
        <f t="shared" si="16"/>
        <v>613816.31999999995</v>
      </c>
      <c r="I26" s="12">
        <f>I16*32</f>
        <v>2516620.7999999998</v>
      </c>
      <c r="J26" s="12">
        <f t="shared" si="16"/>
        <v>2159347.2000000002</v>
      </c>
      <c r="K26" s="12">
        <f t="shared" si="16"/>
        <v>2366131.2000000002</v>
      </c>
      <c r="L26" s="12">
        <f t="shared" si="16"/>
        <v>1197196.7999999998</v>
      </c>
      <c r="M26" s="12">
        <f t="shared" si="16"/>
        <v>1417459.2000000002</v>
      </c>
      <c r="N26" s="12">
        <f t="shared" si="16"/>
        <v>1562425.6</v>
      </c>
      <c r="O26" s="12">
        <f t="shared" si="16"/>
        <v>1836320</v>
      </c>
      <c r="P26" s="12">
        <f t="shared" si="16"/>
        <v>1938144</v>
      </c>
      <c r="Q26" s="12">
        <f t="shared" si="16"/>
        <v>795014.4</v>
      </c>
      <c r="R26" s="12">
        <f t="shared" si="16"/>
        <v>584140.80000000005</v>
      </c>
      <c r="S26" s="12">
        <f t="shared" si="16"/>
        <v>1104537.6000000001</v>
      </c>
      <c r="T26" s="12">
        <f t="shared" si="16"/>
        <v>258880</v>
      </c>
      <c r="U26" s="12">
        <f t="shared" si="16"/>
        <v>186560</v>
      </c>
      <c r="V26" s="44">
        <f t="shared" si="1"/>
        <v>25995909.120000001</v>
      </c>
    </row>
    <row r="27" spans="1:22" ht="11.25">
      <c r="A27" s="11" t="s">
        <v>77</v>
      </c>
      <c r="B27" s="15" t="s">
        <v>78</v>
      </c>
      <c r="C27" s="15"/>
      <c r="D27" s="16" t="s">
        <v>22</v>
      </c>
      <c r="E27" s="12">
        <f>E28</f>
        <v>1359993.6</v>
      </c>
      <c r="F27" s="12">
        <f t="shared" ref="F27:U27" si="17">F28</f>
        <v>1363142.4</v>
      </c>
      <c r="G27" s="12">
        <f t="shared" si="17"/>
        <v>1006521.6000000001</v>
      </c>
      <c r="H27" s="12">
        <f t="shared" si="17"/>
        <v>306908.15999999997</v>
      </c>
      <c r="I27" s="12">
        <f t="shared" si="17"/>
        <v>1258310.3999999999</v>
      </c>
      <c r="J27" s="12">
        <f t="shared" si="17"/>
        <v>1079673.6000000001</v>
      </c>
      <c r="K27" s="12">
        <f t="shared" si="17"/>
        <v>1183065.6000000001</v>
      </c>
      <c r="L27" s="12">
        <f t="shared" si="17"/>
        <v>598598.39999999991</v>
      </c>
      <c r="M27" s="12">
        <f t="shared" si="17"/>
        <v>708729.60000000009</v>
      </c>
      <c r="N27" s="12">
        <f t="shared" si="17"/>
        <v>781212.8</v>
      </c>
      <c r="O27" s="12">
        <f t="shared" si="17"/>
        <v>918160</v>
      </c>
      <c r="P27" s="12">
        <f t="shared" si="17"/>
        <v>969072</v>
      </c>
      <c r="Q27" s="12">
        <f t="shared" si="17"/>
        <v>397507.2</v>
      </c>
      <c r="R27" s="12">
        <f t="shared" si="17"/>
        <v>292070.40000000002</v>
      </c>
      <c r="S27" s="12">
        <f t="shared" si="17"/>
        <v>552268.80000000005</v>
      </c>
      <c r="T27" s="12">
        <f t="shared" si="17"/>
        <v>129440</v>
      </c>
      <c r="U27" s="12">
        <f t="shared" si="17"/>
        <v>93280</v>
      </c>
      <c r="V27" s="44">
        <f t="shared" si="1"/>
        <v>12997954.560000001</v>
      </c>
    </row>
    <row r="28" spans="1:22" s="50" customFormat="1" ht="11.25">
      <c r="A28" s="11" t="s">
        <v>79</v>
      </c>
      <c r="B28" s="47" t="s">
        <v>80</v>
      </c>
      <c r="C28" s="47" t="s">
        <v>81</v>
      </c>
      <c r="D28" s="48" t="s">
        <v>47</v>
      </c>
      <c r="E28" s="12">
        <f t="shared" ref="E28:U28" si="18">E16*16</f>
        <v>1359993.6</v>
      </c>
      <c r="F28" s="12">
        <f t="shared" si="18"/>
        <v>1363142.4</v>
      </c>
      <c r="G28" s="12">
        <f t="shared" si="18"/>
        <v>1006521.6000000001</v>
      </c>
      <c r="H28" s="12">
        <f t="shared" si="18"/>
        <v>306908.15999999997</v>
      </c>
      <c r="I28" s="12">
        <f>I16*16</f>
        <v>1258310.3999999999</v>
      </c>
      <c r="J28" s="12">
        <f t="shared" si="18"/>
        <v>1079673.6000000001</v>
      </c>
      <c r="K28" s="12">
        <f t="shared" si="18"/>
        <v>1183065.6000000001</v>
      </c>
      <c r="L28" s="12">
        <f t="shared" si="18"/>
        <v>598598.39999999991</v>
      </c>
      <c r="M28" s="12">
        <f t="shared" si="18"/>
        <v>708729.60000000009</v>
      </c>
      <c r="N28" s="12">
        <f t="shared" si="18"/>
        <v>781212.8</v>
      </c>
      <c r="O28" s="12">
        <f t="shared" si="18"/>
        <v>918160</v>
      </c>
      <c r="P28" s="12">
        <f t="shared" si="18"/>
        <v>969072</v>
      </c>
      <c r="Q28" s="12">
        <f t="shared" si="18"/>
        <v>397507.2</v>
      </c>
      <c r="R28" s="12">
        <f t="shared" si="18"/>
        <v>292070.40000000002</v>
      </c>
      <c r="S28" s="12">
        <f t="shared" si="18"/>
        <v>552268.80000000005</v>
      </c>
      <c r="T28" s="12">
        <f t="shared" si="18"/>
        <v>129440</v>
      </c>
      <c r="U28" s="12">
        <f t="shared" si="18"/>
        <v>93280</v>
      </c>
      <c r="V28" s="44">
        <f t="shared" si="1"/>
        <v>12997954.560000001</v>
      </c>
    </row>
    <row r="29" spans="1:22" ht="11.25">
      <c r="A29" s="11" t="s">
        <v>82</v>
      </c>
      <c r="B29" s="15" t="s">
        <v>83</v>
      </c>
      <c r="C29" s="55" t="s">
        <v>28</v>
      </c>
      <c r="D29" s="48" t="s">
        <v>84</v>
      </c>
      <c r="E29" s="12">
        <f>9600*E96</f>
        <v>835200</v>
      </c>
      <c r="F29" s="12">
        <f>9600*F96</f>
        <v>806400</v>
      </c>
      <c r="G29" s="49">
        <v>585600</v>
      </c>
      <c r="H29" s="12">
        <f>9600*H96</f>
        <v>172800</v>
      </c>
      <c r="I29" s="12">
        <f>9600*I96</f>
        <v>796800</v>
      </c>
      <c r="J29" s="49">
        <v>748800</v>
      </c>
      <c r="K29" s="49">
        <f>86*9600</f>
        <v>825600</v>
      </c>
      <c r="L29" s="12">
        <f>9600*L96</f>
        <v>384000</v>
      </c>
      <c r="M29" s="12">
        <f>9600*M96</f>
        <v>460800</v>
      </c>
      <c r="N29" s="12">
        <f>9600*N96</f>
        <v>556800</v>
      </c>
      <c r="O29" s="49">
        <v>614400</v>
      </c>
      <c r="P29" s="12">
        <f>9600*P96</f>
        <v>614400</v>
      </c>
      <c r="Q29" s="49">
        <f>800*30*12</f>
        <v>288000</v>
      </c>
      <c r="R29" s="12">
        <f>9600*R96</f>
        <v>211200</v>
      </c>
      <c r="S29" s="12">
        <f>9600*S96</f>
        <v>393600</v>
      </c>
      <c r="T29" s="12">
        <f>9600*T96</f>
        <v>105600</v>
      </c>
      <c r="U29" s="12">
        <f>9600*U96</f>
        <v>57600</v>
      </c>
      <c r="V29" s="44">
        <f t="shared" si="1"/>
        <v>8457600</v>
      </c>
    </row>
    <row r="30" spans="1:22" ht="11.25">
      <c r="A30" s="11" t="s">
        <v>85</v>
      </c>
      <c r="B30" s="15" t="s">
        <v>86</v>
      </c>
      <c r="C30" s="15" t="s">
        <v>86</v>
      </c>
      <c r="D30" s="48" t="s">
        <v>47</v>
      </c>
      <c r="E30" s="51">
        <f>E16*14</f>
        <v>1189994.4000000001</v>
      </c>
      <c r="F30" s="51">
        <f t="shared" ref="F30:U30" si="19">F16*14</f>
        <v>1192749.5999999999</v>
      </c>
      <c r="G30" s="51">
        <f t="shared" si="19"/>
        <v>880706.40000000014</v>
      </c>
      <c r="H30" s="51">
        <f t="shared" si="19"/>
        <v>268544.63999999996</v>
      </c>
      <c r="I30" s="51">
        <f>I16*14</f>
        <v>1101021.5999999999</v>
      </c>
      <c r="J30" s="51">
        <f t="shared" si="19"/>
        <v>944714.40000000014</v>
      </c>
      <c r="K30" s="51">
        <f t="shared" si="19"/>
        <v>1035182.4000000001</v>
      </c>
      <c r="L30" s="51">
        <f t="shared" si="19"/>
        <v>523773.59999999992</v>
      </c>
      <c r="M30" s="51">
        <f t="shared" si="19"/>
        <v>620138.40000000014</v>
      </c>
      <c r="N30" s="51">
        <f t="shared" si="19"/>
        <v>683561.20000000007</v>
      </c>
      <c r="O30" s="51">
        <f t="shared" si="19"/>
        <v>803390</v>
      </c>
      <c r="P30" s="51">
        <f t="shared" si="19"/>
        <v>847938</v>
      </c>
      <c r="Q30" s="51">
        <f t="shared" si="19"/>
        <v>347818.8</v>
      </c>
      <c r="R30" s="51">
        <f t="shared" si="19"/>
        <v>255561.60000000003</v>
      </c>
      <c r="S30" s="51">
        <f t="shared" si="19"/>
        <v>483235.20000000007</v>
      </c>
      <c r="T30" s="51">
        <f t="shared" si="19"/>
        <v>113260</v>
      </c>
      <c r="U30" s="51">
        <f t="shared" si="19"/>
        <v>81620</v>
      </c>
      <c r="V30" s="44">
        <f t="shared" si="1"/>
        <v>11373210.24</v>
      </c>
    </row>
    <row r="31" spans="1:22" ht="11.25">
      <c r="A31" s="11" t="s">
        <v>87</v>
      </c>
      <c r="B31" s="15" t="s">
        <v>88</v>
      </c>
      <c r="C31" s="15"/>
      <c r="D31" s="16" t="s">
        <v>22</v>
      </c>
      <c r="E31" s="12">
        <f>E32+E40+E42+E45+E47</f>
        <v>9960</v>
      </c>
      <c r="F31" s="12">
        <f t="shared" ref="F31:U31" si="20">F32+F40+F42+F45+F47</f>
        <v>11880</v>
      </c>
      <c r="G31" s="12">
        <f t="shared" si="20"/>
        <v>7440</v>
      </c>
      <c r="H31" s="12">
        <f t="shared" si="20"/>
        <v>17280</v>
      </c>
      <c r="I31" s="12">
        <f t="shared" si="20"/>
        <v>5760</v>
      </c>
      <c r="J31" s="12">
        <f t="shared" si="20"/>
        <v>3720</v>
      </c>
      <c r="K31" s="12">
        <f t="shared" si="20"/>
        <v>14120</v>
      </c>
      <c r="L31" s="12">
        <f t="shared" si="20"/>
        <v>1580</v>
      </c>
      <c r="M31" s="12">
        <f t="shared" si="20"/>
        <v>720</v>
      </c>
      <c r="N31" s="12">
        <f t="shared" si="20"/>
        <v>10980</v>
      </c>
      <c r="O31" s="12">
        <f t="shared" si="20"/>
        <v>14680</v>
      </c>
      <c r="P31" s="12">
        <f t="shared" si="20"/>
        <v>11800</v>
      </c>
      <c r="Q31" s="12">
        <f t="shared" si="20"/>
        <v>6120</v>
      </c>
      <c r="R31" s="12">
        <f t="shared" si="20"/>
        <v>5880</v>
      </c>
      <c r="S31" s="12">
        <f t="shared" si="20"/>
        <v>6600</v>
      </c>
      <c r="T31" s="12">
        <f t="shared" si="20"/>
        <v>3840</v>
      </c>
      <c r="U31" s="12">
        <f t="shared" si="20"/>
        <v>1320</v>
      </c>
      <c r="V31" s="44">
        <f t="shared" si="1"/>
        <v>133680</v>
      </c>
    </row>
    <row r="32" spans="1:22" ht="11.25">
      <c r="A32" s="11" t="s">
        <v>89</v>
      </c>
      <c r="B32" s="15" t="s">
        <v>90</v>
      </c>
      <c r="C32" s="15"/>
      <c r="D32" s="16" t="s">
        <v>22</v>
      </c>
      <c r="E32" s="12">
        <f>E33+E34+E35+E36+E37+E38+E39</f>
        <v>0</v>
      </c>
      <c r="F32" s="12">
        <f>F33+F34+F35+F36+F37+F38+F39</f>
        <v>0</v>
      </c>
      <c r="G32" s="49">
        <v>0</v>
      </c>
      <c r="H32" s="12">
        <f>H33+H34+H35+H36+H37+H38+H39</f>
        <v>0</v>
      </c>
      <c r="I32" s="12">
        <f>I33+I34+I35+I36+I37+I38+I39</f>
        <v>0</v>
      </c>
      <c r="J32" s="49">
        <f>J33+J34+J35+J36+J37+J38+J39</f>
        <v>0</v>
      </c>
      <c r="K32" s="49">
        <v>0</v>
      </c>
      <c r="L32" s="12">
        <f>L33+L34+L35+L36+L37+L38+L39</f>
        <v>0</v>
      </c>
      <c r="M32" s="12">
        <f>M33+M34+M35+M36+M37+M38+M39</f>
        <v>0</v>
      </c>
      <c r="N32" s="12">
        <f>N33+N34+N35+N36+N37+N38+N39</f>
        <v>0</v>
      </c>
      <c r="O32" s="49">
        <v>0</v>
      </c>
      <c r="P32" s="12">
        <f>P33+P34+P35+P36+P37+P38+P39</f>
        <v>0</v>
      </c>
      <c r="Q32" s="49">
        <v>0</v>
      </c>
      <c r="R32" s="12">
        <f>R33+R34+R35+R36+R37+R38+R39</f>
        <v>0</v>
      </c>
      <c r="S32" s="12">
        <f>S33+S34+S35+S36+S37+S38+S39</f>
        <v>0</v>
      </c>
      <c r="T32" s="12">
        <f>T33+T34+T35+T36+T37+T38+T39</f>
        <v>0</v>
      </c>
      <c r="U32" s="12">
        <f>U33+U34+U35+U36+U37+U38+U39</f>
        <v>0</v>
      </c>
      <c r="V32" s="44">
        <f t="shared" si="1"/>
        <v>0</v>
      </c>
    </row>
    <row r="33" spans="1:22" ht="11.25">
      <c r="A33" s="11" t="s">
        <v>91</v>
      </c>
      <c r="B33" s="15" t="s">
        <v>92</v>
      </c>
      <c r="C33" s="15" t="s">
        <v>93</v>
      </c>
      <c r="D33" s="56" t="s">
        <v>94</v>
      </c>
      <c r="E33" s="57"/>
      <c r="F33" s="57"/>
      <c r="G33" s="58"/>
      <c r="H33" s="57"/>
      <c r="I33" s="57"/>
      <c r="J33" s="58"/>
      <c r="K33" s="58"/>
      <c r="L33" s="57"/>
      <c r="M33" s="57"/>
      <c r="N33" s="57"/>
      <c r="O33" s="58"/>
      <c r="P33" s="57"/>
      <c r="Q33" s="58"/>
      <c r="R33" s="57"/>
      <c r="S33" s="57"/>
      <c r="T33" s="57"/>
      <c r="U33" s="57"/>
      <c r="V33" s="44">
        <f t="shared" si="1"/>
        <v>0</v>
      </c>
    </row>
    <row r="34" spans="1:22" ht="11.25">
      <c r="A34" s="11" t="s">
        <v>95</v>
      </c>
      <c r="B34" s="15" t="s">
        <v>96</v>
      </c>
      <c r="C34" s="15" t="s">
        <v>93</v>
      </c>
      <c r="D34" s="56" t="s">
        <v>94</v>
      </c>
      <c r="E34" s="57"/>
      <c r="F34" s="57"/>
      <c r="G34" s="58"/>
      <c r="H34" s="57"/>
      <c r="I34" s="57"/>
      <c r="J34" s="58"/>
      <c r="K34" s="58"/>
      <c r="L34" s="57"/>
      <c r="M34" s="57"/>
      <c r="N34" s="57"/>
      <c r="O34" s="58"/>
      <c r="P34" s="57"/>
      <c r="Q34" s="58"/>
      <c r="R34" s="57"/>
      <c r="S34" s="57"/>
      <c r="T34" s="57"/>
      <c r="U34" s="57"/>
      <c r="V34" s="44">
        <f t="shared" si="1"/>
        <v>0</v>
      </c>
    </row>
    <row r="35" spans="1:22" ht="11.25">
      <c r="A35" s="11" t="s">
        <v>97</v>
      </c>
      <c r="B35" s="15" t="s">
        <v>98</v>
      </c>
      <c r="C35" s="15" t="s">
        <v>93</v>
      </c>
      <c r="D35" s="56" t="s">
        <v>99</v>
      </c>
      <c r="E35" s="57"/>
      <c r="F35" s="57"/>
      <c r="G35" s="58"/>
      <c r="H35" s="57"/>
      <c r="I35" s="57"/>
      <c r="J35" s="58"/>
      <c r="K35" s="58"/>
      <c r="L35" s="57"/>
      <c r="M35" s="57"/>
      <c r="N35" s="57"/>
      <c r="O35" s="58"/>
      <c r="P35" s="57"/>
      <c r="Q35" s="58"/>
      <c r="R35" s="57"/>
      <c r="S35" s="57"/>
      <c r="T35" s="57"/>
      <c r="U35" s="57"/>
      <c r="V35" s="44">
        <f t="shared" si="1"/>
        <v>0</v>
      </c>
    </row>
    <row r="36" spans="1:22" ht="11.25">
      <c r="A36" s="11" t="s">
        <v>100</v>
      </c>
      <c r="B36" s="15" t="s">
        <v>101</v>
      </c>
      <c r="C36" s="15" t="s">
        <v>93</v>
      </c>
      <c r="D36" s="56" t="s">
        <v>94</v>
      </c>
      <c r="E36" s="57"/>
      <c r="F36" s="57"/>
      <c r="G36" s="58"/>
      <c r="H36" s="57"/>
      <c r="I36" s="57"/>
      <c r="J36" s="58"/>
      <c r="K36" s="58"/>
      <c r="L36" s="57"/>
      <c r="M36" s="57"/>
      <c r="N36" s="57"/>
      <c r="O36" s="58"/>
      <c r="P36" s="57"/>
      <c r="Q36" s="58"/>
      <c r="R36" s="57"/>
      <c r="S36" s="57"/>
      <c r="T36" s="57"/>
      <c r="U36" s="57"/>
      <c r="V36" s="44">
        <f t="shared" si="1"/>
        <v>0</v>
      </c>
    </row>
    <row r="37" spans="1:22" ht="11.25">
      <c r="A37" s="11" t="s">
        <v>102</v>
      </c>
      <c r="B37" s="15" t="s">
        <v>103</v>
      </c>
      <c r="C37" s="15" t="s">
        <v>93</v>
      </c>
      <c r="D37" s="56" t="s">
        <v>94</v>
      </c>
      <c r="E37" s="57"/>
      <c r="F37" s="57"/>
      <c r="G37" s="58"/>
      <c r="H37" s="57"/>
      <c r="I37" s="57"/>
      <c r="J37" s="58"/>
      <c r="K37" s="58"/>
      <c r="L37" s="57"/>
      <c r="M37" s="57"/>
      <c r="N37" s="57"/>
      <c r="O37" s="58"/>
      <c r="P37" s="57"/>
      <c r="Q37" s="58"/>
      <c r="R37" s="57"/>
      <c r="S37" s="57"/>
      <c r="T37" s="57"/>
      <c r="U37" s="57"/>
      <c r="V37" s="44">
        <f t="shared" si="1"/>
        <v>0</v>
      </c>
    </row>
    <row r="38" spans="1:22" ht="11.25">
      <c r="A38" s="11" t="s">
        <v>104</v>
      </c>
      <c r="B38" s="15" t="s">
        <v>105</v>
      </c>
      <c r="C38" s="15" t="s">
        <v>93</v>
      </c>
      <c r="D38" s="56" t="s">
        <v>94</v>
      </c>
      <c r="E38" s="57"/>
      <c r="F38" s="57"/>
      <c r="G38" s="58"/>
      <c r="H38" s="57"/>
      <c r="I38" s="57"/>
      <c r="J38" s="58"/>
      <c r="K38" s="58"/>
      <c r="L38" s="57"/>
      <c r="M38" s="57"/>
      <c r="N38" s="57"/>
      <c r="O38" s="58"/>
      <c r="P38" s="57"/>
      <c r="Q38" s="58"/>
      <c r="R38" s="57"/>
      <c r="S38" s="57"/>
      <c r="T38" s="57"/>
      <c r="U38" s="57"/>
      <c r="V38" s="44">
        <f t="shared" si="1"/>
        <v>0</v>
      </c>
    </row>
    <row r="39" spans="1:22" ht="11.25">
      <c r="A39" s="11" t="s">
        <v>106</v>
      </c>
      <c r="B39" s="15" t="s">
        <v>107</v>
      </c>
      <c r="C39" s="15" t="s">
        <v>93</v>
      </c>
      <c r="D39" s="56" t="s">
        <v>94</v>
      </c>
      <c r="E39" s="57"/>
      <c r="F39" s="57"/>
      <c r="G39" s="58"/>
      <c r="H39" s="57"/>
      <c r="I39" s="57"/>
      <c r="J39" s="58"/>
      <c r="K39" s="58"/>
      <c r="L39" s="57"/>
      <c r="M39" s="57"/>
      <c r="N39" s="57"/>
      <c r="O39" s="58"/>
      <c r="P39" s="57"/>
      <c r="Q39" s="58"/>
      <c r="R39" s="57"/>
      <c r="S39" s="57"/>
      <c r="T39" s="57"/>
      <c r="U39" s="57"/>
      <c r="V39" s="44">
        <f t="shared" si="1"/>
        <v>0</v>
      </c>
    </row>
    <row r="40" spans="1:22" ht="11.25">
      <c r="A40" s="11" t="s">
        <v>108</v>
      </c>
      <c r="B40" s="15" t="s">
        <v>109</v>
      </c>
      <c r="C40" s="15"/>
      <c r="D40" s="16" t="s">
        <v>22</v>
      </c>
      <c r="E40" s="12">
        <f>E41</f>
        <v>0</v>
      </c>
      <c r="F40" s="12">
        <f>F41</f>
        <v>0</v>
      </c>
      <c r="G40" s="49">
        <v>0</v>
      </c>
      <c r="H40" s="12">
        <f>H41</f>
        <v>0</v>
      </c>
      <c r="I40" s="12">
        <f>I41</f>
        <v>0</v>
      </c>
      <c r="J40" s="49">
        <v>0</v>
      </c>
      <c r="K40" s="49">
        <v>0</v>
      </c>
      <c r="L40" s="12">
        <f>L41</f>
        <v>0</v>
      </c>
      <c r="M40" s="12">
        <f>M41</f>
        <v>0</v>
      </c>
      <c r="N40" s="12">
        <f>N41</f>
        <v>0</v>
      </c>
      <c r="O40" s="49">
        <v>0</v>
      </c>
      <c r="P40" s="12">
        <f>P41</f>
        <v>0</v>
      </c>
      <c r="Q40" s="49">
        <v>0</v>
      </c>
      <c r="R40" s="12">
        <f>R41</f>
        <v>0</v>
      </c>
      <c r="S40" s="12">
        <f>S41</f>
        <v>0</v>
      </c>
      <c r="T40" s="12">
        <f>T41</f>
        <v>0</v>
      </c>
      <c r="U40" s="12">
        <f>U41</f>
        <v>0</v>
      </c>
      <c r="V40" s="44">
        <f t="shared" si="1"/>
        <v>0</v>
      </c>
    </row>
    <row r="41" spans="1:22" s="50" customFormat="1" ht="11.25">
      <c r="A41" s="11" t="s">
        <v>110</v>
      </c>
      <c r="B41" s="47" t="s">
        <v>111</v>
      </c>
      <c r="C41" s="47" t="s">
        <v>28</v>
      </c>
      <c r="D41" s="48" t="s">
        <v>112</v>
      </c>
      <c r="E41" s="60">
        <f>174800-174800</f>
        <v>0</v>
      </c>
      <c r="F41" s="60"/>
      <c r="G41" s="61"/>
      <c r="H41" s="60"/>
      <c r="I41" s="60"/>
      <c r="J41" s="61"/>
      <c r="K41" s="61"/>
      <c r="L41" s="60"/>
      <c r="M41" s="60"/>
      <c r="N41" s="60"/>
      <c r="O41" s="61"/>
      <c r="P41" s="60"/>
      <c r="Q41" s="61">
        <v>0</v>
      </c>
      <c r="R41" s="60"/>
      <c r="S41" s="60"/>
      <c r="T41" s="60"/>
      <c r="U41" s="60"/>
      <c r="V41" s="44">
        <f t="shared" si="1"/>
        <v>0</v>
      </c>
    </row>
    <row r="42" spans="1:22" ht="11.25">
      <c r="A42" s="11" t="s">
        <v>113</v>
      </c>
      <c r="B42" s="15" t="s">
        <v>114</v>
      </c>
      <c r="C42" s="15"/>
      <c r="D42" s="16" t="s">
        <v>22</v>
      </c>
      <c r="E42" s="12">
        <f>E43+E44</f>
        <v>0</v>
      </c>
      <c r="F42" s="12">
        <f>F43+F44</f>
        <v>0</v>
      </c>
      <c r="G42" s="49">
        <v>0</v>
      </c>
      <c r="H42" s="12">
        <f>H43+H44</f>
        <v>0</v>
      </c>
      <c r="I42" s="12">
        <f>I43+I44</f>
        <v>0</v>
      </c>
      <c r="J42" s="49">
        <v>0</v>
      </c>
      <c r="K42" s="49">
        <v>0</v>
      </c>
      <c r="L42" s="12">
        <f>L43+L44</f>
        <v>0</v>
      </c>
      <c r="M42" s="12">
        <f>M43+M44</f>
        <v>0</v>
      </c>
      <c r="N42" s="12">
        <f>N43+N44</f>
        <v>0</v>
      </c>
      <c r="O42" s="49">
        <v>0</v>
      </c>
      <c r="P42" s="12">
        <f>P43+P44</f>
        <v>0</v>
      </c>
      <c r="Q42" s="49">
        <v>0</v>
      </c>
      <c r="R42" s="12">
        <f>R43+R44</f>
        <v>0</v>
      </c>
      <c r="S42" s="12">
        <f>S43+S44</f>
        <v>0</v>
      </c>
      <c r="T42" s="12">
        <f>T43+T44</f>
        <v>0</v>
      </c>
      <c r="U42" s="12">
        <f>U43+U44</f>
        <v>0</v>
      </c>
      <c r="V42" s="44">
        <f t="shared" si="1"/>
        <v>0</v>
      </c>
    </row>
    <row r="43" spans="1:22" s="50" customFormat="1" ht="11.25">
      <c r="A43" s="11" t="s">
        <v>115</v>
      </c>
      <c r="B43" s="47" t="s">
        <v>116</v>
      </c>
      <c r="C43" s="47" t="s">
        <v>28</v>
      </c>
      <c r="D43" s="48" t="s">
        <v>99</v>
      </c>
      <c r="E43" s="60"/>
      <c r="F43" s="60"/>
      <c r="G43" s="61"/>
      <c r="H43" s="60"/>
      <c r="I43" s="60"/>
      <c r="J43" s="61"/>
      <c r="K43" s="61"/>
      <c r="L43" s="60"/>
      <c r="M43" s="60"/>
      <c r="N43" s="60"/>
      <c r="O43" s="61"/>
      <c r="P43" s="60"/>
      <c r="Q43" s="61"/>
      <c r="R43" s="60"/>
      <c r="S43" s="60"/>
      <c r="T43" s="60"/>
      <c r="U43" s="60"/>
      <c r="V43" s="44">
        <f t="shared" si="1"/>
        <v>0</v>
      </c>
    </row>
    <row r="44" spans="1:22" s="50" customFormat="1" ht="11.25">
      <c r="A44" s="11" t="s">
        <v>117</v>
      </c>
      <c r="B44" s="47" t="s">
        <v>118</v>
      </c>
      <c r="C44" s="47" t="s">
        <v>28</v>
      </c>
      <c r="D44" s="48" t="s">
        <v>99</v>
      </c>
      <c r="E44" s="60"/>
      <c r="F44" s="60"/>
      <c r="G44" s="61"/>
      <c r="H44" s="60"/>
      <c r="I44" s="60"/>
      <c r="J44" s="61"/>
      <c r="K44" s="61"/>
      <c r="L44" s="60"/>
      <c r="M44" s="60"/>
      <c r="N44" s="60"/>
      <c r="O44" s="61"/>
      <c r="P44" s="60"/>
      <c r="Q44" s="61"/>
      <c r="R44" s="60"/>
      <c r="S44" s="60"/>
      <c r="T44" s="60"/>
      <c r="U44" s="60"/>
      <c r="V44" s="44">
        <f t="shared" si="1"/>
        <v>0</v>
      </c>
    </row>
    <row r="45" spans="1:22" ht="11.25">
      <c r="A45" s="11" t="s">
        <v>119</v>
      </c>
      <c r="B45" s="15" t="s">
        <v>120</v>
      </c>
      <c r="C45" s="15"/>
      <c r="D45" s="16" t="s">
        <v>22</v>
      </c>
      <c r="E45" s="12">
        <f>E46</f>
        <v>3960</v>
      </c>
      <c r="F45" s="12">
        <f t="shared" ref="F45:U45" si="21">F46</f>
        <v>2880</v>
      </c>
      <c r="G45" s="12">
        <f t="shared" si="21"/>
        <v>1440</v>
      </c>
      <c r="H45" s="12">
        <f t="shared" si="21"/>
        <v>6480</v>
      </c>
      <c r="I45" s="12">
        <f t="shared" si="21"/>
        <v>3960</v>
      </c>
      <c r="J45" s="12">
        <f t="shared" si="21"/>
        <v>720</v>
      </c>
      <c r="K45" s="12">
        <f t="shared" si="21"/>
        <v>6120</v>
      </c>
      <c r="L45" s="12">
        <f t="shared" si="21"/>
        <v>1080</v>
      </c>
      <c r="M45" s="12">
        <f t="shared" si="21"/>
        <v>720</v>
      </c>
      <c r="N45" s="12">
        <f t="shared" si="21"/>
        <v>6480</v>
      </c>
      <c r="O45" s="12">
        <f t="shared" si="21"/>
        <v>4680</v>
      </c>
      <c r="P45" s="12">
        <f t="shared" si="21"/>
        <v>5100</v>
      </c>
      <c r="Q45" s="12">
        <f t="shared" si="21"/>
        <v>2520</v>
      </c>
      <c r="R45" s="12">
        <f t="shared" si="21"/>
        <v>2880</v>
      </c>
      <c r="S45" s="12">
        <f t="shared" si="21"/>
        <v>1800</v>
      </c>
      <c r="T45" s="12">
        <f t="shared" si="21"/>
        <v>1440</v>
      </c>
      <c r="U45" s="12">
        <f t="shared" si="21"/>
        <v>720</v>
      </c>
      <c r="V45" s="44">
        <f t="shared" si="1"/>
        <v>52980</v>
      </c>
    </row>
    <row r="46" spans="1:22" ht="11.25">
      <c r="A46" s="11" t="s">
        <v>121</v>
      </c>
      <c r="B46" s="15" t="s">
        <v>122</v>
      </c>
      <c r="C46" s="15" t="s">
        <v>28</v>
      </c>
      <c r="D46" s="16" t="s">
        <v>29</v>
      </c>
      <c r="E46" s="46">
        <f>330*12</f>
        <v>3960</v>
      </c>
      <c r="F46" s="46">
        <v>2880</v>
      </c>
      <c r="G46" s="46">
        <v>1440</v>
      </c>
      <c r="H46" s="14">
        <v>6480</v>
      </c>
      <c r="I46" s="14">
        <v>3960</v>
      </c>
      <c r="J46" s="46">
        <v>720</v>
      </c>
      <c r="K46" s="46">
        <v>6120</v>
      </c>
      <c r="L46" s="14">
        <f>90*12</f>
        <v>1080</v>
      </c>
      <c r="M46" s="46">
        <f>60*12</f>
        <v>720</v>
      </c>
      <c r="N46" s="14">
        <v>6480</v>
      </c>
      <c r="O46" s="46">
        <v>4680</v>
      </c>
      <c r="P46" s="14">
        <v>5100</v>
      </c>
      <c r="Q46" s="46">
        <f>210*12</f>
        <v>2520</v>
      </c>
      <c r="R46" s="14">
        <v>2880</v>
      </c>
      <c r="S46" s="14">
        <v>1800</v>
      </c>
      <c r="T46" s="14">
        <v>1440</v>
      </c>
      <c r="U46" s="14">
        <v>720</v>
      </c>
      <c r="V46" s="44">
        <f t="shared" si="1"/>
        <v>52980</v>
      </c>
    </row>
    <row r="47" spans="1:22" ht="11.25">
      <c r="A47" s="11" t="s">
        <v>123</v>
      </c>
      <c r="B47" s="15" t="s">
        <v>124</v>
      </c>
      <c r="C47" s="15"/>
      <c r="D47" s="16" t="s">
        <v>22</v>
      </c>
      <c r="E47" s="12">
        <f>SUM(E48:E51)</f>
        <v>6000</v>
      </c>
      <c r="F47" s="12">
        <f t="shared" ref="F47:U47" si="22">SUM(F48:F51)</f>
        <v>9000</v>
      </c>
      <c r="G47" s="12">
        <f t="shared" si="22"/>
        <v>6000</v>
      </c>
      <c r="H47" s="12">
        <f t="shared" si="22"/>
        <v>10800</v>
      </c>
      <c r="I47" s="12">
        <f t="shared" si="22"/>
        <v>1800</v>
      </c>
      <c r="J47" s="12">
        <f t="shared" si="22"/>
        <v>3000</v>
      </c>
      <c r="K47" s="12">
        <f t="shared" si="22"/>
        <v>8000</v>
      </c>
      <c r="L47" s="12">
        <f t="shared" si="22"/>
        <v>500</v>
      </c>
      <c r="M47" s="12">
        <f t="shared" si="22"/>
        <v>0</v>
      </c>
      <c r="N47" s="12">
        <f t="shared" si="22"/>
        <v>4500</v>
      </c>
      <c r="O47" s="12">
        <f t="shared" si="22"/>
        <v>10000</v>
      </c>
      <c r="P47" s="12">
        <f t="shared" si="22"/>
        <v>6700</v>
      </c>
      <c r="Q47" s="12">
        <f t="shared" si="22"/>
        <v>3600</v>
      </c>
      <c r="R47" s="12">
        <f t="shared" si="22"/>
        <v>3000</v>
      </c>
      <c r="S47" s="12">
        <f t="shared" si="22"/>
        <v>4800</v>
      </c>
      <c r="T47" s="12">
        <f t="shared" si="22"/>
        <v>2400</v>
      </c>
      <c r="U47" s="12">
        <f t="shared" si="22"/>
        <v>600</v>
      </c>
      <c r="V47" s="44">
        <f t="shared" si="1"/>
        <v>80700</v>
      </c>
    </row>
    <row r="48" spans="1:22" ht="11.25">
      <c r="A48" s="11" t="s">
        <v>125</v>
      </c>
      <c r="B48" s="15" t="s">
        <v>126</v>
      </c>
      <c r="C48" s="15" t="s">
        <v>28</v>
      </c>
      <c r="D48" s="16" t="s">
        <v>127</v>
      </c>
      <c r="E48" s="46">
        <v>6000</v>
      </c>
      <c r="F48" s="46">
        <v>9000</v>
      </c>
      <c r="G48" s="46">
        <v>6000</v>
      </c>
      <c r="H48" s="14">
        <v>10800</v>
      </c>
      <c r="I48" s="14">
        <v>1800</v>
      </c>
      <c r="J48" s="46">
        <v>3000</v>
      </c>
      <c r="K48" s="46">
        <v>8000</v>
      </c>
      <c r="L48" s="14">
        <f>50*10</f>
        <v>500</v>
      </c>
      <c r="M48" s="14"/>
      <c r="N48" s="14">
        <v>4500</v>
      </c>
      <c r="O48" s="46">
        <v>10000</v>
      </c>
      <c r="P48" s="14">
        <v>6700</v>
      </c>
      <c r="Q48" s="46">
        <f>300*12</f>
        <v>3600</v>
      </c>
      <c r="R48" s="14">
        <v>3000</v>
      </c>
      <c r="S48" s="14">
        <v>4800</v>
      </c>
      <c r="T48" s="14">
        <v>2400</v>
      </c>
      <c r="U48" s="14">
        <v>600</v>
      </c>
      <c r="V48" s="44">
        <f t="shared" si="1"/>
        <v>80700</v>
      </c>
    </row>
    <row r="49" spans="1:22" s="50" customFormat="1" ht="11.25">
      <c r="A49" s="11" t="s">
        <v>128</v>
      </c>
      <c r="B49" s="47" t="s">
        <v>129</v>
      </c>
      <c r="C49" s="47" t="s">
        <v>28</v>
      </c>
      <c r="D49" s="48" t="s">
        <v>130</v>
      </c>
      <c r="E49" s="60"/>
      <c r="F49" s="60"/>
      <c r="G49" s="61"/>
      <c r="H49" s="60"/>
      <c r="I49" s="60"/>
      <c r="J49" s="61"/>
      <c r="K49" s="61"/>
      <c r="L49" s="60"/>
      <c r="M49" s="60"/>
      <c r="N49" s="60"/>
      <c r="O49" s="61"/>
      <c r="P49" s="60"/>
      <c r="Q49" s="61">
        <v>0</v>
      </c>
      <c r="R49" s="60"/>
      <c r="S49" s="60"/>
      <c r="T49" s="60">
        <v>0</v>
      </c>
      <c r="U49" s="60"/>
      <c r="V49" s="44">
        <f t="shared" si="1"/>
        <v>0</v>
      </c>
    </row>
    <row r="50" spans="1:22" s="50" customFormat="1" ht="11.25">
      <c r="A50" s="11" t="s">
        <v>131</v>
      </c>
      <c r="B50" s="47" t="s">
        <v>132</v>
      </c>
      <c r="C50" s="47" t="s">
        <v>28</v>
      </c>
      <c r="D50" s="48" t="s">
        <v>130</v>
      </c>
      <c r="E50" s="60"/>
      <c r="F50" s="60"/>
      <c r="G50" s="61"/>
      <c r="H50" s="60"/>
      <c r="I50" s="60"/>
      <c r="J50" s="61"/>
      <c r="K50" s="61"/>
      <c r="L50" s="60"/>
      <c r="M50" s="60"/>
      <c r="N50" s="60"/>
      <c r="O50" s="61"/>
      <c r="P50" s="60"/>
      <c r="Q50" s="61">
        <v>0</v>
      </c>
      <c r="R50" s="60"/>
      <c r="S50" s="60"/>
      <c r="T50" s="60">
        <v>0</v>
      </c>
      <c r="U50" s="60"/>
      <c r="V50" s="44">
        <f t="shared" si="1"/>
        <v>0</v>
      </c>
    </row>
    <row r="51" spans="1:22" ht="22.5">
      <c r="A51" s="11" t="s">
        <v>133</v>
      </c>
      <c r="B51" s="15" t="s">
        <v>134</v>
      </c>
      <c r="C51" s="15" t="s">
        <v>28</v>
      </c>
      <c r="D51" s="56" t="s">
        <v>135</v>
      </c>
      <c r="E51" s="57"/>
      <c r="F51" s="57"/>
      <c r="G51" s="58"/>
      <c r="H51" s="57"/>
      <c r="I51" s="57"/>
      <c r="J51" s="58"/>
      <c r="K51" s="58"/>
      <c r="L51" s="57"/>
      <c r="M51" s="57"/>
      <c r="N51" s="57"/>
      <c r="O51" s="58"/>
      <c r="P51" s="57"/>
      <c r="Q51" s="58"/>
      <c r="R51" s="57"/>
      <c r="S51" s="57"/>
      <c r="T51" s="57"/>
      <c r="U51" s="57"/>
      <c r="V51" s="44">
        <f t="shared" si="1"/>
        <v>0</v>
      </c>
    </row>
    <row r="52" spans="1:22" ht="11.25">
      <c r="A52" s="11" t="s">
        <v>136</v>
      </c>
      <c r="B52" s="15" t="s">
        <v>137</v>
      </c>
      <c r="C52" s="15"/>
      <c r="D52" s="16" t="s">
        <v>22</v>
      </c>
      <c r="E52" s="12">
        <f>E53+E71+E73+E75+E77+E79+E81+E83+E85+E93</f>
        <v>3942575.4</v>
      </c>
      <c r="F52" s="12">
        <f t="shared" ref="F52:U52" si="23">F53+F71+F73+F75+F77+F79+F81+F83+F85+F93</f>
        <v>3785730.6</v>
      </c>
      <c r="G52" s="12">
        <f t="shared" si="23"/>
        <v>2639022.9</v>
      </c>
      <c r="H52" s="12">
        <f t="shared" si="23"/>
        <v>2718746.39</v>
      </c>
      <c r="I52" s="12">
        <f t="shared" si="23"/>
        <v>5916868.8499999996</v>
      </c>
      <c r="J52" s="12">
        <f t="shared" si="23"/>
        <v>4253555.3</v>
      </c>
      <c r="K52" s="12">
        <f t="shared" si="23"/>
        <v>4797288</v>
      </c>
      <c r="L52" s="12">
        <f t="shared" si="23"/>
        <v>2346344.15</v>
      </c>
      <c r="M52" s="12">
        <f t="shared" si="23"/>
        <v>2468193.5500000003</v>
      </c>
      <c r="N52" s="12">
        <f t="shared" si="23"/>
        <v>2561896.75</v>
      </c>
      <c r="O52" s="12">
        <f t="shared" si="23"/>
        <v>3189106.7</v>
      </c>
      <c r="P52" s="12">
        <f t="shared" si="23"/>
        <v>3601508.8</v>
      </c>
      <c r="Q52" s="12">
        <f t="shared" si="23"/>
        <v>2152876.7999999998</v>
      </c>
      <c r="R52" s="12">
        <f t="shared" si="23"/>
        <v>1113226.45</v>
      </c>
      <c r="S52" s="12">
        <f t="shared" si="23"/>
        <v>2171715.92</v>
      </c>
      <c r="T52" s="12">
        <f t="shared" si="23"/>
        <v>1089320</v>
      </c>
      <c r="U52" s="12">
        <f t="shared" si="23"/>
        <v>463880</v>
      </c>
      <c r="V52" s="44">
        <f t="shared" si="1"/>
        <v>49211856.560000002</v>
      </c>
    </row>
    <row r="53" spans="1:22" ht="11.25">
      <c r="A53" s="11" t="s">
        <v>138</v>
      </c>
      <c r="B53" s="15" t="s">
        <v>139</v>
      </c>
      <c r="C53" s="15"/>
      <c r="D53" s="16" t="s">
        <v>140</v>
      </c>
      <c r="E53" s="12">
        <f t="shared" ref="E53:J53" si="24">SUM(E54:E70)</f>
        <v>2484720</v>
      </c>
      <c r="F53" s="12">
        <f t="shared" si="24"/>
        <v>2433780</v>
      </c>
      <c r="G53" s="12">
        <f t="shared" si="24"/>
        <v>1794210</v>
      </c>
      <c r="H53" s="12">
        <f t="shared" si="24"/>
        <v>1679100</v>
      </c>
      <c r="I53" s="12">
        <f t="shared" si="24"/>
        <v>4166760</v>
      </c>
      <c r="J53" s="49">
        <f t="shared" si="24"/>
        <v>2758070</v>
      </c>
      <c r="K53" s="49">
        <f>K54+K55+K56+K57+K58+K59+K60+K61+K62+K63+K64+K65+K66+K67+K68+K69+K70</f>
        <v>3609930</v>
      </c>
      <c r="L53" s="12">
        <f>SUM(L54:L70)</f>
        <v>1637160</v>
      </c>
      <c r="M53" s="12">
        <v>1786160</v>
      </c>
      <c r="N53" s="12">
        <f>SUM(N54:N70)</f>
        <v>1800820</v>
      </c>
      <c r="O53" s="12">
        <f>SUM(O54:O70)</f>
        <v>2295580</v>
      </c>
      <c r="P53" s="12">
        <f>SUM(P54:P70)</f>
        <v>2722520</v>
      </c>
      <c r="Q53" s="12">
        <v>1636740</v>
      </c>
      <c r="R53" s="12">
        <f>SUM(R54:R70)</f>
        <v>798000</v>
      </c>
      <c r="S53" s="12">
        <f>SUM(S54:S70)</f>
        <v>1601820</v>
      </c>
      <c r="T53" s="12">
        <f>SUM(T54:T70)</f>
        <v>861840</v>
      </c>
      <c r="U53" s="12">
        <f>SUM(U54:U70)</f>
        <v>192000</v>
      </c>
      <c r="V53" s="44">
        <f t="shared" si="1"/>
        <v>34259210</v>
      </c>
    </row>
    <row r="54" spans="1:22" ht="11.25">
      <c r="A54" s="11" t="s">
        <v>141</v>
      </c>
      <c r="B54" s="15" t="s">
        <v>142</v>
      </c>
      <c r="C54" s="15" t="s">
        <v>28</v>
      </c>
      <c r="D54" s="62"/>
      <c r="E54" s="46">
        <v>300000</v>
      </c>
      <c r="F54" s="46">
        <v>600000</v>
      </c>
      <c r="G54" s="46">
        <v>650499.5</v>
      </c>
      <c r="H54" s="14">
        <v>360000</v>
      </c>
      <c r="I54" s="14">
        <f>426413+556971+5605</f>
        <v>988989</v>
      </c>
      <c r="J54" s="46">
        <v>353471</v>
      </c>
      <c r="K54" s="46">
        <v>1984433.5</v>
      </c>
      <c r="L54" s="14">
        <v>322618</v>
      </c>
      <c r="M54" s="46">
        <v>390000</v>
      </c>
      <c r="N54" s="46">
        <f>500000+5054</f>
        <v>505054</v>
      </c>
      <c r="O54" s="46">
        <v>528801</v>
      </c>
      <c r="P54" s="14">
        <f>794715.62-22160+507</f>
        <v>773062.62</v>
      </c>
      <c r="Q54" s="46">
        <v>285529</v>
      </c>
      <c r="R54" s="14">
        <v>149000</v>
      </c>
      <c r="S54" s="14">
        <v>495506</v>
      </c>
      <c r="T54" s="14">
        <v>160648</v>
      </c>
      <c r="U54" s="14">
        <v>46400</v>
      </c>
      <c r="V54" s="44">
        <f t="shared" si="1"/>
        <v>8894011.620000001</v>
      </c>
    </row>
    <row r="55" spans="1:22" ht="11.25">
      <c r="A55" s="11" t="s">
        <v>143</v>
      </c>
      <c r="B55" s="15" t="s">
        <v>144</v>
      </c>
      <c r="C55" s="15" t="s">
        <v>28</v>
      </c>
      <c r="D55" s="62"/>
      <c r="E55" s="46">
        <v>300000</v>
      </c>
      <c r="F55" s="46">
        <v>200000</v>
      </c>
      <c r="G55" s="46">
        <v>200000</v>
      </c>
      <c r="H55" s="14">
        <v>150000</v>
      </c>
      <c r="I55" s="14">
        <v>20000</v>
      </c>
      <c r="J55" s="46">
        <v>100000</v>
      </c>
      <c r="K55" s="46">
        <v>100000</v>
      </c>
      <c r="L55" s="14">
        <v>14000</v>
      </c>
      <c r="M55" s="46">
        <v>30000</v>
      </c>
      <c r="N55" s="46"/>
      <c r="O55" s="46"/>
      <c r="P55" s="14">
        <v>59701.5</v>
      </c>
      <c r="Q55" s="46">
        <v>10000</v>
      </c>
      <c r="R55" s="14">
        <v>1000</v>
      </c>
      <c r="S55" s="14">
        <v>5000</v>
      </c>
      <c r="T55" s="14">
        <v>10000</v>
      </c>
      <c r="U55" s="14"/>
      <c r="V55" s="44">
        <f t="shared" si="1"/>
        <v>1199701.5</v>
      </c>
    </row>
    <row r="56" spans="1:22" ht="11.25">
      <c r="A56" s="11" t="s">
        <v>145</v>
      </c>
      <c r="B56" s="15" t="s">
        <v>146</v>
      </c>
      <c r="C56" s="15" t="s">
        <v>28</v>
      </c>
      <c r="D56" s="62"/>
      <c r="E56" s="46">
        <v>15000</v>
      </c>
      <c r="F56" s="46">
        <v>20000</v>
      </c>
      <c r="G56" s="46">
        <v>25000</v>
      </c>
      <c r="H56" s="14">
        <v>12000</v>
      </c>
      <c r="I56" s="14">
        <v>30000</v>
      </c>
      <c r="J56" s="46">
        <v>17000</v>
      </c>
      <c r="K56" s="46">
        <v>90000</v>
      </c>
      <c r="L56" s="14">
        <v>12900</v>
      </c>
      <c r="M56" s="46">
        <v>40000</v>
      </c>
      <c r="N56" s="46">
        <v>5000</v>
      </c>
      <c r="O56" s="46">
        <v>20000</v>
      </c>
      <c r="P56" s="14">
        <v>330</v>
      </c>
      <c r="Q56" s="46">
        <v>15000</v>
      </c>
      <c r="R56" s="14">
        <v>12000</v>
      </c>
      <c r="S56" s="14">
        <v>12000</v>
      </c>
      <c r="T56" s="14">
        <v>15000</v>
      </c>
      <c r="U56" s="14"/>
      <c r="V56" s="44">
        <f t="shared" si="1"/>
        <v>341230</v>
      </c>
    </row>
    <row r="57" spans="1:22" ht="11.25">
      <c r="A57" s="11" t="s">
        <v>147</v>
      </c>
      <c r="B57" s="15" t="s">
        <v>148</v>
      </c>
      <c r="C57" s="15" t="s">
        <v>28</v>
      </c>
      <c r="D57" s="62"/>
      <c r="E57" s="46">
        <v>80000</v>
      </c>
      <c r="F57" s="46">
        <v>60000</v>
      </c>
      <c r="G57" s="46">
        <v>50000</v>
      </c>
      <c r="H57" s="14">
        <v>100000</v>
      </c>
      <c r="I57" s="14">
        <v>30000</v>
      </c>
      <c r="J57" s="46">
        <v>100000</v>
      </c>
      <c r="K57" s="46">
        <v>100000</v>
      </c>
      <c r="L57" s="14">
        <v>42000</v>
      </c>
      <c r="M57" s="46">
        <v>20000</v>
      </c>
      <c r="N57" s="46">
        <v>25000</v>
      </c>
      <c r="O57" s="46">
        <v>50000</v>
      </c>
      <c r="P57" s="14">
        <v>26231.21</v>
      </c>
      <c r="Q57" s="46">
        <v>25000</v>
      </c>
      <c r="R57" s="14">
        <v>20000</v>
      </c>
      <c r="S57" s="14">
        <v>23000</v>
      </c>
      <c r="T57" s="14">
        <v>20000</v>
      </c>
      <c r="U57" s="14">
        <v>11000</v>
      </c>
      <c r="V57" s="44">
        <f t="shared" si="1"/>
        <v>782231.21</v>
      </c>
    </row>
    <row r="58" spans="1:22" ht="11.25">
      <c r="A58" s="11" t="s">
        <v>149</v>
      </c>
      <c r="B58" s="15" t="s">
        <v>150</v>
      </c>
      <c r="C58" s="15" t="s">
        <v>28</v>
      </c>
      <c r="D58" s="62"/>
      <c r="E58" s="46">
        <v>180000</v>
      </c>
      <c r="F58" s="46">
        <v>150000</v>
      </c>
      <c r="G58" s="46">
        <v>134000</v>
      </c>
      <c r="H58" s="14">
        <v>450000</v>
      </c>
      <c r="I58" s="14">
        <v>160000</v>
      </c>
      <c r="J58" s="46">
        <v>180000</v>
      </c>
      <c r="K58" s="46">
        <v>200000</v>
      </c>
      <c r="L58" s="14">
        <v>132000</v>
      </c>
      <c r="M58" s="46">
        <v>140000</v>
      </c>
      <c r="N58" s="46">
        <v>200000</v>
      </c>
      <c r="O58" s="46">
        <v>200000</v>
      </c>
      <c r="P58" s="14">
        <v>144401.51999999999</v>
      </c>
      <c r="Q58" s="46">
        <v>100000</v>
      </c>
      <c r="R58" s="14">
        <v>90000</v>
      </c>
      <c r="S58" s="14">
        <v>200000</v>
      </c>
      <c r="T58" s="14">
        <v>30000</v>
      </c>
      <c r="U58" s="14">
        <v>30000</v>
      </c>
      <c r="V58" s="44">
        <f t="shared" si="1"/>
        <v>2720401.52</v>
      </c>
    </row>
    <row r="59" spans="1:22" ht="11.25">
      <c r="A59" s="11" t="s">
        <v>151</v>
      </c>
      <c r="B59" s="15" t="s">
        <v>152</v>
      </c>
      <c r="C59" s="15" t="s">
        <v>28</v>
      </c>
      <c r="D59" s="62"/>
      <c r="E59" s="46">
        <v>180000</v>
      </c>
      <c r="F59" s="46">
        <v>10000</v>
      </c>
      <c r="G59" s="46">
        <v>4500</v>
      </c>
      <c r="H59" s="14">
        <v>20000</v>
      </c>
      <c r="I59" s="14">
        <v>13000</v>
      </c>
      <c r="J59" s="46">
        <v>4000</v>
      </c>
      <c r="K59" s="46">
        <v>10000</v>
      </c>
      <c r="L59" s="14">
        <v>59000</v>
      </c>
      <c r="M59" s="46">
        <v>5000</v>
      </c>
      <c r="N59" s="46">
        <v>20000</v>
      </c>
      <c r="O59" s="46">
        <v>10000</v>
      </c>
      <c r="P59" s="14">
        <v>3923.4</v>
      </c>
      <c r="Q59" s="46">
        <v>10000</v>
      </c>
      <c r="R59" s="14">
        <v>2300</v>
      </c>
      <c r="S59" s="14">
        <v>4500</v>
      </c>
      <c r="T59" s="14">
        <v>10000</v>
      </c>
      <c r="U59" s="14">
        <v>20000</v>
      </c>
      <c r="V59" s="44">
        <f t="shared" si="1"/>
        <v>386223.4</v>
      </c>
    </row>
    <row r="60" spans="1:22" ht="11.25">
      <c r="A60" s="11" t="s">
        <v>153</v>
      </c>
      <c r="B60" s="15" t="s">
        <v>154</v>
      </c>
      <c r="C60" s="15" t="s">
        <v>28</v>
      </c>
      <c r="D60" s="62"/>
      <c r="E60" s="46">
        <v>50000</v>
      </c>
      <c r="F60" s="46">
        <v>60000</v>
      </c>
      <c r="G60" s="46">
        <v>5000</v>
      </c>
      <c r="H60" s="14">
        <v>20000</v>
      </c>
      <c r="I60" s="14">
        <v>4000</v>
      </c>
      <c r="J60" s="46">
        <v>10000</v>
      </c>
      <c r="K60" s="46">
        <v>10000</v>
      </c>
      <c r="L60" s="14">
        <v>20000</v>
      </c>
      <c r="M60" s="46">
        <v>10000</v>
      </c>
      <c r="N60" s="46">
        <v>2000</v>
      </c>
      <c r="O60" s="46">
        <v>10000</v>
      </c>
      <c r="P60" s="14">
        <v>2557.5</v>
      </c>
      <c r="Q60" s="46">
        <v>5000</v>
      </c>
      <c r="R60" s="14">
        <v>4000</v>
      </c>
      <c r="S60" s="14">
        <v>4000</v>
      </c>
      <c r="T60" s="14">
        <v>5000</v>
      </c>
      <c r="U60" s="14"/>
      <c r="V60" s="44">
        <f t="shared" si="1"/>
        <v>221557.5</v>
      </c>
    </row>
    <row r="61" spans="1:22" ht="11.25">
      <c r="A61" s="11" t="s">
        <v>155</v>
      </c>
      <c r="B61" s="15" t="s">
        <v>156</v>
      </c>
      <c r="C61" s="15" t="s">
        <v>28</v>
      </c>
      <c r="D61" s="62"/>
      <c r="E61" s="46">
        <v>200000</v>
      </c>
      <c r="F61" s="46">
        <v>300000</v>
      </c>
      <c r="G61" s="46">
        <v>200000</v>
      </c>
      <c r="H61" s="14">
        <v>100000</v>
      </c>
      <c r="I61" s="14">
        <f>1000000+181309.5</f>
        <v>1181309.5</v>
      </c>
      <c r="J61" s="46">
        <v>350000</v>
      </c>
      <c r="K61" s="46">
        <v>50000</v>
      </c>
      <c r="L61" s="14">
        <v>150000</v>
      </c>
      <c r="M61" s="46">
        <v>145000</v>
      </c>
      <c r="N61" s="46">
        <v>300000</v>
      </c>
      <c r="O61" s="46">
        <v>400000</v>
      </c>
      <c r="P61" s="14">
        <v>69795</v>
      </c>
      <c r="Q61" s="46">
        <v>300000</v>
      </c>
      <c r="R61" s="14">
        <v>180000</v>
      </c>
      <c r="S61" s="14">
        <v>319567</v>
      </c>
      <c r="T61" s="14">
        <v>50000</v>
      </c>
      <c r="U61" s="14">
        <v>40000</v>
      </c>
      <c r="V61" s="44">
        <f t="shared" si="1"/>
        <v>4335671.5</v>
      </c>
    </row>
    <row r="62" spans="1:22" ht="11.25">
      <c r="A62" s="11" t="s">
        <v>157</v>
      </c>
      <c r="B62" s="15" t="s">
        <v>158</v>
      </c>
      <c r="C62" s="15" t="s">
        <v>28</v>
      </c>
      <c r="D62" s="62"/>
      <c r="E62" s="46"/>
      <c r="F62" s="46"/>
      <c r="G62" s="46"/>
      <c r="H62" s="14"/>
      <c r="I62" s="14"/>
      <c r="J62" s="46"/>
      <c r="K62" s="46">
        <v>5000</v>
      </c>
      <c r="L62" s="14"/>
      <c r="M62" s="46"/>
      <c r="N62" s="46"/>
      <c r="O62" s="46"/>
      <c r="P62" s="14">
        <v>0</v>
      </c>
      <c r="Q62" s="46"/>
      <c r="R62" s="14"/>
      <c r="S62" s="14"/>
      <c r="T62" s="14"/>
      <c r="U62" s="14"/>
      <c r="V62" s="44">
        <f t="shared" si="1"/>
        <v>5000</v>
      </c>
    </row>
    <row r="63" spans="1:22" ht="11.25">
      <c r="A63" s="11" t="s">
        <v>159</v>
      </c>
      <c r="B63" s="15" t="s">
        <v>160</v>
      </c>
      <c r="C63" s="15" t="s">
        <v>161</v>
      </c>
      <c r="D63" s="62" t="s">
        <v>162</v>
      </c>
      <c r="E63" s="46">
        <v>124236</v>
      </c>
      <c r="F63" s="46">
        <f>121124+565</f>
        <v>121689</v>
      </c>
      <c r="G63" s="46">
        <v>89710.5</v>
      </c>
      <c r="H63" s="14">
        <v>31034</v>
      </c>
      <c r="I63" s="14">
        <v>176461.5</v>
      </c>
      <c r="J63" s="46">
        <v>137903.5</v>
      </c>
      <c r="K63" s="46">
        <v>180496.5</v>
      </c>
      <c r="L63" s="14">
        <v>64642</v>
      </c>
      <c r="M63" s="46">
        <v>89308</v>
      </c>
      <c r="N63" s="46">
        <v>90041</v>
      </c>
      <c r="O63" s="46">
        <v>114779</v>
      </c>
      <c r="P63" s="14">
        <v>114314</v>
      </c>
      <c r="Q63" s="46">
        <v>67473</v>
      </c>
      <c r="R63" s="14">
        <v>36309</v>
      </c>
      <c r="S63" s="14">
        <v>52427</v>
      </c>
      <c r="T63" s="14">
        <v>43092</v>
      </c>
      <c r="U63" s="14">
        <v>9600</v>
      </c>
      <c r="V63" s="44">
        <f t="shared" si="1"/>
        <v>1543516</v>
      </c>
    </row>
    <row r="64" spans="1:22" ht="11.25">
      <c r="A64" s="11" t="s">
        <v>163</v>
      </c>
      <c r="B64" s="15" t="s">
        <v>164</v>
      </c>
      <c r="C64" s="15" t="s">
        <v>28</v>
      </c>
      <c r="D64" s="62"/>
      <c r="E64" s="46"/>
      <c r="F64" s="46"/>
      <c r="G64" s="46"/>
      <c r="H64" s="14">
        <v>10000</v>
      </c>
      <c r="I64" s="14"/>
      <c r="J64" s="46">
        <v>20000</v>
      </c>
      <c r="K64" s="46">
        <v>20000</v>
      </c>
      <c r="L64" s="14">
        <v>5000</v>
      </c>
      <c r="M64" s="46">
        <v>1000</v>
      </c>
      <c r="N64" s="46">
        <v>12000</v>
      </c>
      <c r="O64" s="46">
        <v>12000</v>
      </c>
      <c r="P64" s="14">
        <v>20000</v>
      </c>
      <c r="Q64" s="46">
        <v>6000</v>
      </c>
      <c r="R64" s="14"/>
      <c r="S64" s="14"/>
      <c r="T64" s="14">
        <v>1000</v>
      </c>
      <c r="U64" s="14"/>
      <c r="V64" s="44">
        <f t="shared" si="1"/>
        <v>107000</v>
      </c>
    </row>
    <row r="65" spans="1:22" ht="11.25">
      <c r="A65" s="11" t="s">
        <v>165</v>
      </c>
      <c r="B65" s="15" t="s">
        <v>166</v>
      </c>
      <c r="C65" s="15" t="s">
        <v>28</v>
      </c>
      <c r="D65" s="62"/>
      <c r="E65" s="46">
        <v>100000</v>
      </c>
      <c r="F65" s="46"/>
      <c r="G65" s="46">
        <v>150000</v>
      </c>
      <c r="H65" s="14">
        <v>60000</v>
      </c>
      <c r="I65" s="14">
        <v>500000</v>
      </c>
      <c r="J65" s="46">
        <v>350000</v>
      </c>
      <c r="K65" s="46">
        <v>20000</v>
      </c>
      <c r="L65" s="14">
        <v>200000</v>
      </c>
      <c r="M65" s="46">
        <v>100000</v>
      </c>
      <c r="N65" s="46">
        <v>141725</v>
      </c>
      <c r="O65" s="46">
        <v>200000</v>
      </c>
      <c r="P65" s="14">
        <v>667091.89999999991</v>
      </c>
      <c r="Q65" s="46">
        <v>30000</v>
      </c>
      <c r="R65" s="14">
        <v>32000</v>
      </c>
      <c r="S65" s="14">
        <v>150000</v>
      </c>
      <c r="T65" s="14">
        <v>127100</v>
      </c>
      <c r="U65" s="14"/>
      <c r="V65" s="44">
        <f t="shared" si="1"/>
        <v>2827916.9</v>
      </c>
    </row>
    <row r="66" spans="1:22" ht="11.25">
      <c r="A66" s="11" t="s">
        <v>167</v>
      </c>
      <c r="B66" s="15" t="s">
        <v>168</v>
      </c>
      <c r="C66" s="15" t="s">
        <v>28</v>
      </c>
      <c r="D66" s="62"/>
      <c r="E66" s="46">
        <v>50000</v>
      </c>
      <c r="F66" s="46">
        <v>20000</v>
      </c>
      <c r="G66" s="46">
        <v>5000</v>
      </c>
      <c r="H66" s="14">
        <v>100000</v>
      </c>
      <c r="I66" s="14">
        <v>3000</v>
      </c>
      <c r="J66" s="46">
        <v>40000</v>
      </c>
      <c r="K66" s="46">
        <v>150000</v>
      </c>
      <c r="L66" s="14">
        <v>50000</v>
      </c>
      <c r="M66" s="46">
        <v>50000</v>
      </c>
      <c r="N66" s="46"/>
      <c r="O66" s="46">
        <v>50000</v>
      </c>
      <c r="P66" s="14">
        <v>9130</v>
      </c>
      <c r="Q66" s="46">
        <v>5000</v>
      </c>
      <c r="R66" s="14">
        <v>1000</v>
      </c>
      <c r="S66" s="14">
        <v>5000</v>
      </c>
      <c r="T66" s="14">
        <v>10000</v>
      </c>
      <c r="U66" s="14">
        <v>20000</v>
      </c>
      <c r="V66" s="44">
        <f t="shared" si="1"/>
        <v>568130</v>
      </c>
    </row>
    <row r="67" spans="1:22" ht="11.25">
      <c r="A67" s="11" t="s">
        <v>169</v>
      </c>
      <c r="B67" s="15" t="s">
        <v>170</v>
      </c>
      <c r="C67" s="15" t="s">
        <v>28</v>
      </c>
      <c r="D67" s="62"/>
      <c r="E67" s="46"/>
      <c r="F67" s="46">
        <v>1000</v>
      </c>
      <c r="G67" s="46">
        <v>500</v>
      </c>
      <c r="H67" s="14"/>
      <c r="I67" s="14"/>
      <c r="J67" s="46"/>
      <c r="K67" s="46"/>
      <c r="L67" s="14"/>
      <c r="M67" s="46"/>
      <c r="N67" s="46"/>
      <c r="O67" s="46"/>
      <c r="P67" s="14">
        <v>0</v>
      </c>
      <c r="Q67" s="46">
        <v>10000</v>
      </c>
      <c r="R67" s="14"/>
      <c r="S67" s="14">
        <v>5000</v>
      </c>
      <c r="T67" s="14"/>
      <c r="U67" s="14"/>
      <c r="V67" s="44">
        <f t="shared" ref="V67:V109" si="25">SUM(E67:U67)</f>
        <v>16500</v>
      </c>
    </row>
    <row r="68" spans="1:22" ht="11.25">
      <c r="A68" s="11" t="s">
        <v>171</v>
      </c>
      <c r="B68" s="15" t="s">
        <v>172</v>
      </c>
      <c r="C68" s="15" t="s">
        <v>28</v>
      </c>
      <c r="D68" s="62"/>
      <c r="E68" s="46">
        <f>472064+2120+11300</f>
        <v>485484</v>
      </c>
      <c r="F68" s="46">
        <f>780356-565+11300</f>
        <v>791091</v>
      </c>
      <c r="G68" s="46">
        <v>200000</v>
      </c>
      <c r="H68" s="14">
        <v>106066</v>
      </c>
      <c r="I68" s="14">
        <v>500000</v>
      </c>
      <c r="J68" s="46">
        <v>595695.5</v>
      </c>
      <c r="K68" s="46">
        <v>650000</v>
      </c>
      <c r="L68" s="14">
        <v>400000</v>
      </c>
      <c r="M68" s="46">
        <v>515852</v>
      </c>
      <c r="N68" s="46">
        <v>200000</v>
      </c>
      <c r="O68" s="46">
        <v>300000</v>
      </c>
      <c r="P68" s="14">
        <v>398341.35</v>
      </c>
      <c r="Q68" s="46">
        <v>537738</v>
      </c>
      <c r="R68" s="14">
        <v>230391</v>
      </c>
      <c r="S68" s="14">
        <f>200000+5820</f>
        <v>205820</v>
      </c>
      <c r="T68" s="14">
        <v>100000</v>
      </c>
      <c r="U68" s="14">
        <v>15000</v>
      </c>
      <c r="V68" s="44">
        <f t="shared" si="25"/>
        <v>6231478.8499999996</v>
      </c>
    </row>
    <row r="69" spans="1:22" ht="11.25">
      <c r="A69" s="11" t="s">
        <v>173</v>
      </c>
      <c r="B69" s="15" t="s">
        <v>174</v>
      </c>
      <c r="C69" s="15" t="s">
        <v>28</v>
      </c>
      <c r="D69" s="62"/>
      <c r="E69" s="46">
        <v>260000</v>
      </c>
      <c r="F69" s="46">
        <v>50000</v>
      </c>
      <c r="G69" s="46">
        <v>50000</v>
      </c>
      <c r="H69" s="14">
        <v>100000</v>
      </c>
      <c r="I69" s="14">
        <v>500000</v>
      </c>
      <c r="J69" s="46">
        <v>300000</v>
      </c>
      <c r="K69" s="46">
        <v>20000</v>
      </c>
      <c r="L69" s="14">
        <v>115000</v>
      </c>
      <c r="M69" s="46">
        <v>200000</v>
      </c>
      <c r="N69" s="46">
        <v>200000</v>
      </c>
      <c r="O69" s="46">
        <v>200000</v>
      </c>
      <c r="P69" s="14">
        <v>240855</v>
      </c>
      <c r="Q69" s="46">
        <v>150000</v>
      </c>
      <c r="R69" s="14">
        <v>25000</v>
      </c>
      <c r="S69" s="14">
        <v>60000</v>
      </c>
      <c r="T69" s="14">
        <v>180000</v>
      </c>
      <c r="U69" s="14"/>
      <c r="V69" s="44">
        <f t="shared" si="25"/>
        <v>2650855</v>
      </c>
    </row>
    <row r="70" spans="1:22" ht="11.25">
      <c r="A70" s="11" t="s">
        <v>175</v>
      </c>
      <c r="B70" s="15" t="s">
        <v>176</v>
      </c>
      <c r="C70" s="15" t="s">
        <v>28</v>
      </c>
      <c r="D70" s="62"/>
      <c r="E70" s="46">
        <v>160000</v>
      </c>
      <c r="F70" s="46">
        <v>50000</v>
      </c>
      <c r="G70" s="46">
        <v>30000</v>
      </c>
      <c r="H70" s="14">
        <v>60000</v>
      </c>
      <c r="I70" s="14">
        <v>60000</v>
      </c>
      <c r="J70" s="46">
        <v>200000</v>
      </c>
      <c r="K70" s="46">
        <v>20000</v>
      </c>
      <c r="L70" s="14">
        <v>50000</v>
      </c>
      <c r="M70" s="46">
        <v>50000</v>
      </c>
      <c r="N70" s="46">
        <v>100000</v>
      </c>
      <c r="O70" s="46">
        <v>200000</v>
      </c>
      <c r="P70" s="14">
        <v>192785</v>
      </c>
      <c r="Q70" s="46">
        <v>80000</v>
      </c>
      <c r="R70" s="14">
        <v>15000</v>
      </c>
      <c r="S70" s="14">
        <v>60000</v>
      </c>
      <c r="T70" s="14">
        <v>100000</v>
      </c>
      <c r="U70" s="14"/>
      <c r="V70" s="44">
        <f t="shared" si="25"/>
        <v>1427785</v>
      </c>
    </row>
    <row r="71" spans="1:22" ht="11.25">
      <c r="A71" s="11" t="s">
        <v>177</v>
      </c>
      <c r="B71" s="15" t="s">
        <v>178</v>
      </c>
      <c r="C71" s="15"/>
      <c r="D71" s="16"/>
      <c r="E71" s="12">
        <f>E72</f>
        <v>34800</v>
      </c>
      <c r="F71" s="12">
        <f t="shared" ref="F71:U71" si="26">F72</f>
        <v>33600</v>
      </c>
      <c r="G71" s="12">
        <f t="shared" si="26"/>
        <v>24400</v>
      </c>
      <c r="H71" s="12">
        <f t="shared" si="26"/>
        <v>7200</v>
      </c>
      <c r="I71" s="12">
        <f t="shared" si="26"/>
        <v>33200</v>
      </c>
      <c r="J71" s="12">
        <f t="shared" si="26"/>
        <v>31200</v>
      </c>
      <c r="K71" s="12">
        <f t="shared" si="26"/>
        <v>34400</v>
      </c>
      <c r="L71" s="12">
        <f t="shared" si="26"/>
        <v>16000</v>
      </c>
      <c r="M71" s="12">
        <f t="shared" si="26"/>
        <v>19200</v>
      </c>
      <c r="N71" s="12">
        <f t="shared" si="26"/>
        <v>23200</v>
      </c>
      <c r="O71" s="12">
        <f t="shared" si="26"/>
        <v>25600</v>
      </c>
      <c r="P71" s="12">
        <f t="shared" si="26"/>
        <v>25600</v>
      </c>
      <c r="Q71" s="12">
        <f t="shared" si="26"/>
        <v>12000</v>
      </c>
      <c r="R71" s="12">
        <f t="shared" si="26"/>
        <v>8800</v>
      </c>
      <c r="S71" s="12">
        <f t="shared" si="26"/>
        <v>16400</v>
      </c>
      <c r="T71" s="12">
        <f t="shared" si="26"/>
        <v>4400</v>
      </c>
      <c r="U71" s="12">
        <f t="shared" si="26"/>
        <v>2400</v>
      </c>
      <c r="V71" s="44">
        <f t="shared" si="25"/>
        <v>352400</v>
      </c>
    </row>
    <row r="72" spans="1:22" s="50" customFormat="1" ht="11.25">
      <c r="A72" s="11" t="s">
        <v>179</v>
      </c>
      <c r="B72" s="47" t="s">
        <v>180</v>
      </c>
      <c r="C72" s="47" t="s">
        <v>28</v>
      </c>
      <c r="D72" s="63" t="s">
        <v>181</v>
      </c>
      <c r="E72" s="12">
        <f>E96*400</f>
        <v>34800</v>
      </c>
      <c r="F72" s="12">
        <f>F96*400</f>
        <v>33600</v>
      </c>
      <c r="G72" s="49">
        <v>24400</v>
      </c>
      <c r="H72" s="12">
        <f>H96*400</f>
        <v>7200</v>
      </c>
      <c r="I72" s="12">
        <f>I96*400</f>
        <v>33200</v>
      </c>
      <c r="J72" s="49">
        <v>31200</v>
      </c>
      <c r="K72" s="49">
        <v>34400</v>
      </c>
      <c r="L72" s="12">
        <f>L96*400</f>
        <v>16000</v>
      </c>
      <c r="M72" s="12">
        <f>M96*400</f>
        <v>19200</v>
      </c>
      <c r="N72" s="12">
        <f>N96*400</f>
        <v>23200</v>
      </c>
      <c r="O72" s="49">
        <v>25600</v>
      </c>
      <c r="P72" s="12">
        <f>P96*400</f>
        <v>25600</v>
      </c>
      <c r="Q72" s="49">
        <f>30*400</f>
        <v>12000</v>
      </c>
      <c r="R72" s="12">
        <f>R96*400</f>
        <v>8800</v>
      </c>
      <c r="S72" s="12">
        <f>S96*400</f>
        <v>16400</v>
      </c>
      <c r="T72" s="12">
        <f>T96*400</f>
        <v>4400</v>
      </c>
      <c r="U72" s="12">
        <f>U96*400</f>
        <v>2400</v>
      </c>
      <c r="V72" s="44">
        <f t="shared" si="25"/>
        <v>352400</v>
      </c>
    </row>
    <row r="73" spans="1:22" ht="11.25">
      <c r="A73" s="11" t="s">
        <v>182</v>
      </c>
      <c r="B73" s="15" t="s">
        <v>183</v>
      </c>
      <c r="C73" s="15"/>
      <c r="D73" s="16" t="s">
        <v>22</v>
      </c>
      <c r="E73" s="12">
        <f>E74</f>
        <v>255945</v>
      </c>
      <c r="F73" s="12">
        <f t="shared" ref="F73:U73" si="27">F74</f>
        <v>178845</v>
      </c>
      <c r="G73" s="12">
        <f t="shared" si="27"/>
        <v>191830.5</v>
      </c>
      <c r="H73" s="12">
        <f t="shared" si="27"/>
        <v>715855.35000000009</v>
      </c>
      <c r="I73" s="12">
        <f t="shared" si="27"/>
        <v>353195.25</v>
      </c>
      <c r="J73" s="12">
        <f t="shared" si="27"/>
        <v>235806.9</v>
      </c>
      <c r="K73" s="12">
        <f t="shared" si="27"/>
        <v>328071.59999999998</v>
      </c>
      <c r="L73" s="12">
        <f t="shared" si="27"/>
        <v>249734.55000000002</v>
      </c>
      <c r="M73" s="12">
        <f t="shared" si="27"/>
        <v>178714.35</v>
      </c>
      <c r="N73" s="12">
        <f t="shared" si="27"/>
        <v>114821.55</v>
      </c>
      <c r="O73" s="12">
        <f t="shared" si="27"/>
        <v>181706.7</v>
      </c>
      <c r="P73" s="12">
        <f t="shared" si="27"/>
        <v>249256.8</v>
      </c>
      <c r="Q73" s="12">
        <f t="shared" si="27"/>
        <v>202800</v>
      </c>
      <c r="R73" s="12">
        <f t="shared" si="27"/>
        <v>86216.85</v>
      </c>
      <c r="S73" s="12">
        <f t="shared" si="27"/>
        <v>169290</v>
      </c>
      <c r="T73" s="12">
        <f t="shared" si="27"/>
        <v>91200</v>
      </c>
      <c r="U73" s="12">
        <f t="shared" si="27"/>
        <v>84720</v>
      </c>
      <c r="V73" s="44">
        <f t="shared" si="25"/>
        <v>3868010.4</v>
      </c>
    </row>
    <row r="74" spans="1:22" s="50" customFormat="1" ht="11.25">
      <c r="A74" s="11" t="s">
        <v>184</v>
      </c>
      <c r="B74" s="47" t="s">
        <v>185</v>
      </c>
      <c r="C74" s="47" t="s">
        <v>28</v>
      </c>
      <c r="D74" s="63" t="s">
        <v>186</v>
      </c>
      <c r="E74" s="12">
        <f>E108*15</f>
        <v>255945</v>
      </c>
      <c r="F74" s="12">
        <f>F108*15</f>
        <v>178845</v>
      </c>
      <c r="G74" s="49">
        <v>191830.5</v>
      </c>
      <c r="H74" s="12">
        <f>H108*15</f>
        <v>715855.35000000009</v>
      </c>
      <c r="I74" s="12">
        <f>I108*15</f>
        <v>353195.25</v>
      </c>
      <c r="J74" s="49">
        <v>235806.9</v>
      </c>
      <c r="K74" s="49">
        <v>328071.59999999998</v>
      </c>
      <c r="L74" s="12">
        <f>L108*15</f>
        <v>249734.55000000002</v>
      </c>
      <c r="M74" s="12">
        <f>M108*15</f>
        <v>178714.35</v>
      </c>
      <c r="N74" s="12">
        <f>N108*15</f>
        <v>114821.55</v>
      </c>
      <c r="O74" s="49">
        <f>15*O108</f>
        <v>181706.7</v>
      </c>
      <c r="P74" s="12">
        <f>P108*15</f>
        <v>249256.8</v>
      </c>
      <c r="Q74" s="49">
        <f>13520*15</f>
        <v>202800</v>
      </c>
      <c r="R74" s="12">
        <f>R108*15</f>
        <v>86216.85</v>
      </c>
      <c r="S74" s="12">
        <f>S108*15</f>
        <v>169290</v>
      </c>
      <c r="T74" s="12">
        <f>T108*15</f>
        <v>91200</v>
      </c>
      <c r="U74" s="12">
        <f>U108*15</f>
        <v>84720</v>
      </c>
      <c r="V74" s="44">
        <f t="shared" si="25"/>
        <v>3868010.4</v>
      </c>
    </row>
    <row r="75" spans="1:22" ht="11.25">
      <c r="A75" s="11" t="s">
        <v>187</v>
      </c>
      <c r="B75" s="15" t="s">
        <v>188</v>
      </c>
      <c r="C75" s="15"/>
      <c r="D75" s="16" t="s">
        <v>22</v>
      </c>
      <c r="E75" s="12">
        <f>E76</f>
        <v>126632</v>
      </c>
      <c r="F75" s="12">
        <f t="shared" ref="F75:U75" si="28">F76</f>
        <v>82880</v>
      </c>
      <c r="G75" s="12">
        <f t="shared" si="28"/>
        <v>81432</v>
      </c>
      <c r="H75" s="12">
        <f t="shared" si="28"/>
        <v>130104</v>
      </c>
      <c r="I75" s="12">
        <f t="shared" si="28"/>
        <v>157696</v>
      </c>
      <c r="J75" s="12">
        <f t="shared" si="28"/>
        <v>89280</v>
      </c>
      <c r="K75" s="12">
        <f t="shared" si="28"/>
        <v>125600</v>
      </c>
      <c r="L75" s="12">
        <f t="shared" si="28"/>
        <v>89000</v>
      </c>
      <c r="M75" s="12">
        <f t="shared" si="28"/>
        <v>67576.800000000003</v>
      </c>
      <c r="N75" s="12">
        <f t="shared" si="28"/>
        <v>41072</v>
      </c>
      <c r="O75" s="12">
        <f t="shared" si="28"/>
        <v>34640</v>
      </c>
      <c r="P75" s="12">
        <f t="shared" si="28"/>
        <v>53384</v>
      </c>
      <c r="Q75" s="12">
        <f t="shared" si="28"/>
        <v>40360</v>
      </c>
      <c r="R75" s="12">
        <f t="shared" si="28"/>
        <v>20152</v>
      </c>
      <c r="S75" s="12">
        <f t="shared" si="28"/>
        <v>37018.720000000001</v>
      </c>
      <c r="T75" s="12">
        <f t="shared" si="28"/>
        <v>20000</v>
      </c>
      <c r="U75" s="12">
        <f t="shared" si="28"/>
        <v>18560</v>
      </c>
      <c r="V75" s="44">
        <f t="shared" si="25"/>
        <v>1215387.52</v>
      </c>
    </row>
    <row r="76" spans="1:22" s="50" customFormat="1" ht="11.25">
      <c r="A76" s="11" t="s">
        <v>189</v>
      </c>
      <c r="B76" s="47" t="s">
        <v>190</v>
      </c>
      <c r="C76" s="47" t="s">
        <v>28</v>
      </c>
      <c r="D76" s="63" t="s">
        <v>191</v>
      </c>
      <c r="E76" s="12">
        <f>E109*8</f>
        <v>126632</v>
      </c>
      <c r="F76" s="12">
        <f>F109*8</f>
        <v>82880</v>
      </c>
      <c r="G76" s="49">
        <v>81432</v>
      </c>
      <c r="H76" s="12">
        <f>H109*8</f>
        <v>130104</v>
      </c>
      <c r="I76" s="12">
        <f>I109*8</f>
        <v>157696</v>
      </c>
      <c r="J76" s="49">
        <v>89280</v>
      </c>
      <c r="K76" s="49">
        <v>125600</v>
      </c>
      <c r="L76" s="12">
        <f>L109*8</f>
        <v>89000</v>
      </c>
      <c r="M76" s="12">
        <f>M109*8</f>
        <v>67576.800000000003</v>
      </c>
      <c r="N76" s="12">
        <f>N109*8</f>
        <v>41072</v>
      </c>
      <c r="O76" s="49">
        <f>8*O109</f>
        <v>34640</v>
      </c>
      <c r="P76" s="12">
        <f>P109*8</f>
        <v>53384</v>
      </c>
      <c r="Q76" s="49">
        <f>5045*8</f>
        <v>40360</v>
      </c>
      <c r="R76" s="12">
        <f>R109*8</f>
        <v>20152</v>
      </c>
      <c r="S76" s="12">
        <f>S109*8</f>
        <v>37018.720000000001</v>
      </c>
      <c r="T76" s="12">
        <f>T109*8</f>
        <v>20000</v>
      </c>
      <c r="U76" s="12">
        <f>U109*8</f>
        <v>18560</v>
      </c>
      <c r="V76" s="44">
        <f t="shared" si="25"/>
        <v>1215387.52</v>
      </c>
    </row>
    <row r="77" spans="1:22" ht="11.25">
      <c r="A77" s="11" t="s">
        <v>192</v>
      </c>
      <c r="B77" s="15" t="s">
        <v>193</v>
      </c>
      <c r="C77" s="15"/>
      <c r="D77" s="16" t="s">
        <v>22</v>
      </c>
      <c r="E77" s="12">
        <f>E78</f>
        <v>0</v>
      </c>
      <c r="F77" s="12">
        <f>F78</f>
        <v>0</v>
      </c>
      <c r="G77" s="49">
        <v>0</v>
      </c>
      <c r="H77" s="12">
        <f>H78</f>
        <v>0</v>
      </c>
      <c r="I77" s="12">
        <f>I78</f>
        <v>0</v>
      </c>
      <c r="J77" s="49">
        <v>0</v>
      </c>
      <c r="K77" s="49">
        <v>0</v>
      </c>
      <c r="L77" s="12">
        <f>L78</f>
        <v>0</v>
      </c>
      <c r="M77" s="12">
        <f>M78</f>
        <v>0</v>
      </c>
      <c r="N77" s="12">
        <f>N78</f>
        <v>0</v>
      </c>
      <c r="O77" s="49">
        <v>0</v>
      </c>
      <c r="P77" s="12">
        <f t="shared" ref="P77:U77" si="29">P78</f>
        <v>0</v>
      </c>
      <c r="Q77" s="49">
        <f t="shared" si="29"/>
        <v>0</v>
      </c>
      <c r="R77" s="12">
        <f t="shared" si="29"/>
        <v>0</v>
      </c>
      <c r="S77" s="12">
        <f t="shared" si="29"/>
        <v>0</v>
      </c>
      <c r="T77" s="12">
        <f t="shared" si="29"/>
        <v>0</v>
      </c>
      <c r="U77" s="12">
        <f t="shared" si="29"/>
        <v>0</v>
      </c>
      <c r="V77" s="44">
        <f t="shared" si="25"/>
        <v>0</v>
      </c>
    </row>
    <row r="78" spans="1:22" s="50" customFormat="1" ht="11.25">
      <c r="A78" s="11" t="s">
        <v>194</v>
      </c>
      <c r="B78" s="47" t="s">
        <v>195</v>
      </c>
      <c r="C78" s="47" t="s">
        <v>28</v>
      </c>
      <c r="D78" s="63" t="s">
        <v>130</v>
      </c>
      <c r="E78" s="60"/>
      <c r="F78" s="60"/>
      <c r="G78" s="61"/>
      <c r="H78" s="60"/>
      <c r="I78" s="60"/>
      <c r="J78" s="61"/>
      <c r="K78" s="61"/>
      <c r="L78" s="60"/>
      <c r="M78" s="60"/>
      <c r="N78" s="60"/>
      <c r="O78" s="61"/>
      <c r="P78" s="60"/>
      <c r="Q78" s="61">
        <v>0</v>
      </c>
      <c r="R78" s="60"/>
      <c r="S78" s="60"/>
      <c r="T78" s="60"/>
      <c r="U78" s="60"/>
      <c r="V78" s="44">
        <f t="shared" si="25"/>
        <v>0</v>
      </c>
    </row>
    <row r="79" spans="1:22" ht="11.25">
      <c r="A79" s="11" t="s">
        <v>196</v>
      </c>
      <c r="B79" s="15" t="s">
        <v>197</v>
      </c>
      <c r="C79" s="15"/>
      <c r="D79" s="16" t="s">
        <v>22</v>
      </c>
      <c r="E79" s="12">
        <f>E80</f>
        <v>375840</v>
      </c>
      <c r="F79" s="12">
        <f t="shared" ref="F79:U79" si="30">F80</f>
        <v>362880</v>
      </c>
      <c r="G79" s="12">
        <f t="shared" si="30"/>
        <v>263520</v>
      </c>
      <c r="H79" s="12">
        <f t="shared" si="30"/>
        <v>77760</v>
      </c>
      <c r="I79" s="12">
        <f t="shared" si="30"/>
        <v>358560</v>
      </c>
      <c r="J79" s="12">
        <f t="shared" si="30"/>
        <v>336960</v>
      </c>
      <c r="K79" s="12">
        <f t="shared" si="30"/>
        <v>371520</v>
      </c>
      <c r="L79" s="12">
        <f t="shared" si="30"/>
        <v>172800</v>
      </c>
      <c r="M79" s="12">
        <f t="shared" si="30"/>
        <v>207360</v>
      </c>
      <c r="N79" s="12">
        <f t="shared" si="30"/>
        <v>250560</v>
      </c>
      <c r="O79" s="12">
        <f t="shared" si="30"/>
        <v>276480</v>
      </c>
      <c r="P79" s="12">
        <f t="shared" si="30"/>
        <v>276480</v>
      </c>
      <c r="Q79" s="12">
        <f t="shared" si="30"/>
        <v>129600</v>
      </c>
      <c r="R79" s="12">
        <f t="shared" si="30"/>
        <v>95040</v>
      </c>
      <c r="S79" s="12">
        <f t="shared" si="30"/>
        <v>177120</v>
      </c>
      <c r="T79" s="12">
        <f t="shared" si="30"/>
        <v>47520</v>
      </c>
      <c r="U79" s="12">
        <f t="shared" si="30"/>
        <v>25920</v>
      </c>
      <c r="V79" s="44">
        <f t="shared" si="25"/>
        <v>3805920</v>
      </c>
    </row>
    <row r="80" spans="1:22" s="50" customFormat="1" ht="11.25">
      <c r="A80" s="11" t="s">
        <v>198</v>
      </c>
      <c r="B80" s="47" t="s">
        <v>199</v>
      </c>
      <c r="C80" s="47" t="s">
        <v>28</v>
      </c>
      <c r="D80" s="63" t="s">
        <v>200</v>
      </c>
      <c r="E80" s="12">
        <f>E96*4320</f>
        <v>375840</v>
      </c>
      <c r="F80" s="12">
        <f>F96*4320</f>
        <v>362880</v>
      </c>
      <c r="G80" s="49">
        <v>263520</v>
      </c>
      <c r="H80" s="12">
        <f>H96*4320</f>
        <v>77760</v>
      </c>
      <c r="I80" s="12">
        <f>I96*4320</f>
        <v>358560</v>
      </c>
      <c r="J80" s="49">
        <v>336960</v>
      </c>
      <c r="K80" s="49">
        <v>371520</v>
      </c>
      <c r="L80" s="12">
        <f>L96*4320</f>
        <v>172800</v>
      </c>
      <c r="M80" s="12">
        <f>M96*4320</f>
        <v>207360</v>
      </c>
      <c r="N80" s="12">
        <f>N96*4320</f>
        <v>250560</v>
      </c>
      <c r="O80" s="49">
        <f>4320*O99</f>
        <v>276480</v>
      </c>
      <c r="P80" s="12">
        <f>P96*4320</f>
        <v>276480</v>
      </c>
      <c r="Q80" s="49">
        <f>4320*30</f>
        <v>129600</v>
      </c>
      <c r="R80" s="12">
        <f>R96*4320</f>
        <v>95040</v>
      </c>
      <c r="S80" s="12">
        <f>S96*4320</f>
        <v>177120</v>
      </c>
      <c r="T80" s="12">
        <f>T96*4320</f>
        <v>47520</v>
      </c>
      <c r="U80" s="12">
        <f>U96*4320</f>
        <v>25920</v>
      </c>
      <c r="V80" s="44">
        <f t="shared" si="25"/>
        <v>3805920</v>
      </c>
    </row>
    <row r="81" spans="1:22" ht="11.25">
      <c r="A81" s="11" t="s">
        <v>201</v>
      </c>
      <c r="B81" s="15" t="s">
        <v>202</v>
      </c>
      <c r="C81" s="15"/>
      <c r="D81" s="16" t="s">
        <v>22</v>
      </c>
      <c r="E81" s="12">
        <f>E82</f>
        <v>339998.4</v>
      </c>
      <c r="F81" s="12">
        <f t="shared" ref="F81:U81" si="31">F82</f>
        <v>340785.6</v>
      </c>
      <c r="G81" s="12">
        <f t="shared" si="31"/>
        <v>251630.40000000002</v>
      </c>
      <c r="H81" s="12">
        <f t="shared" si="31"/>
        <v>76727.039999999994</v>
      </c>
      <c r="I81" s="12">
        <f t="shared" si="31"/>
        <v>314577.59999999998</v>
      </c>
      <c r="J81" s="12">
        <f t="shared" si="31"/>
        <v>269918.40000000002</v>
      </c>
      <c r="K81" s="12">
        <f t="shared" si="31"/>
        <v>295766.40000000002</v>
      </c>
      <c r="L81" s="12">
        <f t="shared" si="31"/>
        <v>149649.59999999998</v>
      </c>
      <c r="M81" s="12">
        <f t="shared" si="31"/>
        <v>177182.40000000002</v>
      </c>
      <c r="N81" s="12">
        <f t="shared" si="31"/>
        <v>195303.2</v>
      </c>
      <c r="O81" s="12">
        <f t="shared" si="31"/>
        <v>229540</v>
      </c>
      <c r="P81" s="12">
        <f t="shared" si="31"/>
        <v>242268</v>
      </c>
      <c r="Q81" s="12">
        <f t="shared" si="31"/>
        <v>99376.8</v>
      </c>
      <c r="R81" s="12">
        <f t="shared" si="31"/>
        <v>73017.600000000006</v>
      </c>
      <c r="S81" s="12">
        <f t="shared" si="31"/>
        <v>138067.20000000001</v>
      </c>
      <c r="T81" s="12">
        <f t="shared" si="31"/>
        <v>32360</v>
      </c>
      <c r="U81" s="12">
        <f t="shared" si="31"/>
        <v>23320</v>
      </c>
      <c r="V81" s="44">
        <f t="shared" si="25"/>
        <v>3249488.64</v>
      </c>
    </row>
    <row r="82" spans="1:22" s="64" customFormat="1" ht="11.25">
      <c r="A82" s="11" t="s">
        <v>203</v>
      </c>
      <c r="B82" s="47" t="s">
        <v>204</v>
      </c>
      <c r="C82" s="47" t="s">
        <v>28</v>
      </c>
      <c r="D82" s="48" t="s">
        <v>47</v>
      </c>
      <c r="E82" s="12">
        <f t="shared" ref="E82:U82" si="32">E16*4</f>
        <v>339998.4</v>
      </c>
      <c r="F82" s="12">
        <f t="shared" si="32"/>
        <v>340785.6</v>
      </c>
      <c r="G82" s="12">
        <f t="shared" si="32"/>
        <v>251630.40000000002</v>
      </c>
      <c r="H82" s="12">
        <f t="shared" si="32"/>
        <v>76727.039999999994</v>
      </c>
      <c r="I82" s="12">
        <f t="shared" si="32"/>
        <v>314577.59999999998</v>
      </c>
      <c r="J82" s="12">
        <f t="shared" si="32"/>
        <v>269918.40000000002</v>
      </c>
      <c r="K82" s="12">
        <f t="shared" si="32"/>
        <v>295766.40000000002</v>
      </c>
      <c r="L82" s="12">
        <f t="shared" si="32"/>
        <v>149649.59999999998</v>
      </c>
      <c r="M82" s="12">
        <f t="shared" si="32"/>
        <v>177182.40000000002</v>
      </c>
      <c r="N82" s="12">
        <f t="shared" si="32"/>
        <v>195303.2</v>
      </c>
      <c r="O82" s="12">
        <f t="shared" si="32"/>
        <v>229540</v>
      </c>
      <c r="P82" s="12">
        <f t="shared" si="32"/>
        <v>242268</v>
      </c>
      <c r="Q82" s="12">
        <f t="shared" si="32"/>
        <v>99376.8</v>
      </c>
      <c r="R82" s="12">
        <f t="shared" si="32"/>
        <v>73017.600000000006</v>
      </c>
      <c r="S82" s="12">
        <f t="shared" si="32"/>
        <v>138067.20000000001</v>
      </c>
      <c r="T82" s="12">
        <f t="shared" si="32"/>
        <v>32360</v>
      </c>
      <c r="U82" s="12">
        <f t="shared" si="32"/>
        <v>23320</v>
      </c>
      <c r="V82" s="44">
        <f t="shared" si="25"/>
        <v>3249488.64</v>
      </c>
    </row>
    <row r="83" spans="1:22" ht="11.25">
      <c r="A83" s="65" t="s">
        <v>205</v>
      </c>
      <c r="B83" s="66" t="s">
        <v>206</v>
      </c>
      <c r="C83" s="66"/>
      <c r="D83" s="67" t="s">
        <v>22</v>
      </c>
      <c r="E83" s="68">
        <f>E84</f>
        <v>32000</v>
      </c>
      <c r="F83" s="68">
        <f t="shared" ref="F83:U83" si="33">F84</f>
        <v>32000</v>
      </c>
      <c r="G83" s="68">
        <f t="shared" si="33"/>
        <v>0</v>
      </c>
      <c r="H83" s="68">
        <f t="shared" si="33"/>
        <v>0</v>
      </c>
      <c r="I83" s="68">
        <f t="shared" si="33"/>
        <v>32000</v>
      </c>
      <c r="J83" s="68">
        <f t="shared" si="33"/>
        <v>32000</v>
      </c>
      <c r="K83" s="68">
        <f t="shared" si="33"/>
        <v>0</v>
      </c>
      <c r="L83" s="68">
        <f t="shared" si="33"/>
        <v>0</v>
      </c>
      <c r="M83" s="68">
        <f t="shared" si="33"/>
        <v>0</v>
      </c>
      <c r="N83" s="68">
        <f t="shared" si="33"/>
        <v>32000</v>
      </c>
      <c r="O83" s="68">
        <f t="shared" si="33"/>
        <v>32000</v>
      </c>
      <c r="P83" s="68">
        <f t="shared" si="33"/>
        <v>0</v>
      </c>
      <c r="Q83" s="68">
        <f t="shared" si="33"/>
        <v>0</v>
      </c>
      <c r="R83" s="68">
        <f t="shared" si="33"/>
        <v>0</v>
      </c>
      <c r="S83" s="68">
        <f t="shared" si="33"/>
        <v>0</v>
      </c>
      <c r="T83" s="68">
        <f t="shared" si="33"/>
        <v>0</v>
      </c>
      <c r="U83" s="68">
        <f t="shared" si="33"/>
        <v>32000</v>
      </c>
      <c r="V83" s="69">
        <f t="shared" si="25"/>
        <v>224000</v>
      </c>
    </row>
    <row r="84" spans="1:22" ht="33.75">
      <c r="A84" s="11" t="s">
        <v>207</v>
      </c>
      <c r="B84" s="15" t="s">
        <v>208</v>
      </c>
      <c r="C84" s="15" t="s">
        <v>28</v>
      </c>
      <c r="D84" s="62" t="s">
        <v>209</v>
      </c>
      <c r="E84" s="14">
        <v>32000</v>
      </c>
      <c r="F84" s="14">
        <v>32000</v>
      </c>
      <c r="G84" s="46"/>
      <c r="H84" s="14"/>
      <c r="I84" s="14">
        <v>32000</v>
      </c>
      <c r="J84" s="46">
        <v>32000</v>
      </c>
      <c r="K84" s="46"/>
      <c r="L84" s="14"/>
      <c r="M84" s="14"/>
      <c r="N84" s="14">
        <v>32000</v>
      </c>
      <c r="O84" s="46">
        <v>32000</v>
      </c>
      <c r="P84" s="14"/>
      <c r="Q84" s="46"/>
      <c r="R84" s="14"/>
      <c r="S84" s="14"/>
      <c r="T84" s="14"/>
      <c r="U84" s="14">
        <v>32000</v>
      </c>
      <c r="V84" s="44">
        <f t="shared" si="25"/>
        <v>224000</v>
      </c>
    </row>
    <row r="85" spans="1:22" ht="11.25">
      <c r="A85" s="11" t="s">
        <v>210</v>
      </c>
      <c r="B85" s="15" t="s">
        <v>211</v>
      </c>
      <c r="C85" s="15"/>
      <c r="D85" s="16" t="s">
        <v>22</v>
      </c>
      <c r="E85" s="12">
        <f>E86+E89+E92</f>
        <v>292640</v>
      </c>
      <c r="F85" s="12">
        <f t="shared" ref="F85:U85" si="34">F86+F89+F92</f>
        <v>320960</v>
      </c>
      <c r="G85" s="12">
        <f t="shared" si="34"/>
        <v>0</v>
      </c>
      <c r="H85" s="12">
        <f t="shared" si="34"/>
        <v>0</v>
      </c>
      <c r="I85" s="12">
        <f t="shared" si="34"/>
        <v>490880</v>
      </c>
      <c r="J85" s="12">
        <f t="shared" si="34"/>
        <v>500320</v>
      </c>
      <c r="K85" s="12">
        <f t="shared" si="34"/>
        <v>0</v>
      </c>
      <c r="L85" s="12">
        <f t="shared" si="34"/>
        <v>0</v>
      </c>
      <c r="M85" s="12">
        <f t="shared" si="34"/>
        <v>0</v>
      </c>
      <c r="N85" s="12">
        <f t="shared" si="34"/>
        <v>99120</v>
      </c>
      <c r="O85" s="12">
        <f t="shared" si="34"/>
        <v>108560</v>
      </c>
      <c r="P85" s="12">
        <f t="shared" si="34"/>
        <v>0</v>
      </c>
      <c r="Q85" s="12">
        <f t="shared" si="34"/>
        <v>0</v>
      </c>
      <c r="R85" s="12">
        <f t="shared" si="34"/>
        <v>0</v>
      </c>
      <c r="S85" s="12">
        <f t="shared" si="34"/>
        <v>0</v>
      </c>
      <c r="T85" s="12">
        <f t="shared" si="34"/>
        <v>0</v>
      </c>
      <c r="U85" s="12">
        <f t="shared" si="34"/>
        <v>84960</v>
      </c>
      <c r="V85" s="44">
        <f t="shared" si="25"/>
        <v>1897440</v>
      </c>
    </row>
    <row r="86" spans="1:22" ht="11.25">
      <c r="A86" s="11" t="s">
        <v>212</v>
      </c>
      <c r="B86" s="15" t="s">
        <v>213</v>
      </c>
      <c r="C86" s="15"/>
      <c r="D86" s="16" t="s">
        <v>22</v>
      </c>
      <c r="E86" s="12">
        <f>E87+E88</f>
        <v>0</v>
      </c>
      <c r="F86" s="12">
        <f>F87+F88</f>
        <v>0</v>
      </c>
      <c r="G86" s="49">
        <v>0</v>
      </c>
      <c r="H86" s="12">
        <f>H87+H88</f>
        <v>0</v>
      </c>
      <c r="I86" s="12">
        <f>I87+I88</f>
        <v>0</v>
      </c>
      <c r="J86" s="49">
        <v>0</v>
      </c>
      <c r="K86" s="49">
        <v>0</v>
      </c>
      <c r="L86" s="12">
        <f>L87+L88</f>
        <v>0</v>
      </c>
      <c r="M86" s="12">
        <f>M87+M88</f>
        <v>0</v>
      </c>
      <c r="N86" s="12">
        <f>N87+N88</f>
        <v>0</v>
      </c>
      <c r="O86" s="49">
        <v>0</v>
      </c>
      <c r="P86" s="12">
        <f>P87+P88</f>
        <v>0</v>
      </c>
      <c r="Q86" s="49">
        <v>0</v>
      </c>
      <c r="R86" s="12">
        <f>R87+R88</f>
        <v>0</v>
      </c>
      <c r="S86" s="12">
        <f>S87+S88</f>
        <v>0</v>
      </c>
      <c r="T86" s="12">
        <f>T87+T88</f>
        <v>0</v>
      </c>
      <c r="U86" s="12">
        <f>U87+U88</f>
        <v>0</v>
      </c>
      <c r="V86" s="44">
        <f t="shared" si="25"/>
        <v>0</v>
      </c>
    </row>
    <row r="87" spans="1:22" ht="11.25">
      <c r="A87" s="11" t="s">
        <v>214</v>
      </c>
      <c r="B87" s="15" t="s">
        <v>215</v>
      </c>
      <c r="C87" s="15" t="s">
        <v>28</v>
      </c>
      <c r="D87" s="62" t="s">
        <v>130</v>
      </c>
      <c r="E87" s="57"/>
      <c r="F87" s="57"/>
      <c r="G87" s="58"/>
      <c r="H87" s="57"/>
      <c r="I87" s="57"/>
      <c r="J87" s="58"/>
      <c r="K87" s="58"/>
      <c r="L87" s="57"/>
      <c r="M87" s="57"/>
      <c r="N87" s="57"/>
      <c r="O87" s="58"/>
      <c r="P87" s="57"/>
      <c r="Q87" s="58"/>
      <c r="R87" s="57"/>
      <c r="S87" s="57"/>
      <c r="T87" s="57"/>
      <c r="U87" s="57"/>
      <c r="V87" s="44">
        <f t="shared" si="25"/>
        <v>0</v>
      </c>
    </row>
    <row r="88" spans="1:22" ht="11.25">
      <c r="A88" s="11" t="s">
        <v>216</v>
      </c>
      <c r="B88" s="15" t="s">
        <v>217</v>
      </c>
      <c r="C88" s="15" t="s">
        <v>28</v>
      </c>
      <c r="D88" s="16" t="s">
        <v>218</v>
      </c>
      <c r="E88" s="57"/>
      <c r="F88" s="57"/>
      <c r="G88" s="58"/>
      <c r="H88" s="57"/>
      <c r="I88" s="57"/>
      <c r="J88" s="58"/>
      <c r="K88" s="58"/>
      <c r="L88" s="57"/>
      <c r="M88" s="57"/>
      <c r="N88" s="57"/>
      <c r="O88" s="58"/>
      <c r="P88" s="57"/>
      <c r="Q88" s="58"/>
      <c r="R88" s="57"/>
      <c r="S88" s="57"/>
      <c r="T88" s="57"/>
      <c r="U88" s="57"/>
      <c r="V88" s="44">
        <f t="shared" si="25"/>
        <v>0</v>
      </c>
    </row>
    <row r="89" spans="1:22" ht="11.25">
      <c r="A89" s="11" t="s">
        <v>219</v>
      </c>
      <c r="B89" s="15" t="s">
        <v>220</v>
      </c>
      <c r="C89" s="15"/>
      <c r="D89" s="16" t="s">
        <v>22</v>
      </c>
      <c r="E89" s="12">
        <f>E90+E91</f>
        <v>292640</v>
      </c>
      <c r="F89" s="12">
        <f t="shared" ref="F89:U89" si="35">F90+F91</f>
        <v>320960</v>
      </c>
      <c r="G89" s="12">
        <f t="shared" si="35"/>
        <v>0</v>
      </c>
      <c r="H89" s="12">
        <f t="shared" si="35"/>
        <v>0</v>
      </c>
      <c r="I89" s="12">
        <f t="shared" si="35"/>
        <v>490880</v>
      </c>
      <c r="J89" s="12">
        <f t="shared" si="35"/>
        <v>500320</v>
      </c>
      <c r="K89" s="12">
        <f t="shared" si="35"/>
        <v>0</v>
      </c>
      <c r="L89" s="12">
        <f t="shared" si="35"/>
        <v>0</v>
      </c>
      <c r="M89" s="12">
        <f t="shared" si="35"/>
        <v>0</v>
      </c>
      <c r="N89" s="12">
        <f t="shared" si="35"/>
        <v>99120</v>
      </c>
      <c r="O89" s="12">
        <f t="shared" si="35"/>
        <v>108560</v>
      </c>
      <c r="P89" s="12">
        <f t="shared" si="35"/>
        <v>0</v>
      </c>
      <c r="Q89" s="12">
        <f t="shared" si="35"/>
        <v>0</v>
      </c>
      <c r="R89" s="12">
        <f t="shared" si="35"/>
        <v>0</v>
      </c>
      <c r="S89" s="12">
        <f t="shared" si="35"/>
        <v>0</v>
      </c>
      <c r="T89" s="12">
        <f t="shared" si="35"/>
        <v>0</v>
      </c>
      <c r="U89" s="12">
        <f t="shared" si="35"/>
        <v>84960</v>
      </c>
      <c r="V89" s="44">
        <f t="shared" si="25"/>
        <v>1897440</v>
      </c>
    </row>
    <row r="90" spans="1:22" s="50" customFormat="1" ht="11.25">
      <c r="A90" s="11" t="s">
        <v>221</v>
      </c>
      <c r="B90" s="47" t="s">
        <v>222</v>
      </c>
      <c r="C90" s="47" t="s">
        <v>28</v>
      </c>
      <c r="D90" s="63" t="s">
        <v>223</v>
      </c>
      <c r="E90" s="12">
        <f>E107*400</f>
        <v>24800</v>
      </c>
      <c r="F90" s="12">
        <f>F107*400</f>
        <v>27200</v>
      </c>
      <c r="G90" s="49">
        <v>0</v>
      </c>
      <c r="H90" s="12">
        <f>H107*400</f>
        <v>0</v>
      </c>
      <c r="I90" s="12">
        <f>I107*400</f>
        <v>41600</v>
      </c>
      <c r="J90" s="49">
        <v>42400</v>
      </c>
      <c r="K90" s="49">
        <v>0</v>
      </c>
      <c r="L90" s="12">
        <f>L107*400</f>
        <v>0</v>
      </c>
      <c r="M90" s="12">
        <f>M107*400</f>
        <v>0</v>
      </c>
      <c r="N90" s="12">
        <f>N107*400</f>
        <v>8400</v>
      </c>
      <c r="O90" s="49">
        <f>O107*400</f>
        <v>9200</v>
      </c>
      <c r="P90" s="12">
        <f>P107*400</f>
        <v>0</v>
      </c>
      <c r="Q90" s="49">
        <v>0</v>
      </c>
      <c r="R90" s="12">
        <f>R107*400</f>
        <v>0</v>
      </c>
      <c r="S90" s="12">
        <f>S107*400</f>
        <v>0</v>
      </c>
      <c r="T90" s="12">
        <f>T107*400</f>
        <v>0</v>
      </c>
      <c r="U90" s="12">
        <f>U107*400</f>
        <v>7200</v>
      </c>
      <c r="V90" s="44">
        <f t="shared" si="25"/>
        <v>160800</v>
      </c>
    </row>
    <row r="91" spans="1:22" s="50" customFormat="1" ht="11.25">
      <c r="A91" s="11" t="s">
        <v>224</v>
      </c>
      <c r="B91" s="47" t="s">
        <v>225</v>
      </c>
      <c r="C91" s="47" t="s">
        <v>28</v>
      </c>
      <c r="D91" s="63" t="s">
        <v>226</v>
      </c>
      <c r="E91" s="12">
        <f>E107*4320</f>
        <v>267840</v>
      </c>
      <c r="F91" s="12">
        <f>F107*4320</f>
        <v>293760</v>
      </c>
      <c r="G91" s="49">
        <v>0</v>
      </c>
      <c r="H91" s="12">
        <f>H107*4320</f>
        <v>0</v>
      </c>
      <c r="I91" s="12">
        <f>I107*4320</f>
        <v>449280</v>
      </c>
      <c r="J91" s="49">
        <v>457920</v>
      </c>
      <c r="K91" s="49">
        <v>0</v>
      </c>
      <c r="L91" s="12">
        <f>L107*4320</f>
        <v>0</v>
      </c>
      <c r="M91" s="12">
        <f>M107*4320</f>
        <v>0</v>
      </c>
      <c r="N91" s="12">
        <f>N107*4320</f>
        <v>90720</v>
      </c>
      <c r="O91" s="49">
        <f>O107*4320</f>
        <v>99360</v>
      </c>
      <c r="P91" s="12">
        <f>P107*4320</f>
        <v>0</v>
      </c>
      <c r="Q91" s="49">
        <v>0</v>
      </c>
      <c r="R91" s="12">
        <f>R107*4320</f>
        <v>0</v>
      </c>
      <c r="S91" s="12">
        <f>S107*4320</f>
        <v>0</v>
      </c>
      <c r="T91" s="12">
        <f>T107*4320</f>
        <v>0</v>
      </c>
      <c r="U91" s="12">
        <f>U107*4320</f>
        <v>77760</v>
      </c>
      <c r="V91" s="44">
        <f t="shared" si="25"/>
        <v>1736640</v>
      </c>
    </row>
    <row r="92" spans="1:22" ht="11.25">
      <c r="A92" s="11" t="s">
        <v>227</v>
      </c>
      <c r="B92" s="15" t="s">
        <v>228</v>
      </c>
      <c r="C92" s="15" t="s">
        <v>28</v>
      </c>
      <c r="D92" s="62" t="s">
        <v>130</v>
      </c>
      <c r="E92" s="70"/>
      <c r="F92" s="70"/>
      <c r="G92" s="71"/>
      <c r="H92" s="70"/>
      <c r="I92" s="70"/>
      <c r="J92" s="71"/>
      <c r="K92" s="71"/>
      <c r="L92" s="70"/>
      <c r="M92" s="70"/>
      <c r="N92" s="70"/>
      <c r="O92" s="71"/>
      <c r="P92" s="70"/>
      <c r="Q92" s="71"/>
      <c r="R92" s="70"/>
      <c r="S92" s="70"/>
      <c r="T92" s="70"/>
      <c r="U92" s="70"/>
      <c r="V92" s="44">
        <f t="shared" si="25"/>
        <v>0</v>
      </c>
    </row>
    <row r="93" spans="1:22" ht="11.25">
      <c r="A93" s="11" t="s">
        <v>229</v>
      </c>
      <c r="B93" s="15" t="s">
        <v>230</v>
      </c>
      <c r="C93" s="15"/>
      <c r="D93" s="16" t="s">
        <v>22</v>
      </c>
      <c r="E93" s="12">
        <f>E94</f>
        <v>0</v>
      </c>
      <c r="F93" s="12">
        <f t="shared" ref="F93:U93" si="36">F94</f>
        <v>0</v>
      </c>
      <c r="G93" s="12">
        <f t="shared" si="36"/>
        <v>32000</v>
      </c>
      <c r="H93" s="12">
        <f t="shared" si="36"/>
        <v>32000</v>
      </c>
      <c r="I93" s="12">
        <f t="shared" si="36"/>
        <v>10000</v>
      </c>
      <c r="J93" s="12">
        <f t="shared" si="36"/>
        <v>0</v>
      </c>
      <c r="K93" s="12">
        <f t="shared" si="36"/>
        <v>32000</v>
      </c>
      <c r="L93" s="12">
        <f t="shared" si="36"/>
        <v>32000</v>
      </c>
      <c r="M93" s="12">
        <f t="shared" si="36"/>
        <v>32000</v>
      </c>
      <c r="N93" s="12">
        <f t="shared" si="36"/>
        <v>5000</v>
      </c>
      <c r="O93" s="12">
        <f t="shared" si="36"/>
        <v>5000</v>
      </c>
      <c r="P93" s="12">
        <f t="shared" si="36"/>
        <v>32000</v>
      </c>
      <c r="Q93" s="12">
        <f t="shared" si="36"/>
        <v>32000</v>
      </c>
      <c r="R93" s="12">
        <f t="shared" si="36"/>
        <v>32000</v>
      </c>
      <c r="S93" s="12">
        <f t="shared" si="36"/>
        <v>32000</v>
      </c>
      <c r="T93" s="12">
        <f t="shared" si="36"/>
        <v>32000</v>
      </c>
      <c r="U93" s="12">
        <f t="shared" si="36"/>
        <v>0</v>
      </c>
      <c r="V93" s="44">
        <f t="shared" si="25"/>
        <v>340000</v>
      </c>
    </row>
    <row r="94" spans="1:22" ht="57" thickBot="1">
      <c r="A94" s="11" t="s">
        <v>231</v>
      </c>
      <c r="B94" s="72" t="s">
        <v>232</v>
      </c>
      <c r="C94" s="15" t="s">
        <v>28</v>
      </c>
      <c r="D94" s="73" t="s">
        <v>300</v>
      </c>
      <c r="E94" s="74"/>
      <c r="F94" s="74"/>
      <c r="G94" s="75">
        <v>32000</v>
      </c>
      <c r="H94" s="74">
        <v>32000</v>
      </c>
      <c r="I94" s="74">
        <v>10000</v>
      </c>
      <c r="J94" s="75"/>
      <c r="K94" s="75">
        <v>32000</v>
      </c>
      <c r="L94" s="74">
        <v>32000</v>
      </c>
      <c r="M94" s="74">
        <v>32000</v>
      </c>
      <c r="N94" s="74">
        <v>5000</v>
      </c>
      <c r="O94" s="75">
        <v>5000</v>
      </c>
      <c r="P94" s="74">
        <v>32000</v>
      </c>
      <c r="Q94" s="75">
        <v>32000</v>
      </c>
      <c r="R94" s="74">
        <v>32000</v>
      </c>
      <c r="S94" s="74">
        <v>32000</v>
      </c>
      <c r="T94" s="74">
        <v>32000</v>
      </c>
      <c r="U94" s="74"/>
      <c r="V94" s="44">
        <f t="shared" si="25"/>
        <v>340000</v>
      </c>
    </row>
    <row r="95" spans="1:22" ht="23.25" customHeight="1" thickTop="1">
      <c r="A95" s="11" t="s">
        <v>233</v>
      </c>
      <c r="B95" s="76" t="s">
        <v>234</v>
      </c>
      <c r="C95" s="76"/>
      <c r="D95" s="77"/>
      <c r="E95" s="78"/>
      <c r="F95" s="78"/>
      <c r="G95" s="79"/>
      <c r="H95" s="78"/>
      <c r="I95" s="78"/>
      <c r="J95" s="79"/>
      <c r="K95" s="79"/>
      <c r="L95" s="78"/>
      <c r="M95" s="78"/>
      <c r="N95" s="78"/>
      <c r="O95" s="79"/>
      <c r="P95" s="78"/>
      <c r="Q95" s="79"/>
      <c r="R95" s="78"/>
      <c r="S95" s="78"/>
      <c r="T95" s="78"/>
      <c r="U95" s="78"/>
      <c r="V95" s="44">
        <f t="shared" si="25"/>
        <v>0</v>
      </c>
    </row>
    <row r="96" spans="1:22" ht="11.25">
      <c r="A96" s="11" t="s">
        <v>235</v>
      </c>
      <c r="B96" s="15" t="s">
        <v>236</v>
      </c>
      <c r="C96" s="15"/>
      <c r="D96" s="16" t="s">
        <v>301</v>
      </c>
      <c r="E96" s="12">
        <f>E97+E98+E99+E100</f>
        <v>87</v>
      </c>
      <c r="F96" s="12">
        <f>F97+F98+F99+F100</f>
        <v>84</v>
      </c>
      <c r="G96" s="49">
        <v>61</v>
      </c>
      <c r="H96" s="12">
        <f>H97+H98+H99+H100</f>
        <v>18</v>
      </c>
      <c r="I96" s="12">
        <f>I97+I98+I99+I100</f>
        <v>83</v>
      </c>
      <c r="J96" s="49">
        <f>J97+J98+J99+J100</f>
        <v>78</v>
      </c>
      <c r="K96" s="49">
        <v>86</v>
      </c>
      <c r="L96" s="12">
        <f>L97+L98+L99+L100</f>
        <v>40</v>
      </c>
      <c r="M96" s="12">
        <f>M97+M98+M99+M100</f>
        <v>48</v>
      </c>
      <c r="N96" s="12">
        <f>N97+N98+N99+N100</f>
        <v>58</v>
      </c>
      <c r="O96" s="49">
        <v>64</v>
      </c>
      <c r="P96" s="12">
        <f>P97+P98+P99+P100</f>
        <v>64</v>
      </c>
      <c r="Q96" s="49">
        <v>30</v>
      </c>
      <c r="R96" s="12">
        <f>R97+R98+R99+R100</f>
        <v>22</v>
      </c>
      <c r="S96" s="12">
        <f>S97+S98+S99+S100</f>
        <v>41</v>
      </c>
      <c r="T96" s="12">
        <f>T97+T98+T99+T100</f>
        <v>11</v>
      </c>
      <c r="U96" s="12">
        <f>U97+U98+U99+U100</f>
        <v>6</v>
      </c>
      <c r="V96" s="44">
        <f t="shared" si="25"/>
        <v>881</v>
      </c>
    </row>
    <row r="97" spans="1:22" ht="11.25">
      <c r="A97" s="11" t="s">
        <v>237</v>
      </c>
      <c r="B97" s="80" t="s">
        <v>238</v>
      </c>
      <c r="C97" s="80"/>
      <c r="D97" s="56"/>
      <c r="E97" s="57">
        <v>87</v>
      </c>
      <c r="F97" s="57">
        <v>84</v>
      </c>
      <c r="G97" s="58">
        <v>61</v>
      </c>
      <c r="H97" s="57">
        <v>11</v>
      </c>
      <c r="I97" s="57"/>
      <c r="J97" s="58"/>
      <c r="K97" s="58"/>
      <c r="L97" s="57"/>
      <c r="M97" s="57"/>
      <c r="N97" s="57"/>
      <c r="O97" s="58"/>
      <c r="P97" s="57"/>
      <c r="Q97" s="58"/>
      <c r="R97" s="57"/>
      <c r="S97" s="57"/>
      <c r="T97" s="57"/>
      <c r="U97" s="57"/>
      <c r="V97" s="44">
        <f t="shared" si="25"/>
        <v>243</v>
      </c>
    </row>
    <row r="98" spans="1:22" ht="11.25">
      <c r="A98" s="11" t="s">
        <v>239</v>
      </c>
      <c r="B98" s="80" t="s">
        <v>240</v>
      </c>
      <c r="C98" s="80"/>
      <c r="D98" s="16"/>
      <c r="E98" s="14"/>
      <c r="F98" s="14"/>
      <c r="G98" s="46"/>
      <c r="H98" s="14">
        <v>7</v>
      </c>
      <c r="I98" s="14">
        <v>83</v>
      </c>
      <c r="J98" s="46">
        <v>78</v>
      </c>
      <c r="K98" s="46">
        <v>86</v>
      </c>
      <c r="L98" s="14">
        <v>40</v>
      </c>
      <c r="M98" s="14">
        <v>48</v>
      </c>
      <c r="N98" s="14"/>
      <c r="O98" s="46"/>
      <c r="P98" s="14"/>
      <c r="Q98" s="46"/>
      <c r="R98" s="14"/>
      <c r="S98" s="14"/>
      <c r="T98" s="14"/>
      <c r="U98" s="14"/>
      <c r="V98" s="44">
        <f t="shared" si="25"/>
        <v>342</v>
      </c>
    </row>
    <row r="99" spans="1:22" ht="11.25">
      <c r="A99" s="11" t="s">
        <v>241</v>
      </c>
      <c r="B99" s="80" t="s">
        <v>242</v>
      </c>
      <c r="C99" s="80"/>
      <c r="D99" s="56"/>
      <c r="E99" s="57"/>
      <c r="F99" s="57"/>
      <c r="G99" s="58"/>
      <c r="H99" s="57"/>
      <c r="I99" s="57"/>
      <c r="J99" s="58"/>
      <c r="K99" s="58"/>
      <c r="L99" s="57"/>
      <c r="M99" s="57"/>
      <c r="N99" s="57">
        <v>58</v>
      </c>
      <c r="O99" s="58">
        <v>64</v>
      </c>
      <c r="P99" s="57">
        <v>64</v>
      </c>
      <c r="Q99" s="58">
        <v>30</v>
      </c>
      <c r="R99" s="57">
        <v>22</v>
      </c>
      <c r="S99" s="57">
        <v>41</v>
      </c>
      <c r="T99" s="57">
        <v>11</v>
      </c>
      <c r="U99" s="57"/>
      <c r="V99" s="44">
        <f t="shared" si="25"/>
        <v>290</v>
      </c>
    </row>
    <row r="100" spans="1:22" ht="11.25">
      <c r="A100" s="11" t="s">
        <v>243</v>
      </c>
      <c r="B100" s="80" t="s">
        <v>244</v>
      </c>
      <c r="C100" s="80"/>
      <c r="D100" s="56"/>
      <c r="E100" s="57"/>
      <c r="F100" s="57"/>
      <c r="G100" s="58"/>
      <c r="H100" s="57"/>
      <c r="I100" s="57"/>
      <c r="J100" s="58"/>
      <c r="K100" s="58"/>
      <c r="L100" s="57"/>
      <c r="M100" s="57"/>
      <c r="N100" s="57"/>
      <c r="O100" s="58"/>
      <c r="P100" s="57"/>
      <c r="Q100" s="58"/>
      <c r="R100" s="57"/>
      <c r="S100" s="57"/>
      <c r="T100" s="57"/>
      <c r="U100" s="57">
        <v>6</v>
      </c>
      <c r="V100" s="44">
        <f t="shared" si="25"/>
        <v>6</v>
      </c>
    </row>
    <row r="101" spans="1:22" ht="22.5">
      <c r="A101" s="11" t="s">
        <v>245</v>
      </c>
      <c r="B101" s="15" t="s">
        <v>246</v>
      </c>
      <c r="C101" s="15"/>
      <c r="D101" s="16" t="s">
        <v>302</v>
      </c>
      <c r="E101" s="12">
        <f>E102+E103+E104+E105</f>
        <v>874</v>
      </c>
      <c r="F101" s="12">
        <f>F102+F103+F104+F105</f>
        <v>856</v>
      </c>
      <c r="G101" s="49">
        <v>632</v>
      </c>
      <c r="H101" s="12">
        <f>H102+H103+H104+H105</f>
        <v>226</v>
      </c>
      <c r="I101" s="12">
        <f>I102+I103+I104+I105</f>
        <v>1284</v>
      </c>
      <c r="J101" s="49">
        <f>J102+J103+J104+J105</f>
        <v>1021</v>
      </c>
      <c r="K101" s="49">
        <v>1314</v>
      </c>
      <c r="L101" s="12">
        <f>L102+L103+L104+L105</f>
        <v>472</v>
      </c>
      <c r="M101" s="12">
        <f>M102+M103+M104+M105</f>
        <v>664</v>
      </c>
      <c r="N101" s="12">
        <f>N102+N103+N104+N105</f>
        <v>677</v>
      </c>
      <c r="O101" s="49">
        <v>863</v>
      </c>
      <c r="P101" s="12">
        <f>P102+P103+P104+P105</f>
        <v>842</v>
      </c>
      <c r="Q101" s="49">
        <v>492</v>
      </c>
      <c r="R101" s="12">
        <f>R102+R103+R104+R105</f>
        <v>273</v>
      </c>
      <c r="S101" s="12">
        <f>S102+S103+S104+S105</f>
        <v>392</v>
      </c>
      <c r="T101" s="12">
        <f>T102+T103+T104+T105</f>
        <v>324</v>
      </c>
      <c r="U101" s="12">
        <f>U102+U103+U104+U105</f>
        <v>0</v>
      </c>
      <c r="V101" s="44">
        <f t="shared" si="25"/>
        <v>11206</v>
      </c>
    </row>
    <row r="102" spans="1:22" ht="11.25">
      <c r="A102" s="11" t="s">
        <v>247</v>
      </c>
      <c r="B102" s="80" t="s">
        <v>238</v>
      </c>
      <c r="C102" s="80"/>
      <c r="D102" s="56"/>
      <c r="E102" s="57">
        <v>874</v>
      </c>
      <c r="F102" s="57">
        <v>856</v>
      </c>
      <c r="G102" s="58">
        <v>632</v>
      </c>
      <c r="H102" s="57">
        <v>91</v>
      </c>
      <c r="I102" s="57"/>
      <c r="J102" s="58"/>
      <c r="K102" s="58"/>
      <c r="L102" s="57"/>
      <c r="M102" s="57"/>
      <c r="N102" s="57"/>
      <c r="O102" s="58"/>
      <c r="P102" s="57"/>
      <c r="Q102" s="58"/>
      <c r="R102" s="57"/>
      <c r="S102" s="57"/>
      <c r="T102" s="57"/>
      <c r="U102" s="57"/>
      <c r="V102" s="44">
        <f t="shared" si="25"/>
        <v>2453</v>
      </c>
    </row>
    <row r="103" spans="1:22" ht="11.25">
      <c r="A103" s="11" t="s">
        <v>248</v>
      </c>
      <c r="B103" s="80" t="s">
        <v>240</v>
      </c>
      <c r="C103" s="80"/>
      <c r="D103" s="16"/>
      <c r="E103" s="14"/>
      <c r="F103" s="14"/>
      <c r="G103" s="46"/>
      <c r="H103" s="14">
        <v>135</v>
      </c>
      <c r="I103" s="14">
        <v>1284</v>
      </c>
      <c r="J103" s="46">
        <v>1021</v>
      </c>
      <c r="K103" s="46">
        <v>1314</v>
      </c>
      <c r="L103" s="14">
        <v>472</v>
      </c>
      <c r="M103" s="14">
        <v>664</v>
      </c>
      <c r="N103" s="14"/>
      <c r="O103" s="46"/>
      <c r="P103" s="14"/>
      <c r="Q103" s="46"/>
      <c r="R103" s="14"/>
      <c r="S103" s="14"/>
      <c r="T103" s="14"/>
      <c r="U103" s="14"/>
      <c r="V103" s="44">
        <f t="shared" si="25"/>
        <v>4890</v>
      </c>
    </row>
    <row r="104" spans="1:22" ht="11.25">
      <c r="A104" s="11" t="s">
        <v>249</v>
      </c>
      <c r="B104" s="80" t="s">
        <v>242</v>
      </c>
      <c r="C104" s="80"/>
      <c r="D104" s="56"/>
      <c r="E104" s="57"/>
      <c r="F104" s="57"/>
      <c r="G104" s="58"/>
      <c r="H104" s="57"/>
      <c r="I104" s="57"/>
      <c r="J104" s="58"/>
      <c r="K104" s="58"/>
      <c r="L104" s="57"/>
      <c r="M104" s="57"/>
      <c r="N104" s="57">
        <v>677</v>
      </c>
      <c r="O104" s="58">
        <v>863</v>
      </c>
      <c r="P104" s="57">
        <v>842</v>
      </c>
      <c r="Q104" s="58">
        <v>492</v>
      </c>
      <c r="R104" s="57">
        <v>273</v>
      </c>
      <c r="S104" s="57">
        <v>392</v>
      </c>
      <c r="T104" s="57">
        <v>324</v>
      </c>
      <c r="U104" s="57"/>
      <c r="V104" s="44">
        <f t="shared" si="25"/>
        <v>3863</v>
      </c>
    </row>
    <row r="105" spans="1:22" ht="11.25">
      <c r="A105" s="11" t="s">
        <v>250</v>
      </c>
      <c r="B105" s="80" t="s">
        <v>244</v>
      </c>
      <c r="C105" s="80"/>
      <c r="D105" s="56"/>
      <c r="E105" s="57"/>
      <c r="F105" s="57"/>
      <c r="G105" s="58"/>
      <c r="H105" s="57"/>
      <c r="I105" s="57"/>
      <c r="J105" s="58"/>
      <c r="K105" s="58"/>
      <c r="L105" s="57"/>
      <c r="M105" s="57"/>
      <c r="N105" s="57"/>
      <c r="O105" s="58"/>
      <c r="P105" s="57"/>
      <c r="Q105" s="58"/>
      <c r="R105" s="57"/>
      <c r="S105" s="57"/>
      <c r="T105" s="57"/>
      <c r="U105" s="57"/>
      <c r="V105" s="44">
        <f t="shared" si="25"/>
        <v>0</v>
      </c>
    </row>
    <row r="106" spans="1:22" ht="11.25">
      <c r="A106" s="11" t="s">
        <v>251</v>
      </c>
      <c r="B106" s="15" t="s">
        <v>252</v>
      </c>
      <c r="C106" s="15"/>
      <c r="D106" s="62"/>
      <c r="E106" s="81"/>
      <c r="F106" s="81"/>
      <c r="G106" s="82"/>
      <c r="H106" s="81"/>
      <c r="I106" s="81"/>
      <c r="J106" s="82"/>
      <c r="K106" s="82"/>
      <c r="L106" s="81"/>
      <c r="M106" s="81"/>
      <c r="N106" s="81"/>
      <c r="O106" s="82"/>
      <c r="P106" s="81"/>
      <c r="Q106" s="82"/>
      <c r="R106" s="81"/>
      <c r="S106" s="81"/>
      <c r="T106" s="81"/>
      <c r="U106" s="81"/>
      <c r="V106" s="44">
        <f t="shared" si="25"/>
        <v>0</v>
      </c>
    </row>
    <row r="107" spans="1:22" ht="11.25">
      <c r="A107" s="11" t="s">
        <v>253</v>
      </c>
      <c r="B107" s="15" t="s">
        <v>254</v>
      </c>
      <c r="C107" s="15"/>
      <c r="D107" s="16"/>
      <c r="E107" s="14">
        <v>62</v>
      </c>
      <c r="F107" s="14">
        <v>68</v>
      </c>
      <c r="G107" s="46"/>
      <c r="H107" s="14"/>
      <c r="I107" s="14">
        <v>104</v>
      </c>
      <c r="J107" s="46">
        <v>106</v>
      </c>
      <c r="K107" s="46"/>
      <c r="L107" s="14"/>
      <c r="M107" s="14"/>
      <c r="N107" s="14">
        <v>21</v>
      </c>
      <c r="O107" s="46">
        <v>23</v>
      </c>
      <c r="P107" s="14"/>
      <c r="Q107" s="46"/>
      <c r="R107" s="14"/>
      <c r="S107" s="14"/>
      <c r="T107" s="14"/>
      <c r="U107" s="14">
        <v>18</v>
      </c>
      <c r="V107" s="44">
        <f t="shared" si="25"/>
        <v>402</v>
      </c>
    </row>
    <row r="108" spans="1:22" ht="11.25">
      <c r="A108" s="11" t="s">
        <v>255</v>
      </c>
      <c r="B108" s="80" t="s">
        <v>256</v>
      </c>
      <c r="C108" s="80"/>
      <c r="D108" s="62"/>
      <c r="E108" s="14">
        <v>17063</v>
      </c>
      <c r="F108" s="14">
        <v>11923</v>
      </c>
      <c r="G108" s="46">
        <v>12788.7</v>
      </c>
      <c r="H108" s="14">
        <v>47723.69</v>
      </c>
      <c r="I108" s="14">
        <v>23546.35</v>
      </c>
      <c r="J108" s="46">
        <v>15720.46</v>
      </c>
      <c r="K108" s="46">
        <v>21871.439999999999</v>
      </c>
      <c r="L108" s="14">
        <v>16648.97</v>
      </c>
      <c r="M108" s="14">
        <v>11914.29</v>
      </c>
      <c r="N108" s="46">
        <v>7654.77</v>
      </c>
      <c r="O108" s="46">
        <v>12113.78</v>
      </c>
      <c r="P108" s="14">
        <v>16617.12</v>
      </c>
      <c r="Q108" s="46">
        <v>13520</v>
      </c>
      <c r="R108" s="14">
        <v>5747.79</v>
      </c>
      <c r="S108" s="14">
        <v>11286</v>
      </c>
      <c r="T108" s="14">
        <v>6080</v>
      </c>
      <c r="U108" s="14">
        <v>5648</v>
      </c>
      <c r="V108" s="44">
        <f t="shared" si="25"/>
        <v>257867.36</v>
      </c>
    </row>
    <row r="109" spans="1:22" ht="11.25">
      <c r="A109" s="11" t="s">
        <v>257</v>
      </c>
      <c r="B109" s="80" t="s">
        <v>258</v>
      </c>
      <c r="C109" s="80"/>
      <c r="D109" s="62"/>
      <c r="E109" s="14">
        <v>15829</v>
      </c>
      <c r="F109" s="14">
        <v>10360</v>
      </c>
      <c r="G109" s="46">
        <v>10179</v>
      </c>
      <c r="H109" s="14">
        <v>16263</v>
      </c>
      <c r="I109" s="14">
        <v>19712</v>
      </c>
      <c r="J109" s="46">
        <v>11160</v>
      </c>
      <c r="K109" s="46">
        <v>15700</v>
      </c>
      <c r="L109" s="14">
        <v>11125</v>
      </c>
      <c r="M109" s="14">
        <v>8447.1</v>
      </c>
      <c r="N109" s="46">
        <v>5134</v>
      </c>
      <c r="O109" s="46">
        <v>4330</v>
      </c>
      <c r="P109" s="14">
        <v>6673</v>
      </c>
      <c r="Q109" s="46">
        <v>5045</v>
      </c>
      <c r="R109" s="14">
        <v>2519</v>
      </c>
      <c r="S109" s="14">
        <v>4627.34</v>
      </c>
      <c r="T109" s="14">
        <v>2500</v>
      </c>
      <c r="U109" s="14">
        <v>2320</v>
      </c>
      <c r="V109" s="44">
        <f t="shared" si="25"/>
        <v>151923.44</v>
      </c>
    </row>
    <row r="121" spans="8:12">
      <c r="H121" s="84"/>
      <c r="L121" s="84"/>
    </row>
    <row r="122" spans="8:12">
      <c r="H122" s="84"/>
      <c r="L122" s="84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浦江镇</vt:lpstr>
      <vt:lpstr>社区教育</vt:lpstr>
      <vt:lpstr>志愿者联盟</vt:lpstr>
      <vt:lpstr>保安经费</vt:lpstr>
      <vt:lpstr>浦江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2021-01-04T02:06:34Z</cp:lastPrinted>
  <dcterms:created xsi:type="dcterms:W3CDTF">2019-11-08T06:57:41Z</dcterms:created>
  <dcterms:modified xsi:type="dcterms:W3CDTF">2021-01-04T02:06:35Z</dcterms:modified>
</cp:coreProperties>
</file>