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浦江镇" sheetId="34" r:id="rId1"/>
    <sheet name="社区教育" sheetId="2" state="hidden" r:id="rId2"/>
    <sheet name="志愿者联盟" sheetId="3" state="hidden" r:id="rId3"/>
    <sheet name="保安经费" sheetId="32" state="hidden" r:id="rId4"/>
    <sheet name="浦江" sheetId="31" state="hidden" r:id="rId5"/>
  </sheets>
  <externalReferences>
    <externalReference r:id="rId6"/>
  </externalReferences>
  <definedNames>
    <definedName name="_xlnm.Print_Area" localSheetId="4">浦江!#REF!</definedName>
    <definedName name="_xlnm.Print_Titles" localSheetId="4">浦江!#REF!</definedName>
  </definedNames>
  <calcPr calcId="145621"/>
</workbook>
</file>

<file path=xl/calcChain.xml><?xml version="1.0" encoding="utf-8"?>
<calcChain xmlns="http://schemas.openxmlformats.org/spreadsheetml/2006/main">
  <c r="P110" i="31" l="1"/>
  <c r="W110" i="31" s="1"/>
  <c r="P109" i="31"/>
  <c r="W109" i="31" s="1"/>
  <c r="W108" i="31"/>
  <c r="W107" i="31"/>
  <c r="W106" i="31"/>
  <c r="W105" i="31"/>
  <c r="W104" i="31"/>
  <c r="W103" i="31"/>
  <c r="V102" i="31"/>
  <c r="U102" i="31"/>
  <c r="T102" i="31"/>
  <c r="S102" i="31"/>
  <c r="R102" i="31"/>
  <c r="Q102" i="31"/>
  <c r="P102" i="31"/>
  <c r="O102" i="31"/>
  <c r="N102" i="31"/>
  <c r="M102" i="31"/>
  <c r="L102" i="31"/>
  <c r="K102" i="31"/>
  <c r="J102" i="31"/>
  <c r="I102" i="31"/>
  <c r="H102" i="31"/>
  <c r="G102" i="31"/>
  <c r="F102" i="31"/>
  <c r="W102" i="31" s="1"/>
  <c r="E102" i="31"/>
  <c r="W101" i="31"/>
  <c r="W100" i="31"/>
  <c r="W99" i="31"/>
  <c r="W98" i="31"/>
  <c r="V97" i="31"/>
  <c r="U97" i="31"/>
  <c r="T97" i="31"/>
  <c r="S97" i="31"/>
  <c r="R97" i="31"/>
  <c r="Q97" i="31"/>
  <c r="P97" i="31"/>
  <c r="O97" i="31"/>
  <c r="N97" i="31"/>
  <c r="M97" i="31"/>
  <c r="L97" i="31"/>
  <c r="K97" i="31"/>
  <c r="J97" i="31"/>
  <c r="I97" i="31"/>
  <c r="H97" i="31"/>
  <c r="G97" i="31"/>
  <c r="F97" i="31"/>
  <c r="E97" i="31"/>
  <c r="W96" i="31"/>
  <c r="W95" i="31"/>
  <c r="V94" i="31"/>
  <c r="U94" i="31"/>
  <c r="T94" i="31"/>
  <c r="S94" i="31"/>
  <c r="R94" i="31"/>
  <c r="Q94" i="31"/>
  <c r="P94" i="31"/>
  <c r="O94" i="31"/>
  <c r="N94" i="31"/>
  <c r="M94" i="31"/>
  <c r="L94" i="31"/>
  <c r="K94" i="31"/>
  <c r="J94" i="31"/>
  <c r="I94" i="31"/>
  <c r="H94" i="31"/>
  <c r="G94" i="31"/>
  <c r="F94" i="31"/>
  <c r="E94" i="31"/>
  <c r="W93" i="31"/>
  <c r="V92" i="31"/>
  <c r="U92" i="31"/>
  <c r="T92" i="31"/>
  <c r="S92" i="31"/>
  <c r="R92" i="31"/>
  <c r="Q92" i="31"/>
  <c r="P92" i="31"/>
  <c r="O92" i="31"/>
  <c r="N92" i="31"/>
  <c r="M92" i="31"/>
  <c r="L92" i="31"/>
  <c r="K92" i="31"/>
  <c r="J92" i="31"/>
  <c r="I92" i="31"/>
  <c r="H92" i="31"/>
  <c r="G92" i="31"/>
  <c r="F92" i="31"/>
  <c r="E92" i="31"/>
  <c r="V91" i="31"/>
  <c r="V90" i="31" s="1"/>
  <c r="U91" i="31"/>
  <c r="U90" i="31" s="1"/>
  <c r="T91" i="31"/>
  <c r="T90" i="31" s="1"/>
  <c r="T86" i="31" s="1"/>
  <c r="S91" i="31"/>
  <c r="R91" i="31"/>
  <c r="Q91" i="31"/>
  <c r="Q90" i="31" s="1"/>
  <c r="P91" i="31"/>
  <c r="O91" i="31"/>
  <c r="N91" i="31"/>
  <c r="N90" i="31" s="1"/>
  <c r="M91" i="31"/>
  <c r="M90" i="31" s="1"/>
  <c r="L91" i="31"/>
  <c r="L90" i="31" s="1"/>
  <c r="L86" i="31" s="1"/>
  <c r="K91" i="31"/>
  <c r="J91" i="31"/>
  <c r="I91" i="31"/>
  <c r="I90" i="31" s="1"/>
  <c r="H91" i="31"/>
  <c r="G91" i="31"/>
  <c r="F91" i="31"/>
  <c r="F90" i="31" s="1"/>
  <c r="E91" i="31"/>
  <c r="E90" i="31" s="1"/>
  <c r="R90" i="31"/>
  <c r="P90" i="31"/>
  <c r="P86" i="31" s="1"/>
  <c r="J90" i="31"/>
  <c r="H90" i="31"/>
  <c r="H86" i="31" s="1"/>
  <c r="W89" i="31"/>
  <c r="W88" i="31"/>
  <c r="V87" i="31"/>
  <c r="V86" i="31" s="1"/>
  <c r="U87" i="31"/>
  <c r="T87" i="31"/>
  <c r="S87" i="31"/>
  <c r="R87" i="31"/>
  <c r="Q87" i="31"/>
  <c r="P87" i="31"/>
  <c r="O87" i="31"/>
  <c r="N87" i="31"/>
  <c r="N86" i="31" s="1"/>
  <c r="M87" i="31"/>
  <c r="L87" i="31"/>
  <c r="K87" i="31"/>
  <c r="J87" i="31"/>
  <c r="I87" i="31"/>
  <c r="H87" i="31"/>
  <c r="G87" i="31"/>
  <c r="F87" i="31"/>
  <c r="F86" i="31" s="1"/>
  <c r="E87" i="31"/>
  <c r="R86" i="31"/>
  <c r="J86" i="31"/>
  <c r="W85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V83" i="31"/>
  <c r="U83" i="31"/>
  <c r="U82" i="31" s="1"/>
  <c r="T83" i="31"/>
  <c r="T82" i="31" s="1"/>
  <c r="S83" i="31"/>
  <c r="S82" i="31" s="1"/>
  <c r="R83" i="31"/>
  <c r="Q83" i="31"/>
  <c r="Q82" i="31" s="1"/>
  <c r="P83" i="31"/>
  <c r="O83" i="31"/>
  <c r="O82" i="31" s="1"/>
  <c r="N83" i="31"/>
  <c r="M83" i="31"/>
  <c r="M82" i="31" s="1"/>
  <c r="L83" i="31"/>
  <c r="L82" i="31" s="1"/>
  <c r="K83" i="31"/>
  <c r="K82" i="31" s="1"/>
  <c r="J83" i="31"/>
  <c r="I83" i="31"/>
  <c r="I82" i="31" s="1"/>
  <c r="G83" i="31"/>
  <c r="G82" i="31" s="1"/>
  <c r="V82" i="31"/>
  <c r="R82" i="31"/>
  <c r="P82" i="31"/>
  <c r="N82" i="31"/>
  <c r="J82" i="31"/>
  <c r="V81" i="31"/>
  <c r="V80" i="31" s="1"/>
  <c r="U81" i="31"/>
  <c r="U80" i="31" s="1"/>
  <c r="T81" i="31"/>
  <c r="S81" i="31"/>
  <c r="S80" i="31" s="1"/>
  <c r="R81" i="31"/>
  <c r="Q81" i="31"/>
  <c r="Q80" i="31" s="1"/>
  <c r="P81" i="31"/>
  <c r="O81" i="31"/>
  <c r="O80" i="31" s="1"/>
  <c r="N81" i="31"/>
  <c r="N80" i="31" s="1"/>
  <c r="M81" i="31"/>
  <c r="M80" i="31" s="1"/>
  <c r="L81" i="31"/>
  <c r="K81" i="31"/>
  <c r="K80" i="31" s="1"/>
  <c r="J81" i="31"/>
  <c r="I81" i="31"/>
  <c r="I80" i="31" s="1"/>
  <c r="H81" i="31"/>
  <c r="G81" i="31"/>
  <c r="G80" i="31" s="1"/>
  <c r="F81" i="31"/>
  <c r="F80" i="31" s="1"/>
  <c r="E81" i="31"/>
  <c r="E80" i="31" s="1"/>
  <c r="T80" i="31"/>
  <c r="R80" i="31"/>
  <c r="P80" i="31"/>
  <c r="L80" i="31"/>
  <c r="J80" i="31"/>
  <c r="H80" i="31"/>
  <c r="W79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V77" i="31"/>
  <c r="U77" i="31"/>
  <c r="U76" i="31" s="1"/>
  <c r="T77" i="31"/>
  <c r="T76" i="31" s="1"/>
  <c r="S77" i="31"/>
  <c r="S76" i="31" s="1"/>
  <c r="R77" i="31"/>
  <c r="Q77" i="31"/>
  <c r="Q76" i="31" s="1"/>
  <c r="P77" i="31"/>
  <c r="O77" i="31"/>
  <c r="O76" i="31" s="1"/>
  <c r="N77" i="31"/>
  <c r="M77" i="31"/>
  <c r="M76" i="31" s="1"/>
  <c r="L77" i="31"/>
  <c r="L76" i="31" s="1"/>
  <c r="K77" i="31"/>
  <c r="K76" i="31" s="1"/>
  <c r="J77" i="31"/>
  <c r="I77" i="31"/>
  <c r="I76" i="31" s="1"/>
  <c r="H77" i="31"/>
  <c r="G77" i="31"/>
  <c r="G76" i="31" s="1"/>
  <c r="F77" i="31"/>
  <c r="E77" i="31"/>
  <c r="W77" i="31" s="1"/>
  <c r="V76" i="31"/>
  <c r="R76" i="31"/>
  <c r="P76" i="31"/>
  <c r="N76" i="31"/>
  <c r="J76" i="31"/>
  <c r="H76" i="31"/>
  <c r="F76" i="31"/>
  <c r="V75" i="31"/>
  <c r="U75" i="31"/>
  <c r="U74" i="31" s="1"/>
  <c r="T75" i="31"/>
  <c r="T74" i="31" s="1"/>
  <c r="T53" i="31" s="1"/>
  <c r="S75" i="31"/>
  <c r="S74" i="31" s="1"/>
  <c r="R75" i="31"/>
  <c r="Q75" i="31"/>
  <c r="Q74" i="31" s="1"/>
  <c r="P75" i="31"/>
  <c r="P74" i="31" s="1"/>
  <c r="O75" i="31"/>
  <c r="O74" i="31" s="1"/>
  <c r="N75" i="31"/>
  <c r="M75" i="31"/>
  <c r="M74" i="31" s="1"/>
  <c r="L75" i="31"/>
  <c r="L74" i="31" s="1"/>
  <c r="K75" i="31"/>
  <c r="K74" i="31" s="1"/>
  <c r="J75" i="31"/>
  <c r="I75" i="31"/>
  <c r="I74" i="31" s="1"/>
  <c r="H75" i="31"/>
  <c r="H74" i="31" s="1"/>
  <c r="G75" i="31"/>
  <c r="G74" i="31" s="1"/>
  <c r="F75" i="31"/>
  <c r="E75" i="31"/>
  <c r="E74" i="31" s="1"/>
  <c r="V74" i="31"/>
  <c r="R74" i="31"/>
  <c r="N74" i="31"/>
  <c r="J74" i="31"/>
  <c r="F74" i="31"/>
  <c r="V73" i="31"/>
  <c r="V72" i="31" s="1"/>
  <c r="V53" i="31" s="1"/>
  <c r="U73" i="31"/>
  <c r="U72" i="31" s="1"/>
  <c r="T73" i="31"/>
  <c r="S73" i="31"/>
  <c r="S72" i="31" s="1"/>
  <c r="R73" i="31"/>
  <c r="Q73" i="31"/>
  <c r="Q72" i="31" s="1"/>
  <c r="P73" i="31"/>
  <c r="O73" i="31"/>
  <c r="O72" i="31" s="1"/>
  <c r="N73" i="31"/>
  <c r="N72" i="31" s="1"/>
  <c r="N53" i="31" s="1"/>
  <c r="M73" i="31"/>
  <c r="M72" i="31" s="1"/>
  <c r="L73" i="31"/>
  <c r="K73" i="31"/>
  <c r="K72" i="31" s="1"/>
  <c r="J73" i="31"/>
  <c r="I73" i="31"/>
  <c r="I72" i="31" s="1"/>
  <c r="H73" i="31"/>
  <c r="G73" i="31"/>
  <c r="G72" i="31" s="1"/>
  <c r="F73" i="31"/>
  <c r="F72" i="31" s="1"/>
  <c r="E73" i="31"/>
  <c r="T72" i="31"/>
  <c r="R72" i="31"/>
  <c r="P72" i="31"/>
  <c r="L72" i="31"/>
  <c r="J72" i="31"/>
  <c r="H72" i="31"/>
  <c r="W71" i="31"/>
  <c r="P70" i="31"/>
  <c r="W70" i="31" s="1"/>
  <c r="R69" i="31"/>
  <c r="R54" i="31" s="1"/>
  <c r="Q69" i="31"/>
  <c r="W69" i="31" s="1"/>
  <c r="W68" i="31"/>
  <c r="W67" i="31"/>
  <c r="W66" i="31"/>
  <c r="W65" i="31"/>
  <c r="W64" i="31"/>
  <c r="W63" i="31"/>
  <c r="I62" i="31"/>
  <c r="W62" i="31" s="1"/>
  <c r="W61" i="31"/>
  <c r="W60" i="31"/>
  <c r="W59" i="31"/>
  <c r="W58" i="31"/>
  <c r="W57" i="31"/>
  <c r="W56" i="31"/>
  <c r="T55" i="31"/>
  <c r="P55" i="31"/>
  <c r="P54" i="31" s="1"/>
  <c r="L55" i="31"/>
  <c r="L54" i="31" s="1"/>
  <c r="L53" i="31" s="1"/>
  <c r="K55" i="31"/>
  <c r="E55" i="31"/>
  <c r="V54" i="31"/>
  <c r="U54" i="31"/>
  <c r="T54" i="31"/>
  <c r="S54" i="31"/>
  <c r="Q54" i="31"/>
  <c r="O54" i="31"/>
  <c r="N54" i="31"/>
  <c r="M54" i="31"/>
  <c r="K54" i="31"/>
  <c r="J54" i="31"/>
  <c r="J53" i="31" s="1"/>
  <c r="I54" i="31"/>
  <c r="H54" i="31"/>
  <c r="G54" i="31"/>
  <c r="F54" i="31"/>
  <c r="E54" i="31"/>
  <c r="W52" i="31"/>
  <c r="W51" i="31"/>
  <c r="W50" i="31"/>
  <c r="M49" i="31"/>
  <c r="M48" i="31" s="1"/>
  <c r="H49" i="31"/>
  <c r="H48" i="31" s="1"/>
  <c r="E49" i="31"/>
  <c r="E48" i="31" s="1"/>
  <c r="V48" i="31"/>
  <c r="U48" i="31"/>
  <c r="T48" i="31"/>
  <c r="S48" i="31"/>
  <c r="R48" i="31"/>
  <c r="Q48" i="31"/>
  <c r="P48" i="31"/>
  <c r="O48" i="31"/>
  <c r="N48" i="31"/>
  <c r="L48" i="31"/>
  <c r="K48" i="31"/>
  <c r="J48" i="31"/>
  <c r="I48" i="31"/>
  <c r="G48" i="31"/>
  <c r="F48" i="31"/>
  <c r="H47" i="31"/>
  <c r="F47" i="31"/>
  <c r="E47" i="31"/>
  <c r="E46" i="31" s="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W45" i="31"/>
  <c r="W44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W42" i="31"/>
  <c r="V41" i="31"/>
  <c r="U41" i="31"/>
  <c r="U32" i="31" s="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41" i="31" s="1"/>
  <c r="W40" i="31"/>
  <c r="W39" i="31"/>
  <c r="W38" i="31"/>
  <c r="W37" i="31"/>
  <c r="W36" i="31"/>
  <c r="W35" i="31"/>
  <c r="W34" i="31"/>
  <c r="V33" i="31"/>
  <c r="V32" i="31" s="1"/>
  <c r="U33" i="31"/>
  <c r="T33" i="31"/>
  <c r="S33" i="31"/>
  <c r="R33" i="31"/>
  <c r="R32" i="31" s="1"/>
  <c r="Q33" i="31"/>
  <c r="P33" i="31"/>
  <c r="O33" i="31"/>
  <c r="N33" i="31"/>
  <c r="N32" i="31" s="1"/>
  <c r="M33" i="31"/>
  <c r="L33" i="31"/>
  <c r="L32" i="31" s="1"/>
  <c r="K33" i="31"/>
  <c r="K32" i="31" s="1"/>
  <c r="J33" i="31"/>
  <c r="J32" i="31" s="1"/>
  <c r="I33" i="31"/>
  <c r="H33" i="31"/>
  <c r="G33" i="31"/>
  <c r="F33" i="31"/>
  <c r="W33" i="31" s="1"/>
  <c r="E33" i="31"/>
  <c r="S32" i="31"/>
  <c r="Q32" i="31"/>
  <c r="O32" i="31"/>
  <c r="I32" i="31"/>
  <c r="G32" i="31"/>
  <c r="W31" i="31"/>
  <c r="H30" i="31"/>
  <c r="H83" i="31" s="1"/>
  <c r="H82" i="31" s="1"/>
  <c r="F30" i="31"/>
  <c r="F83" i="31" s="1"/>
  <c r="F82" i="31" s="1"/>
  <c r="E30" i="31"/>
  <c r="E83" i="31" s="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V28" i="31"/>
  <c r="V27" i="31" s="1"/>
  <c r="U28" i="31"/>
  <c r="T28" i="31"/>
  <c r="T27" i="31" s="1"/>
  <c r="S28" i="31"/>
  <c r="R28" i="31"/>
  <c r="R27" i="31" s="1"/>
  <c r="Q28" i="31"/>
  <c r="P28" i="31"/>
  <c r="P27" i="31" s="1"/>
  <c r="O28" i="31"/>
  <c r="O27" i="31" s="1"/>
  <c r="N28" i="31"/>
  <c r="N27" i="31" s="1"/>
  <c r="M28" i="31"/>
  <c r="L28" i="31"/>
  <c r="L27" i="31" s="1"/>
  <c r="K28" i="31"/>
  <c r="J28" i="31"/>
  <c r="J27" i="31" s="1"/>
  <c r="I28" i="31"/>
  <c r="H28" i="31"/>
  <c r="H27" i="31" s="1"/>
  <c r="G28" i="31"/>
  <c r="G27" i="31" s="1"/>
  <c r="F28" i="31"/>
  <c r="F27" i="31" s="1"/>
  <c r="E28" i="31"/>
  <c r="E27" i="31" s="1"/>
  <c r="U27" i="31"/>
  <c r="S27" i="31"/>
  <c r="Q27" i="31"/>
  <c r="M27" i="31"/>
  <c r="K27" i="31"/>
  <c r="I27" i="31"/>
  <c r="V26" i="31"/>
  <c r="V25" i="31" s="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L26" i="31"/>
  <c r="L25" i="31" s="1"/>
  <c r="K26" i="31"/>
  <c r="J26" i="31"/>
  <c r="J25" i="31" s="1"/>
  <c r="I26" i="31"/>
  <c r="I25" i="31" s="1"/>
  <c r="H26" i="31"/>
  <c r="H25" i="31" s="1"/>
  <c r="G26" i="31"/>
  <c r="F26" i="31"/>
  <c r="E26" i="31"/>
  <c r="E25" i="31" s="1"/>
  <c r="S25" i="31"/>
  <c r="O25" i="31"/>
  <c r="K25" i="31"/>
  <c r="G25" i="31"/>
  <c r="V24" i="31"/>
  <c r="U24" i="31"/>
  <c r="T24" i="31"/>
  <c r="T22" i="31" s="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V23" i="31"/>
  <c r="V22" i="31" s="1"/>
  <c r="U23" i="31"/>
  <c r="T23" i="31"/>
  <c r="S23" i="31"/>
  <c r="R23" i="31"/>
  <c r="Q23" i="31"/>
  <c r="P23" i="31"/>
  <c r="O23" i="31"/>
  <c r="O22" i="31" s="1"/>
  <c r="N23" i="31"/>
  <c r="N22" i="31" s="1"/>
  <c r="M23" i="31"/>
  <c r="L23" i="31"/>
  <c r="K23" i="31"/>
  <c r="J23" i="31"/>
  <c r="I23" i="31"/>
  <c r="I22" i="31" s="1"/>
  <c r="H23" i="31"/>
  <c r="G23" i="31"/>
  <c r="G22" i="31" s="1"/>
  <c r="E23" i="31"/>
  <c r="S22" i="31"/>
  <c r="R22" i="31"/>
  <c r="K22" i="31"/>
  <c r="J22" i="31"/>
  <c r="V21" i="31"/>
  <c r="V20" i="31" s="1"/>
  <c r="U21" i="31"/>
  <c r="T21" i="31"/>
  <c r="T20" i="31" s="1"/>
  <c r="S21" i="31"/>
  <c r="S20" i="31" s="1"/>
  <c r="R21" i="31"/>
  <c r="R20" i="31" s="1"/>
  <c r="Q21" i="31"/>
  <c r="Q20" i="31" s="1"/>
  <c r="P21" i="31"/>
  <c r="P20" i="31" s="1"/>
  <c r="O21" i="31"/>
  <c r="O20" i="31" s="1"/>
  <c r="N21" i="31"/>
  <c r="N20" i="31" s="1"/>
  <c r="M21" i="31"/>
  <c r="L21" i="31"/>
  <c r="L20" i="31" s="1"/>
  <c r="K21" i="31"/>
  <c r="K20" i="31" s="1"/>
  <c r="J21" i="31"/>
  <c r="J20" i="31" s="1"/>
  <c r="I21" i="31"/>
  <c r="I20" i="31" s="1"/>
  <c r="H21" i="31"/>
  <c r="H20" i="31" s="1"/>
  <c r="G21" i="31"/>
  <c r="G20" i="31" s="1"/>
  <c r="F21" i="31"/>
  <c r="F20" i="31" s="1"/>
  <c r="E21" i="31"/>
  <c r="U20" i="31"/>
  <c r="M20" i="31"/>
  <c r="E20" i="31"/>
  <c r="W19" i="31"/>
  <c r="R18" i="31"/>
  <c r="P18" i="31"/>
  <c r="P17" i="31" s="1"/>
  <c r="E18" i="31"/>
  <c r="W18" i="31" s="1"/>
  <c r="V17" i="31"/>
  <c r="U17" i="31"/>
  <c r="T17" i="31"/>
  <c r="S17" i="31"/>
  <c r="R17" i="31"/>
  <c r="Q17" i="31"/>
  <c r="O17" i="31"/>
  <c r="N17" i="31"/>
  <c r="M17" i="31"/>
  <c r="L17" i="31"/>
  <c r="K17" i="31"/>
  <c r="J17" i="31"/>
  <c r="I17" i="31"/>
  <c r="H17" i="31"/>
  <c r="G17" i="31"/>
  <c r="F17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E16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V14" i="31"/>
  <c r="V13" i="31" s="1"/>
  <c r="U14" i="31"/>
  <c r="T14" i="31"/>
  <c r="S14" i="31"/>
  <c r="S13" i="31" s="1"/>
  <c r="R14" i="31"/>
  <c r="R13" i="31" s="1"/>
  <c r="Q14" i="31"/>
  <c r="P14" i="31"/>
  <c r="P13" i="31" s="1"/>
  <c r="O14" i="31"/>
  <c r="O13" i="31" s="1"/>
  <c r="N14" i="31"/>
  <c r="N13" i="31" s="1"/>
  <c r="M14" i="31"/>
  <c r="L14" i="31"/>
  <c r="K14" i="31"/>
  <c r="K13" i="31" s="1"/>
  <c r="J14" i="31"/>
  <c r="J13" i="31" s="1"/>
  <c r="I14" i="31"/>
  <c r="H14" i="31"/>
  <c r="H13" i="31" s="1"/>
  <c r="G14" i="31"/>
  <c r="G13" i="31" s="1"/>
  <c r="F14" i="31"/>
  <c r="E14" i="31"/>
  <c r="U13" i="31"/>
  <c r="T13" i="31"/>
  <c r="Q13" i="31"/>
  <c r="M13" i="31"/>
  <c r="L13" i="31"/>
  <c r="I13" i="31"/>
  <c r="E13" i="31"/>
  <c r="V12" i="31"/>
  <c r="U12" i="31"/>
  <c r="T12" i="31"/>
  <c r="S12" i="31"/>
  <c r="R12" i="31"/>
  <c r="R10" i="31" s="1"/>
  <c r="R8" i="31" s="1"/>
  <c r="Q12" i="31"/>
  <c r="P12" i="31"/>
  <c r="O12" i="31"/>
  <c r="N12" i="31"/>
  <c r="M12" i="31"/>
  <c r="L12" i="31"/>
  <c r="K12" i="31"/>
  <c r="J12" i="31"/>
  <c r="J10" i="31" s="1"/>
  <c r="J8" i="31" s="1"/>
  <c r="I12" i="31"/>
  <c r="H12" i="31"/>
  <c r="G12" i="31"/>
  <c r="F12" i="31"/>
  <c r="E12" i="31"/>
  <c r="V11" i="31"/>
  <c r="U11" i="31"/>
  <c r="U10" i="31" s="1"/>
  <c r="U8" i="31" s="1"/>
  <c r="T11" i="31"/>
  <c r="T10" i="31" s="1"/>
  <c r="T8" i="31" s="1"/>
  <c r="S11" i="31"/>
  <c r="R11" i="31"/>
  <c r="Q11" i="31"/>
  <c r="P11" i="31"/>
  <c r="P10" i="31" s="1"/>
  <c r="P8" i="31" s="1"/>
  <c r="O11" i="31"/>
  <c r="N11" i="31"/>
  <c r="M11" i="31"/>
  <c r="M10" i="31" s="1"/>
  <c r="M8" i="31" s="1"/>
  <c r="L11" i="31"/>
  <c r="L10" i="31" s="1"/>
  <c r="L8" i="31" s="1"/>
  <c r="K11" i="31"/>
  <c r="J11" i="31"/>
  <c r="I11" i="31"/>
  <c r="H11" i="31"/>
  <c r="H10" i="31" s="1"/>
  <c r="G11" i="31"/>
  <c r="F11" i="31"/>
  <c r="E11" i="31"/>
  <c r="E10" i="31" s="1"/>
  <c r="E8" i="31" s="1"/>
  <c r="V10" i="31"/>
  <c r="V8" i="31" s="1"/>
  <c r="Q10" i="31"/>
  <c r="Q8" i="31" s="1"/>
  <c r="N10" i="31"/>
  <c r="N8" i="31" s="1"/>
  <c r="I10" i="31"/>
  <c r="I8" i="31" s="1"/>
  <c r="F10" i="31"/>
  <c r="M9" i="31"/>
  <c r="H9" i="31"/>
  <c r="F9" i="31"/>
  <c r="F8" i="31" s="1"/>
  <c r="E9" i="31"/>
  <c r="M7" i="31"/>
  <c r="H7" i="31"/>
  <c r="F7" i="31"/>
  <c r="E7" i="31"/>
  <c r="M6" i="31"/>
  <c r="M5" i="31" s="1"/>
  <c r="H6" i="31"/>
  <c r="F6" i="31"/>
  <c r="E6" i="31"/>
  <c r="V5" i="31"/>
  <c r="U5" i="31"/>
  <c r="T5" i="31"/>
  <c r="S5" i="31"/>
  <c r="R5" i="31"/>
  <c r="Q5" i="31"/>
  <c r="P5" i="31"/>
  <c r="O5" i="31"/>
  <c r="N5" i="31"/>
  <c r="L5" i="31"/>
  <c r="K5" i="31"/>
  <c r="J5" i="31"/>
  <c r="I5" i="31"/>
  <c r="G5" i="31"/>
  <c r="F5" i="31"/>
  <c r="W20" i="31" l="1"/>
  <c r="F53" i="31"/>
  <c r="W97" i="31"/>
  <c r="W6" i="31"/>
  <c r="W21" i="31"/>
  <c r="W24" i="31"/>
  <c r="W26" i="31"/>
  <c r="W29" i="31"/>
  <c r="H53" i="31"/>
  <c r="W47" i="31"/>
  <c r="M32" i="31"/>
  <c r="P53" i="31"/>
  <c r="W74" i="31"/>
  <c r="G90" i="31"/>
  <c r="G86" i="31" s="1"/>
  <c r="K90" i="31"/>
  <c r="K86" i="31" s="1"/>
  <c r="K53" i="31" s="1"/>
  <c r="O90" i="31"/>
  <c r="O86" i="31" s="1"/>
  <c r="O53" i="31" s="1"/>
  <c r="S90" i="31"/>
  <c r="S86" i="31" s="1"/>
  <c r="S53" i="31" s="1"/>
  <c r="S3" i="31" s="1"/>
  <c r="W94" i="31"/>
  <c r="S4" i="31"/>
  <c r="W14" i="31"/>
  <c r="W15" i="31"/>
  <c r="H22" i="31"/>
  <c r="L22" i="31"/>
  <c r="P22" i="31"/>
  <c r="W30" i="31"/>
  <c r="H32" i="31"/>
  <c r="P32" i="31"/>
  <c r="T32" i="31"/>
  <c r="R53" i="31"/>
  <c r="W73" i="31"/>
  <c r="W78" i="31"/>
  <c r="W84" i="31"/>
  <c r="E86" i="31"/>
  <c r="I86" i="31"/>
  <c r="M86" i="31"/>
  <c r="Q86" i="31"/>
  <c r="Q53" i="31" s="1"/>
  <c r="U86" i="31"/>
  <c r="U53" i="31" s="1"/>
  <c r="U3" i="31" s="1"/>
  <c r="W92" i="31"/>
  <c r="O4" i="31"/>
  <c r="W7" i="31"/>
  <c r="H5" i="31"/>
  <c r="W9" i="31"/>
  <c r="W11" i="31"/>
  <c r="K10" i="31"/>
  <c r="K8" i="31" s="1"/>
  <c r="O10" i="31"/>
  <c r="O8" i="31" s="1"/>
  <c r="S10" i="31"/>
  <c r="S8" i="31" s="1"/>
  <c r="W12" i="31"/>
  <c r="E17" i="31"/>
  <c r="I4" i="31"/>
  <c r="M22" i="31"/>
  <c r="M4" i="31" s="1"/>
  <c r="Q22" i="31"/>
  <c r="Q4" i="31" s="1"/>
  <c r="Q3" i="31" s="1"/>
  <c r="U22" i="31"/>
  <c r="U4" i="31" s="1"/>
  <c r="W28" i="31"/>
  <c r="W43" i="31"/>
  <c r="W55" i="31"/>
  <c r="W83" i="31"/>
  <c r="E82" i="31"/>
  <c r="W82" i="31" s="1"/>
  <c r="E32" i="31"/>
  <c r="W48" i="31"/>
  <c r="L4" i="31"/>
  <c r="L3" i="31" s="1"/>
  <c r="J4" i="31"/>
  <c r="J3" i="31" s="1"/>
  <c r="N4" i="31"/>
  <c r="N3" i="31" s="1"/>
  <c r="R4" i="31"/>
  <c r="R3" i="31" s="1"/>
  <c r="V4" i="31"/>
  <c r="V3" i="31" s="1"/>
  <c r="W17" i="31"/>
  <c r="I3" i="31"/>
  <c r="W90" i="31"/>
  <c r="K4" i="31"/>
  <c r="P4" i="31"/>
  <c r="P3" i="31" s="1"/>
  <c r="T4" i="31"/>
  <c r="T3" i="31" s="1"/>
  <c r="W27" i="31"/>
  <c r="W54" i="31"/>
  <c r="I53" i="31"/>
  <c r="M53" i="31"/>
  <c r="W80" i="31"/>
  <c r="H8" i="31"/>
  <c r="H4" i="31" s="1"/>
  <c r="H3" i="31" s="1"/>
  <c r="E5" i="31"/>
  <c r="F16" i="31"/>
  <c r="F13" i="31" s="1"/>
  <c r="E22" i="31"/>
  <c r="F23" i="31"/>
  <c r="F22" i="31" s="1"/>
  <c r="F46" i="31"/>
  <c r="W46" i="31" s="1"/>
  <c r="W49" i="31"/>
  <c r="E72" i="31"/>
  <c r="W72" i="31" s="1"/>
  <c r="E76" i="31"/>
  <c r="W76" i="31" s="1"/>
  <c r="G10" i="31"/>
  <c r="G8" i="31" s="1"/>
  <c r="W8" i="31" s="1"/>
  <c r="W75" i="31"/>
  <c r="W81" i="31"/>
  <c r="W87" i="31"/>
  <c r="W91" i="31"/>
  <c r="F25" i="31"/>
  <c r="W25" i="31" s="1"/>
  <c r="F32" i="31"/>
  <c r="G53" i="31" l="1"/>
  <c r="W86" i="31"/>
  <c r="E53" i="31"/>
  <c r="W22" i="31"/>
  <c r="M3" i="31"/>
  <c r="W16" i="31"/>
  <c r="W32" i="31"/>
  <c r="C6" i="34" s="1"/>
  <c r="E6" i="34" s="1"/>
  <c r="O3" i="31"/>
  <c r="K3" i="31"/>
  <c r="F4" i="31"/>
  <c r="F3" i="31" s="1"/>
  <c r="W13" i="31"/>
  <c r="E4" i="31"/>
  <c r="W5" i="31"/>
  <c r="G4" i="31"/>
  <c r="G3" i="31" s="1"/>
  <c r="W23" i="31"/>
  <c r="W10" i="31"/>
  <c r="W53" i="31" l="1"/>
  <c r="C5" i="34" s="1"/>
  <c r="E5" i="34" s="1"/>
  <c r="E3" i="31"/>
  <c r="W3" i="31" s="1"/>
  <c r="W4" i="31"/>
  <c r="C4" i="34" s="1"/>
  <c r="M4" i="32"/>
  <c r="N4" i="32"/>
  <c r="O4" i="32"/>
  <c r="P4" i="32"/>
  <c r="L3" i="32"/>
  <c r="Q3" i="32" s="1"/>
  <c r="Q4" i="32" s="1"/>
  <c r="C9" i="34" s="1"/>
  <c r="K4" i="32"/>
  <c r="J4" i="32"/>
  <c r="I4" i="32"/>
  <c r="H4" i="32"/>
  <c r="G4" i="32"/>
  <c r="F4" i="32"/>
  <c r="E4" i="32"/>
  <c r="D4" i="32"/>
  <c r="D9" i="34" l="1"/>
  <c r="D10" i="34" s="1"/>
  <c r="E9" i="34"/>
  <c r="L4" i="32"/>
  <c r="E4" i="34"/>
  <c r="C4" i="3"/>
  <c r="C8" i="34" s="1"/>
  <c r="E8" i="34" s="1"/>
  <c r="B4" i="2"/>
  <c r="C3" i="2"/>
  <c r="C4" i="2" l="1"/>
  <c r="C7" i="34" s="1"/>
  <c r="E7" i="34" l="1"/>
  <c r="E10" i="34" s="1"/>
  <c r="C10" i="34"/>
</calcChain>
</file>

<file path=xl/sharedStrings.xml><?xml version="1.0" encoding="utf-8"?>
<sst xmlns="http://schemas.openxmlformats.org/spreadsheetml/2006/main" count="349" uniqueCount="240">
  <si>
    <t>序号</t>
  </si>
  <si>
    <t>合计</t>
    <phoneticPr fontId="1" type="noConversion"/>
  </si>
  <si>
    <t>镇属</t>
    <phoneticPr fontId="1" type="noConversion"/>
  </si>
  <si>
    <t>浦江</t>
  </si>
  <si>
    <t>序号</t>
    <phoneticPr fontId="2" type="noConversion"/>
  </si>
  <si>
    <t>浦江镇社区学校</t>
    <phoneticPr fontId="2" type="noConversion"/>
  </si>
  <si>
    <t>镇级合计</t>
    <phoneticPr fontId="2" type="noConversion"/>
  </si>
  <si>
    <t>合计</t>
  </si>
  <si>
    <t>浦江三小</t>
  </si>
  <si>
    <t>浦航幼儿园</t>
  </si>
  <si>
    <t>浦江社校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</si>
  <si>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</si>
  <si>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</si>
  <si>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</si>
  <si>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</si>
  <si>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</si>
  <si>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</si>
  <si>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</si>
  <si>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浦江合计</t>
    <phoneticPr fontId="1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</si>
  <si>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</si>
  <si>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</si>
  <si>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</si>
  <si>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</si>
  <si>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</si>
  <si>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</si>
  <si>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</si>
  <si>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</si>
  <si>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</si>
  <si>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</si>
  <si>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</si>
  <si>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</si>
  <si>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</si>
  <si>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</si>
  <si>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</si>
  <si>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</si>
  <si>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</si>
  <si>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</si>
  <si>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</si>
  <si>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</si>
  <si>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</si>
  <si>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</si>
  <si>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</si>
  <si>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</si>
  <si>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</si>
  <si>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</si>
  <si>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</si>
  <si>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</si>
  <si>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</si>
  <si>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</si>
  <si>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</si>
  <si>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</si>
  <si>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</si>
  <si>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</si>
  <si>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</si>
  <si>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</si>
  <si>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</si>
  <si>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</si>
  <si>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</si>
  <si>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</si>
  <si>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</si>
  <si>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</si>
  <si>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</si>
  <si>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</si>
  <si>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</si>
  <si>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</si>
  <si>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</si>
  <si>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</si>
  <si>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</si>
  <si>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</si>
  <si>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</si>
  <si>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</si>
  <si>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</si>
  <si>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</si>
  <si>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</si>
  <si>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</si>
  <si>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</si>
  <si>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</si>
  <si>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</si>
  <si>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</si>
  <si>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</si>
  <si>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</si>
  <si>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</si>
  <si>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</si>
  <si>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</si>
  <si>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</si>
  <si>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</si>
  <si>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</si>
  <si>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</si>
  <si>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</si>
  <si>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</si>
  <si>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</si>
  <si>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</si>
  <si>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</si>
  <si>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</si>
  <si>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抚恤金</t>
  </si>
  <si>
    <t>　　　　1、抚恤金</t>
  </si>
  <si>
    <t>年初预算为0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</si>
  <si>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</si>
  <si>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</si>
  <si>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</si>
  <si>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</si>
  <si>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</si>
  <si>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</si>
  <si>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</si>
  <si>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</si>
  <si>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</si>
  <si>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</si>
  <si>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</si>
  <si>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</si>
  <si>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</si>
  <si>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</si>
  <si>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</si>
  <si>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</si>
  <si>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</si>
  <si>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</si>
  <si>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</si>
  <si>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</si>
  <si>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</si>
  <si>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</si>
  <si>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</si>
  <si>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</si>
  <si>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</si>
  <si>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</si>
  <si>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</si>
  <si>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</si>
  <si>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</si>
  <si>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</si>
  <si>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</si>
  <si>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</si>
  <si>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</si>
  <si>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</si>
  <si>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</si>
  <si>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</si>
  <si>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</si>
  <si>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</si>
  <si>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</si>
  <si>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</si>
  <si>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</si>
  <si>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</si>
  <si>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</si>
  <si>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</si>
  <si>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</si>
  <si>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</si>
  <si>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</si>
  <si>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</si>
  <si>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</si>
  <si>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</si>
  <si>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</si>
  <si>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</si>
  <si>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</si>
  <si>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</si>
  <si>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</si>
  <si>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</si>
  <si>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</si>
  <si>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</si>
  <si>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</si>
  <si>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</si>
  <si>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</si>
  <si>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</si>
  <si>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</si>
  <si>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</si>
  <si>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</si>
  <si>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</si>
  <si>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</si>
  <si>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</si>
  <si>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</si>
  <si>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</si>
  <si>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</si>
  <si>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</si>
  <si>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</si>
  <si>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</si>
  <si>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</si>
  <si>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值班单价</t>
    <phoneticPr fontId="1" type="noConversion"/>
  </si>
  <si>
    <t>二小</t>
  </si>
  <si>
    <t>上戏附校</t>
  </si>
  <si>
    <t>浦江二幼</t>
  </si>
  <si>
    <t>单位</t>
    <phoneticPr fontId="1" type="noConversion"/>
  </si>
  <si>
    <t>公办成人</t>
    <phoneticPr fontId="1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</si>
  <si>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</si>
  <si>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</si>
  <si>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所属街镇</t>
    <phoneticPr fontId="1" type="noConversion"/>
  </si>
  <si>
    <t>校区               门数</t>
  </si>
  <si>
    <t>在岗人数</t>
  </si>
  <si>
    <t>值班单价</t>
  </si>
  <si>
    <t>值班金额</t>
  </si>
  <si>
    <t>叠加门数</t>
  </si>
  <si>
    <t>叠加门次（210天）</t>
  </si>
  <si>
    <t>叠加金额</t>
  </si>
  <si>
    <t>2021合同</t>
    <phoneticPr fontId="1" type="noConversion"/>
  </si>
  <si>
    <t>2022年1-3月
支付</t>
    <phoneticPr fontId="1" type="noConversion"/>
  </si>
  <si>
    <t>2022年1-12月支付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</si>
  <si>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1" type="noConversion"/>
  </si>
  <si>
    <r>
      <rPr>
        <sz val="11"/>
        <rFont val="宋体"/>
        <family val="3"/>
        <charset val="134"/>
      </rPr>
      <t>在岗人数</t>
    </r>
    <phoneticPr fontId="1" type="noConversion"/>
  </si>
  <si>
    <t>合计</t>
    <phoneticPr fontId="1" type="noConversion"/>
  </si>
  <si>
    <t>2022年镇级单位保安经费调整预算表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</si>
  <si>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2</t>
    </r>
    <r>
      <rPr>
        <b/>
        <sz val="20"/>
        <color indexed="8"/>
        <rFont val="宋体"/>
        <family val="3"/>
        <charset val="134"/>
      </rPr>
      <t>年基本支出预算表</t>
    </r>
    <phoneticPr fontId="23" type="noConversion"/>
  </si>
  <si>
    <t>　　　　1、残疾人就业保障金1.5%</t>
    <phoneticPr fontId="23" type="noConversion"/>
  </si>
  <si>
    <t>　　　　2、工伤保险费0.256%</t>
    <phoneticPr fontId="23" type="noConversion"/>
  </si>
  <si>
    <t>　　　　3、失业保险0.5%</t>
    <phoneticPr fontId="23" type="noConversion"/>
  </si>
  <si>
    <t xml:space="preserve">        1、医疗保险费10.5%</t>
    <phoneticPr fontId="23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</si>
  <si>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</si>
  <si>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</si>
  <si>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3" type="noConversion"/>
  </si>
  <si>
    <t>根据人事口径按实编制</t>
    <phoneticPr fontId="23" type="noConversion"/>
  </si>
  <si>
    <t>其他工资福利</t>
    <phoneticPr fontId="23" type="noConversion"/>
  </si>
  <si>
    <t>其他</t>
    <phoneticPr fontId="23" type="noConversion"/>
  </si>
  <si>
    <t>年初预算为0</t>
    <phoneticPr fontId="23" type="noConversion"/>
  </si>
  <si>
    <t xml:space="preserve">       10、培训费</t>
    <phoneticPr fontId="23" type="noConversion"/>
  </si>
  <si>
    <t>主款项</t>
    <phoneticPr fontId="23" type="noConversion"/>
  </si>
  <si>
    <t>填写2021年9月在编教职工人数</t>
    <phoneticPr fontId="23" type="noConversion"/>
  </si>
  <si>
    <t>填写2021年秋季学期学生人数，以招办人数为准</t>
    <phoneticPr fontId="23" type="noConversion"/>
  </si>
  <si>
    <t>生均定额5%</t>
    <phoneticPr fontId="23" type="noConversion"/>
  </si>
  <si>
    <t>浦江二中</t>
    <phoneticPr fontId="23" type="noConversion"/>
  </si>
  <si>
    <t>浦江三中</t>
    <phoneticPr fontId="23" type="noConversion"/>
  </si>
  <si>
    <t>浦航实中</t>
  </si>
  <si>
    <t>世外浦江学校</t>
  </si>
  <si>
    <t>浦汇小学</t>
    <phoneticPr fontId="23" type="noConversion"/>
  </si>
  <si>
    <t>汇秀小学</t>
    <phoneticPr fontId="23" type="noConversion"/>
  </si>
  <si>
    <t>浦江三幼</t>
  </si>
  <si>
    <t>宝邸幼儿园</t>
  </si>
  <si>
    <t>浦莲幼儿园</t>
    <phoneticPr fontId="23" type="noConversion"/>
  </si>
  <si>
    <t>浦江瑞和城幼儿园</t>
  </si>
  <si>
    <t>闸航路幼儿园</t>
    <phoneticPr fontId="23" type="noConversion"/>
  </si>
  <si>
    <t>浦瑞幼儿园</t>
  </si>
  <si>
    <t>浦江镇社区学校</t>
    <phoneticPr fontId="23" type="noConversion"/>
  </si>
  <si>
    <t>公式计算</t>
    <phoneticPr fontId="23" type="noConversion"/>
  </si>
  <si>
    <t>浦江镇：</t>
    <phoneticPr fontId="2" type="noConversion"/>
  </si>
  <si>
    <t>项目</t>
    <phoneticPr fontId="2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</si>
  <si>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</si>
  <si>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</si>
  <si>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</si>
  <si>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</si>
  <si>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</si>
  <si>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保安经费</t>
    <phoneticPr fontId="1" type="noConversion"/>
  </si>
  <si>
    <t>合计</t>
    <phoneticPr fontId="2" type="noConversion"/>
  </si>
  <si>
    <t>2022年教育统筹经费第一次分配明细表</t>
    <phoneticPr fontId="1" type="noConversion"/>
  </si>
  <si>
    <t>单位：元</t>
    <phoneticPr fontId="2" type="noConversion"/>
  </si>
  <si>
    <t>一次分配合计</t>
    <phoneticPr fontId="1" type="noConversion"/>
  </si>
  <si>
    <t>代扣教育局</t>
    <phoneticPr fontId="1" type="noConversion"/>
  </si>
  <si>
    <t>实际下达乡镇（工业区）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</si>
</sst>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color theme="1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43" fontId="12" fillId="0" borderId="0" applyFont="0" applyFill="0" applyBorder="0" applyAlignment="0" applyProtection="0">
      <alignment vertical="center"/>
    </xf>
    <xf numFmtId="0" fontId="7" fillId="0" borderId="0"/>
    <xf numFmtId="0" fontId="21" fillId="0" borderId="0"/>
  </cellStyleXfs>
  <cellXfs count="98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7" fillId="3" borderId="1" xfId="16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 wrapText="1"/>
    </xf>
    <xf numFmtId="0" fontId="14" fillId="4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3" fontId="18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 wrapText="1"/>
    </xf>
    <xf numFmtId="178" fontId="20" fillId="4" borderId="1" xfId="16" applyNumberFormat="1" applyFont="1" applyFill="1" applyBorder="1" applyAlignment="1">
      <alignment horizontal="center" vertical="center"/>
    </xf>
    <xf numFmtId="43" fontId="20" fillId="4" borderId="1" xfId="16" applyFont="1" applyFill="1" applyBorder="1" applyAlignment="1">
      <alignment horizontal="center" vertical="center"/>
    </xf>
    <xf numFmtId="176" fontId="20" fillId="4" borderId="1" xfId="0" applyNumberFormat="1" applyFont="1" applyFill="1" applyBorder="1" applyAlignment="1">
      <alignment horizontal="right" vertical="center"/>
    </xf>
    <xf numFmtId="0" fontId="18" fillId="4" borderId="0" xfId="0" applyNumberFormat="1" applyFont="1" applyFill="1" applyAlignment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77" fontId="23" fillId="4" borderId="4" xfId="0" applyNumberFormat="1" applyFont="1" applyFill="1" applyBorder="1" applyAlignment="1" applyProtection="1">
      <protection locked="0"/>
    </xf>
    <xf numFmtId="177" fontId="27" fillId="4" borderId="5" xfId="0" applyNumberFormat="1" applyFont="1" applyFill="1" applyBorder="1" applyAlignment="1" applyProtection="1">
      <protection locked="0"/>
    </xf>
    <xf numFmtId="0" fontId="23" fillId="4" borderId="0" xfId="0" applyFont="1" applyFill="1" applyAlignment="1" applyProtection="1">
      <protection locked="0"/>
    </xf>
    <xf numFmtId="0" fontId="25" fillId="4" borderId="5" xfId="0" applyNumberFormat="1" applyFont="1" applyFill="1" applyBorder="1" applyAlignment="1" applyProtection="1">
      <alignment horizontal="center" vertical="center"/>
      <protection locked="0"/>
    </xf>
    <xf numFmtId="0" fontId="2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5" xfId="0" applyNumberFormat="1" applyFont="1" applyFill="1" applyBorder="1" applyAlignment="1" applyProtection="1">
      <alignment horizontal="center"/>
      <protection locked="0"/>
    </xf>
    <xf numFmtId="49" fontId="26" fillId="4" borderId="5" xfId="0" applyNumberFormat="1" applyFont="1" applyFill="1" applyBorder="1" applyAlignment="1" applyProtection="1">
      <protection locked="0"/>
    </xf>
    <xf numFmtId="49" fontId="26" fillId="4" borderId="5" xfId="0" applyNumberFormat="1" applyFont="1" applyFill="1" applyBorder="1" applyAlignment="1" applyProtection="1">
      <alignment wrapText="1"/>
      <protection locked="0"/>
    </xf>
    <xf numFmtId="177" fontId="27" fillId="4" borderId="5" xfId="0" applyNumberFormat="1" applyFont="1" applyFill="1" applyBorder="1" applyAlignment="1" applyProtection="1"/>
    <xf numFmtId="49" fontId="27" fillId="4" borderId="5" xfId="0" applyNumberFormat="1" applyFont="1" applyFill="1" applyBorder="1" applyAlignment="1" applyProtection="1">
      <alignment wrapText="1"/>
      <protection locked="0"/>
    </xf>
    <xf numFmtId="49" fontId="27" fillId="4" borderId="5" xfId="0" applyNumberFormat="1" applyFont="1" applyFill="1" applyBorder="1" applyAlignment="1" applyProtection="1">
      <alignment horizontal="left" wrapText="1"/>
      <protection locked="0"/>
    </xf>
    <xf numFmtId="49" fontId="27" fillId="4" borderId="5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protection locked="0"/>
    </xf>
    <xf numFmtId="49" fontId="23" fillId="4" borderId="5" xfId="0" applyNumberFormat="1" applyFont="1" applyFill="1" applyBorder="1" applyAlignment="1" applyProtection="1">
      <protection locked="0"/>
    </xf>
    <xf numFmtId="49" fontId="23" fillId="4" borderId="5" xfId="0" applyNumberFormat="1" applyFont="1" applyFill="1" applyBorder="1" applyAlignment="1" applyProtection="1">
      <alignment wrapText="1"/>
      <protection locked="0"/>
    </xf>
    <xf numFmtId="177" fontId="23" fillId="4" borderId="5" xfId="0" applyNumberFormat="1" applyFont="1" applyFill="1" applyBorder="1" applyAlignment="1" applyProtection="1">
      <protection locked="0"/>
    </xf>
    <xf numFmtId="177" fontId="23" fillId="4" borderId="5" xfId="0" applyNumberFormat="1" applyFont="1" applyFill="1" applyBorder="1" applyAlignment="1" applyProtection="1"/>
    <xf numFmtId="178" fontId="27" fillId="4" borderId="5" xfId="0" applyNumberFormat="1" applyFont="1" applyFill="1" applyBorder="1" applyAlignment="1" applyProtection="1">
      <protection locked="0"/>
    </xf>
    <xf numFmtId="0" fontId="23" fillId="4" borderId="5" xfId="0" applyFont="1" applyFill="1" applyBorder="1" applyAlignment="1" applyProtection="1">
      <alignment wrapText="1"/>
      <protection locked="0"/>
    </xf>
    <xf numFmtId="43" fontId="28" fillId="4" borderId="5" xfId="16" applyNumberFormat="1" applyFont="1" applyFill="1" applyBorder="1" applyAlignment="1" applyProtection="1">
      <protection locked="0"/>
    </xf>
    <xf numFmtId="0" fontId="27" fillId="4" borderId="5" xfId="0" applyFont="1" applyFill="1" applyBorder="1" applyAlignment="1" applyProtection="1">
      <alignment wrapText="1"/>
      <protection locked="0"/>
    </xf>
    <xf numFmtId="178" fontId="23" fillId="4" borderId="5" xfId="0" applyNumberFormat="1" applyFont="1" applyFill="1" applyBorder="1" applyAlignment="1" applyProtection="1">
      <protection locked="0"/>
    </xf>
    <xf numFmtId="49" fontId="26" fillId="4" borderId="4" xfId="0" applyNumberFormat="1" applyFont="1" applyFill="1" applyBorder="1" applyAlignment="1" applyProtection="1">
      <alignment vertical="center"/>
      <protection locked="0"/>
    </xf>
    <xf numFmtId="0" fontId="23" fillId="4" borderId="4" xfId="0" applyFont="1" applyFill="1" applyBorder="1" applyAlignment="1" applyProtection="1">
      <alignment wrapText="1"/>
      <protection locked="0"/>
    </xf>
    <xf numFmtId="49" fontId="23" fillId="4" borderId="4" xfId="0" applyNumberFormat="1" applyFont="1" applyFill="1" applyBorder="1" applyAlignment="1" applyProtection="1">
      <alignment wrapText="1"/>
      <protection locked="0"/>
    </xf>
    <xf numFmtId="49" fontId="26" fillId="4" borderId="3" xfId="0" applyNumberFormat="1" applyFont="1" applyFill="1" applyBorder="1" applyAlignment="1" applyProtection="1">
      <alignment vertical="center"/>
      <protection locked="0"/>
    </xf>
    <xf numFmtId="0" fontId="23" fillId="4" borderId="3" xfId="0" applyFont="1" applyFill="1" applyBorder="1" applyAlignment="1" applyProtection="1">
      <alignment wrapText="1"/>
      <protection locked="0"/>
    </xf>
    <xf numFmtId="177" fontId="23" fillId="4" borderId="3" xfId="0" applyNumberFormat="1" applyFont="1" applyFill="1" applyBorder="1" applyAlignment="1" applyProtection="1">
      <protection locked="0"/>
    </xf>
    <xf numFmtId="49" fontId="23" fillId="4" borderId="3" xfId="0" applyNumberFormat="1" applyFont="1" applyFill="1" applyBorder="1" applyAlignment="1" applyProtection="1">
      <alignment wrapText="1"/>
      <protection locked="0"/>
    </xf>
    <xf numFmtId="49" fontId="26" fillId="4" borderId="5" xfId="0" applyNumberFormat="1" applyFont="1" applyFill="1" applyBorder="1" applyAlignment="1" applyProtection="1">
      <alignment horizontal="left"/>
      <protection locked="0"/>
    </xf>
    <xf numFmtId="176" fontId="23" fillId="4" borderId="5" xfId="0" applyNumberFormat="1" applyFont="1" applyFill="1" applyBorder="1" applyAlignment="1" applyProtection="1"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0" xfId="0" applyFont="1" applyFill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31" fillId="0" borderId="5" xfId="0" applyNumberFormat="1" applyFont="1" applyBorder="1" applyAlignment="1">
      <alignment horizontal="center" vertical="center"/>
    </xf>
    <xf numFmtId="0" fontId="31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43" fontId="0" fillId="0" borderId="1" xfId="3" applyFont="1" applyBorder="1" applyAlignment="1">
      <alignment vertical="center"/>
    </xf>
    <xf numFmtId="43" fontId="0" fillId="2" borderId="1" xfId="3" applyFont="1" applyFill="1" applyBorder="1" applyAlignment="1">
      <alignment vertical="center"/>
    </xf>
    <xf numFmtId="0" fontId="30" fillId="0" borderId="0" xfId="0" applyNumberFormat="1" applyFont="1" applyBorder="1" applyAlignment="1">
      <alignment horizontal="right" vertical="center"/>
    </xf>
    <xf numFmtId="176" fontId="32" fillId="0" borderId="5" xfId="0" applyNumberFormat="1" applyFont="1" applyBorder="1">
      <alignment vertical="center"/>
    </xf>
    <xf numFmtId="176" fontId="33" fillId="0" borderId="5" xfId="0" applyNumberFormat="1" applyFont="1" applyBorder="1">
      <alignment vertical="center"/>
    </xf>
    <xf numFmtId="176" fontId="31" fillId="0" borderId="5" xfId="0" applyNumberFormat="1" applyFont="1" applyBorder="1">
      <alignment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178" fontId="20" fillId="3" borderId="1" xfId="16" applyNumberFormat="1" applyFont="1" applyFill="1" applyBorder="1" applyAlignment="1">
      <alignment horizontal="center" vertical="center"/>
    </xf>
    <xf numFmtId="43" fontId="20" fillId="3" borderId="1" xfId="16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right" vertical="center"/>
    </xf>
    <xf numFmtId="43" fontId="18" fillId="3" borderId="1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30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29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NumberFormat="1" applyFont="1" applyFill="1" applyBorder="1" applyAlignment="1" applyProtection="1">
      <alignment horizontal="center" vertical="center"/>
      <protection locked="0"/>
    </xf>
  </cellXfs>
  <cellStyles count="19">
    <cellStyle name="常规" xfId="0" builtinId="0"/>
    <cellStyle name="常规 10" xfId="2"/>
    <cellStyle name="常规 10 2" xfId="17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8"/>
    <cellStyle name="常规 3 2" xfId="5"/>
    <cellStyle name="常规 3 2 2" xfId="10"/>
    <cellStyle name="常规 8" xfId="13"/>
    <cellStyle name="常规 8 2" xfId="15"/>
    <cellStyle name="千位分隔" xfId="16" builtinId="3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6723;/&#23453;&#37048;&#36164;&#26009;/2018/&#36130;&#21153;/&#65288;&#23453;&#37048;&#65289;&#22253;&#21306;&#38754;&#31215;&#21644;&#29677;&#32423;&#12289;&#23398;&#26657;&#22522;&#26412;&#24773;&#209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0">
          <cell r="G20">
            <v>10438.119999999999</v>
          </cell>
          <cell r="I20">
            <v>4266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8" sqref="C8"/>
    </sheetView>
  </sheetViews>
  <sheetFormatPr defaultColWidth="9" defaultRowHeight="13.5"/>
  <cols>
    <col min="1" max="1" width="6.625" style="61" customWidth="1"/>
    <col min="2" max="2" width="23.625" style="64" customWidth="1"/>
    <col min="3" max="4" width="18.625" style="61" customWidth="1"/>
    <col min="5" max="5" width="25.875" style="61" customWidth="1"/>
    <col min="6" max="6" width="20.5" style="61" bestFit="1" customWidth="1"/>
    <col min="7" max="7" width="18.625" style="61" hidden="1" customWidth="1"/>
    <col min="8" max="8" width="18.375" style="61" bestFit="1" customWidth="1"/>
    <col min="9" max="9" width="14.375" style="61" hidden="1" customWidth="1"/>
    <col min="10" max="10" width="14.25" style="61" hidden="1" customWidth="1"/>
    <col min="11" max="254" width="9" style="61"/>
    <col min="255" max="255" width="6.625" style="61" customWidth="1"/>
    <col min="256" max="257" width="21.625" style="61" customWidth="1"/>
    <col min="258" max="258" width="16.125" style="61" bestFit="1" customWidth="1"/>
    <col min="259" max="259" width="13.875" style="61" bestFit="1" customWidth="1"/>
    <col min="260" max="260" width="17.25" style="61" bestFit="1" customWidth="1"/>
    <col min="261" max="262" width="20.5" style="61" bestFit="1" customWidth="1"/>
    <col min="263" max="263" width="0" style="61" hidden="1" customWidth="1"/>
    <col min="264" max="264" width="18.375" style="61" bestFit="1" customWidth="1"/>
    <col min="265" max="266" width="0" style="61" hidden="1" customWidth="1"/>
    <col min="267" max="510" width="9" style="61"/>
    <col min="511" max="511" width="6.625" style="61" customWidth="1"/>
    <col min="512" max="513" width="21.625" style="61" customWidth="1"/>
    <col min="514" max="514" width="16.125" style="61" bestFit="1" customWidth="1"/>
    <col min="515" max="515" width="13.875" style="61" bestFit="1" customWidth="1"/>
    <col min="516" max="516" width="17.25" style="61" bestFit="1" customWidth="1"/>
    <col min="517" max="518" width="20.5" style="61" bestFit="1" customWidth="1"/>
    <col min="519" max="519" width="0" style="61" hidden="1" customWidth="1"/>
    <col min="520" max="520" width="18.375" style="61" bestFit="1" customWidth="1"/>
    <col min="521" max="522" width="0" style="61" hidden="1" customWidth="1"/>
    <col min="523" max="766" width="9" style="61"/>
    <col min="767" max="767" width="6.625" style="61" customWidth="1"/>
    <col min="768" max="769" width="21.625" style="61" customWidth="1"/>
    <col min="770" max="770" width="16.125" style="61" bestFit="1" customWidth="1"/>
    <col min="771" max="771" width="13.875" style="61" bestFit="1" customWidth="1"/>
    <col min="772" max="772" width="17.25" style="61" bestFit="1" customWidth="1"/>
    <col min="773" max="774" width="20.5" style="61" bestFit="1" customWidth="1"/>
    <col min="775" max="775" width="0" style="61" hidden="1" customWidth="1"/>
    <col min="776" max="776" width="18.375" style="61" bestFit="1" customWidth="1"/>
    <col min="777" max="778" width="0" style="61" hidden="1" customWidth="1"/>
    <col min="779" max="1022" width="9" style="61"/>
    <col min="1023" max="1023" width="6.625" style="61" customWidth="1"/>
    <col min="1024" max="1025" width="21.625" style="61" customWidth="1"/>
    <col min="1026" max="1026" width="16.125" style="61" bestFit="1" customWidth="1"/>
    <col min="1027" max="1027" width="13.875" style="61" bestFit="1" customWidth="1"/>
    <col min="1028" max="1028" width="17.25" style="61" bestFit="1" customWidth="1"/>
    <col min="1029" max="1030" width="20.5" style="61" bestFit="1" customWidth="1"/>
    <col min="1031" max="1031" width="0" style="61" hidden="1" customWidth="1"/>
    <col min="1032" max="1032" width="18.375" style="61" bestFit="1" customWidth="1"/>
    <col min="1033" max="1034" width="0" style="61" hidden="1" customWidth="1"/>
    <col min="1035" max="1278" width="9" style="61"/>
    <col min="1279" max="1279" width="6.625" style="61" customWidth="1"/>
    <col min="1280" max="1281" width="21.625" style="61" customWidth="1"/>
    <col min="1282" max="1282" width="16.125" style="61" bestFit="1" customWidth="1"/>
    <col min="1283" max="1283" width="13.875" style="61" bestFit="1" customWidth="1"/>
    <col min="1284" max="1284" width="17.25" style="61" bestFit="1" customWidth="1"/>
    <col min="1285" max="1286" width="20.5" style="61" bestFit="1" customWidth="1"/>
    <col min="1287" max="1287" width="0" style="61" hidden="1" customWidth="1"/>
    <col min="1288" max="1288" width="18.375" style="61" bestFit="1" customWidth="1"/>
    <col min="1289" max="1290" width="0" style="61" hidden="1" customWidth="1"/>
    <col min="1291" max="1534" width="9" style="61"/>
    <col min="1535" max="1535" width="6.625" style="61" customWidth="1"/>
    <col min="1536" max="1537" width="21.625" style="61" customWidth="1"/>
    <col min="1538" max="1538" width="16.125" style="61" bestFit="1" customWidth="1"/>
    <col min="1539" max="1539" width="13.875" style="61" bestFit="1" customWidth="1"/>
    <col min="1540" max="1540" width="17.25" style="61" bestFit="1" customWidth="1"/>
    <col min="1541" max="1542" width="20.5" style="61" bestFit="1" customWidth="1"/>
    <col min="1543" max="1543" width="0" style="61" hidden="1" customWidth="1"/>
    <col min="1544" max="1544" width="18.375" style="61" bestFit="1" customWidth="1"/>
    <col min="1545" max="1546" width="0" style="61" hidden="1" customWidth="1"/>
    <col min="1547" max="1790" width="9" style="61"/>
    <col min="1791" max="1791" width="6.625" style="61" customWidth="1"/>
    <col min="1792" max="1793" width="21.625" style="61" customWidth="1"/>
    <col min="1794" max="1794" width="16.125" style="61" bestFit="1" customWidth="1"/>
    <col min="1795" max="1795" width="13.875" style="61" bestFit="1" customWidth="1"/>
    <col min="1796" max="1796" width="17.25" style="61" bestFit="1" customWidth="1"/>
    <col min="1797" max="1798" width="20.5" style="61" bestFit="1" customWidth="1"/>
    <col min="1799" max="1799" width="0" style="61" hidden="1" customWidth="1"/>
    <col min="1800" max="1800" width="18.375" style="61" bestFit="1" customWidth="1"/>
    <col min="1801" max="1802" width="0" style="61" hidden="1" customWidth="1"/>
    <col min="1803" max="2046" width="9" style="61"/>
    <col min="2047" max="2047" width="6.625" style="61" customWidth="1"/>
    <col min="2048" max="2049" width="21.625" style="61" customWidth="1"/>
    <col min="2050" max="2050" width="16.125" style="61" bestFit="1" customWidth="1"/>
    <col min="2051" max="2051" width="13.875" style="61" bestFit="1" customWidth="1"/>
    <col min="2052" max="2052" width="17.25" style="61" bestFit="1" customWidth="1"/>
    <col min="2053" max="2054" width="20.5" style="61" bestFit="1" customWidth="1"/>
    <col min="2055" max="2055" width="0" style="61" hidden="1" customWidth="1"/>
    <col min="2056" max="2056" width="18.375" style="61" bestFit="1" customWidth="1"/>
    <col min="2057" max="2058" width="0" style="61" hidden="1" customWidth="1"/>
    <col min="2059" max="2302" width="9" style="61"/>
    <col min="2303" max="2303" width="6.625" style="61" customWidth="1"/>
    <col min="2304" max="2305" width="21.625" style="61" customWidth="1"/>
    <col min="2306" max="2306" width="16.125" style="61" bestFit="1" customWidth="1"/>
    <col min="2307" max="2307" width="13.875" style="61" bestFit="1" customWidth="1"/>
    <col min="2308" max="2308" width="17.25" style="61" bestFit="1" customWidth="1"/>
    <col min="2309" max="2310" width="20.5" style="61" bestFit="1" customWidth="1"/>
    <col min="2311" max="2311" width="0" style="61" hidden="1" customWidth="1"/>
    <col min="2312" max="2312" width="18.375" style="61" bestFit="1" customWidth="1"/>
    <col min="2313" max="2314" width="0" style="61" hidden="1" customWidth="1"/>
    <col min="2315" max="2558" width="9" style="61"/>
    <col min="2559" max="2559" width="6.625" style="61" customWidth="1"/>
    <col min="2560" max="2561" width="21.625" style="61" customWidth="1"/>
    <col min="2562" max="2562" width="16.125" style="61" bestFit="1" customWidth="1"/>
    <col min="2563" max="2563" width="13.875" style="61" bestFit="1" customWidth="1"/>
    <col min="2564" max="2564" width="17.25" style="61" bestFit="1" customWidth="1"/>
    <col min="2565" max="2566" width="20.5" style="61" bestFit="1" customWidth="1"/>
    <col min="2567" max="2567" width="0" style="61" hidden="1" customWidth="1"/>
    <col min="2568" max="2568" width="18.375" style="61" bestFit="1" customWidth="1"/>
    <col min="2569" max="2570" width="0" style="61" hidden="1" customWidth="1"/>
    <col min="2571" max="2814" width="9" style="61"/>
    <col min="2815" max="2815" width="6.625" style="61" customWidth="1"/>
    <col min="2816" max="2817" width="21.625" style="61" customWidth="1"/>
    <col min="2818" max="2818" width="16.125" style="61" bestFit="1" customWidth="1"/>
    <col min="2819" max="2819" width="13.875" style="61" bestFit="1" customWidth="1"/>
    <col min="2820" max="2820" width="17.25" style="61" bestFit="1" customWidth="1"/>
    <col min="2821" max="2822" width="20.5" style="61" bestFit="1" customWidth="1"/>
    <col min="2823" max="2823" width="0" style="61" hidden="1" customWidth="1"/>
    <col min="2824" max="2824" width="18.375" style="61" bestFit="1" customWidth="1"/>
    <col min="2825" max="2826" width="0" style="61" hidden="1" customWidth="1"/>
    <col min="2827" max="3070" width="9" style="61"/>
    <col min="3071" max="3071" width="6.625" style="61" customWidth="1"/>
    <col min="3072" max="3073" width="21.625" style="61" customWidth="1"/>
    <col min="3074" max="3074" width="16.125" style="61" bestFit="1" customWidth="1"/>
    <col min="3075" max="3075" width="13.875" style="61" bestFit="1" customWidth="1"/>
    <col min="3076" max="3076" width="17.25" style="61" bestFit="1" customWidth="1"/>
    <col min="3077" max="3078" width="20.5" style="61" bestFit="1" customWidth="1"/>
    <col min="3079" max="3079" width="0" style="61" hidden="1" customWidth="1"/>
    <col min="3080" max="3080" width="18.375" style="61" bestFit="1" customWidth="1"/>
    <col min="3081" max="3082" width="0" style="61" hidden="1" customWidth="1"/>
    <col min="3083" max="3326" width="9" style="61"/>
    <col min="3327" max="3327" width="6.625" style="61" customWidth="1"/>
    <col min="3328" max="3329" width="21.625" style="61" customWidth="1"/>
    <col min="3330" max="3330" width="16.125" style="61" bestFit="1" customWidth="1"/>
    <col min="3331" max="3331" width="13.875" style="61" bestFit="1" customWidth="1"/>
    <col min="3332" max="3332" width="17.25" style="61" bestFit="1" customWidth="1"/>
    <col min="3333" max="3334" width="20.5" style="61" bestFit="1" customWidth="1"/>
    <col min="3335" max="3335" width="0" style="61" hidden="1" customWidth="1"/>
    <col min="3336" max="3336" width="18.375" style="61" bestFit="1" customWidth="1"/>
    <col min="3337" max="3338" width="0" style="61" hidden="1" customWidth="1"/>
    <col min="3339" max="3582" width="9" style="61"/>
    <col min="3583" max="3583" width="6.625" style="61" customWidth="1"/>
    <col min="3584" max="3585" width="21.625" style="61" customWidth="1"/>
    <col min="3586" max="3586" width="16.125" style="61" bestFit="1" customWidth="1"/>
    <col min="3587" max="3587" width="13.875" style="61" bestFit="1" customWidth="1"/>
    <col min="3588" max="3588" width="17.25" style="61" bestFit="1" customWidth="1"/>
    <col min="3589" max="3590" width="20.5" style="61" bestFit="1" customWidth="1"/>
    <col min="3591" max="3591" width="0" style="61" hidden="1" customWidth="1"/>
    <col min="3592" max="3592" width="18.375" style="61" bestFit="1" customWidth="1"/>
    <col min="3593" max="3594" width="0" style="61" hidden="1" customWidth="1"/>
    <col min="3595" max="3838" width="9" style="61"/>
    <col min="3839" max="3839" width="6.625" style="61" customWidth="1"/>
    <col min="3840" max="3841" width="21.625" style="61" customWidth="1"/>
    <col min="3842" max="3842" width="16.125" style="61" bestFit="1" customWidth="1"/>
    <col min="3843" max="3843" width="13.875" style="61" bestFit="1" customWidth="1"/>
    <col min="3844" max="3844" width="17.25" style="61" bestFit="1" customWidth="1"/>
    <col min="3845" max="3846" width="20.5" style="61" bestFit="1" customWidth="1"/>
    <col min="3847" max="3847" width="0" style="61" hidden="1" customWidth="1"/>
    <col min="3848" max="3848" width="18.375" style="61" bestFit="1" customWidth="1"/>
    <col min="3849" max="3850" width="0" style="61" hidden="1" customWidth="1"/>
    <col min="3851" max="4094" width="9" style="61"/>
    <col min="4095" max="4095" width="6.625" style="61" customWidth="1"/>
    <col min="4096" max="4097" width="21.625" style="61" customWidth="1"/>
    <col min="4098" max="4098" width="16.125" style="61" bestFit="1" customWidth="1"/>
    <col min="4099" max="4099" width="13.875" style="61" bestFit="1" customWidth="1"/>
    <col min="4100" max="4100" width="17.25" style="61" bestFit="1" customWidth="1"/>
    <col min="4101" max="4102" width="20.5" style="61" bestFit="1" customWidth="1"/>
    <col min="4103" max="4103" width="0" style="61" hidden="1" customWidth="1"/>
    <col min="4104" max="4104" width="18.375" style="61" bestFit="1" customWidth="1"/>
    <col min="4105" max="4106" width="0" style="61" hidden="1" customWidth="1"/>
    <col min="4107" max="4350" width="9" style="61"/>
    <col min="4351" max="4351" width="6.625" style="61" customWidth="1"/>
    <col min="4352" max="4353" width="21.625" style="61" customWidth="1"/>
    <col min="4354" max="4354" width="16.125" style="61" bestFit="1" customWidth="1"/>
    <col min="4355" max="4355" width="13.875" style="61" bestFit="1" customWidth="1"/>
    <col min="4356" max="4356" width="17.25" style="61" bestFit="1" customWidth="1"/>
    <col min="4357" max="4358" width="20.5" style="61" bestFit="1" customWidth="1"/>
    <col min="4359" max="4359" width="0" style="61" hidden="1" customWidth="1"/>
    <col min="4360" max="4360" width="18.375" style="61" bestFit="1" customWidth="1"/>
    <col min="4361" max="4362" width="0" style="61" hidden="1" customWidth="1"/>
    <col min="4363" max="4606" width="9" style="61"/>
    <col min="4607" max="4607" width="6.625" style="61" customWidth="1"/>
    <col min="4608" max="4609" width="21.625" style="61" customWidth="1"/>
    <col min="4610" max="4610" width="16.125" style="61" bestFit="1" customWidth="1"/>
    <col min="4611" max="4611" width="13.875" style="61" bestFit="1" customWidth="1"/>
    <col min="4612" max="4612" width="17.25" style="61" bestFit="1" customWidth="1"/>
    <col min="4613" max="4614" width="20.5" style="61" bestFit="1" customWidth="1"/>
    <col min="4615" max="4615" width="0" style="61" hidden="1" customWidth="1"/>
    <col min="4616" max="4616" width="18.375" style="61" bestFit="1" customWidth="1"/>
    <col min="4617" max="4618" width="0" style="61" hidden="1" customWidth="1"/>
    <col min="4619" max="4862" width="9" style="61"/>
    <col min="4863" max="4863" width="6.625" style="61" customWidth="1"/>
    <col min="4864" max="4865" width="21.625" style="61" customWidth="1"/>
    <col min="4866" max="4866" width="16.125" style="61" bestFit="1" customWidth="1"/>
    <col min="4867" max="4867" width="13.875" style="61" bestFit="1" customWidth="1"/>
    <col min="4868" max="4868" width="17.25" style="61" bestFit="1" customWidth="1"/>
    <col min="4869" max="4870" width="20.5" style="61" bestFit="1" customWidth="1"/>
    <col min="4871" max="4871" width="0" style="61" hidden="1" customWidth="1"/>
    <col min="4872" max="4872" width="18.375" style="61" bestFit="1" customWidth="1"/>
    <col min="4873" max="4874" width="0" style="61" hidden="1" customWidth="1"/>
    <col min="4875" max="5118" width="9" style="61"/>
    <col min="5119" max="5119" width="6.625" style="61" customWidth="1"/>
    <col min="5120" max="5121" width="21.625" style="61" customWidth="1"/>
    <col min="5122" max="5122" width="16.125" style="61" bestFit="1" customWidth="1"/>
    <col min="5123" max="5123" width="13.875" style="61" bestFit="1" customWidth="1"/>
    <col min="5124" max="5124" width="17.25" style="61" bestFit="1" customWidth="1"/>
    <col min="5125" max="5126" width="20.5" style="61" bestFit="1" customWidth="1"/>
    <col min="5127" max="5127" width="0" style="61" hidden="1" customWidth="1"/>
    <col min="5128" max="5128" width="18.375" style="61" bestFit="1" customWidth="1"/>
    <col min="5129" max="5130" width="0" style="61" hidden="1" customWidth="1"/>
    <col min="5131" max="5374" width="9" style="61"/>
    <col min="5375" max="5375" width="6.625" style="61" customWidth="1"/>
    <col min="5376" max="5377" width="21.625" style="61" customWidth="1"/>
    <col min="5378" max="5378" width="16.125" style="61" bestFit="1" customWidth="1"/>
    <col min="5379" max="5379" width="13.875" style="61" bestFit="1" customWidth="1"/>
    <col min="5380" max="5380" width="17.25" style="61" bestFit="1" customWidth="1"/>
    <col min="5381" max="5382" width="20.5" style="61" bestFit="1" customWidth="1"/>
    <col min="5383" max="5383" width="0" style="61" hidden="1" customWidth="1"/>
    <col min="5384" max="5384" width="18.375" style="61" bestFit="1" customWidth="1"/>
    <col min="5385" max="5386" width="0" style="61" hidden="1" customWidth="1"/>
    <col min="5387" max="5630" width="9" style="61"/>
    <col min="5631" max="5631" width="6.625" style="61" customWidth="1"/>
    <col min="5632" max="5633" width="21.625" style="61" customWidth="1"/>
    <col min="5634" max="5634" width="16.125" style="61" bestFit="1" customWidth="1"/>
    <col min="5635" max="5635" width="13.875" style="61" bestFit="1" customWidth="1"/>
    <col min="5636" max="5636" width="17.25" style="61" bestFit="1" customWidth="1"/>
    <col min="5637" max="5638" width="20.5" style="61" bestFit="1" customWidth="1"/>
    <col min="5639" max="5639" width="0" style="61" hidden="1" customWidth="1"/>
    <col min="5640" max="5640" width="18.375" style="61" bestFit="1" customWidth="1"/>
    <col min="5641" max="5642" width="0" style="61" hidden="1" customWidth="1"/>
    <col min="5643" max="5886" width="9" style="61"/>
    <col min="5887" max="5887" width="6.625" style="61" customWidth="1"/>
    <col min="5888" max="5889" width="21.625" style="61" customWidth="1"/>
    <col min="5890" max="5890" width="16.125" style="61" bestFit="1" customWidth="1"/>
    <col min="5891" max="5891" width="13.875" style="61" bestFit="1" customWidth="1"/>
    <col min="5892" max="5892" width="17.25" style="61" bestFit="1" customWidth="1"/>
    <col min="5893" max="5894" width="20.5" style="61" bestFit="1" customWidth="1"/>
    <col min="5895" max="5895" width="0" style="61" hidden="1" customWidth="1"/>
    <col min="5896" max="5896" width="18.375" style="61" bestFit="1" customWidth="1"/>
    <col min="5897" max="5898" width="0" style="61" hidden="1" customWidth="1"/>
    <col min="5899" max="6142" width="9" style="61"/>
    <col min="6143" max="6143" width="6.625" style="61" customWidth="1"/>
    <col min="6144" max="6145" width="21.625" style="61" customWidth="1"/>
    <col min="6146" max="6146" width="16.125" style="61" bestFit="1" customWidth="1"/>
    <col min="6147" max="6147" width="13.875" style="61" bestFit="1" customWidth="1"/>
    <col min="6148" max="6148" width="17.25" style="61" bestFit="1" customWidth="1"/>
    <col min="6149" max="6150" width="20.5" style="61" bestFit="1" customWidth="1"/>
    <col min="6151" max="6151" width="0" style="61" hidden="1" customWidth="1"/>
    <col min="6152" max="6152" width="18.375" style="61" bestFit="1" customWidth="1"/>
    <col min="6153" max="6154" width="0" style="61" hidden="1" customWidth="1"/>
    <col min="6155" max="6398" width="9" style="61"/>
    <col min="6399" max="6399" width="6.625" style="61" customWidth="1"/>
    <col min="6400" max="6401" width="21.625" style="61" customWidth="1"/>
    <col min="6402" max="6402" width="16.125" style="61" bestFit="1" customWidth="1"/>
    <col min="6403" max="6403" width="13.875" style="61" bestFit="1" customWidth="1"/>
    <col min="6404" max="6404" width="17.25" style="61" bestFit="1" customWidth="1"/>
    <col min="6405" max="6406" width="20.5" style="61" bestFit="1" customWidth="1"/>
    <col min="6407" max="6407" width="0" style="61" hidden="1" customWidth="1"/>
    <col min="6408" max="6408" width="18.375" style="61" bestFit="1" customWidth="1"/>
    <col min="6409" max="6410" width="0" style="61" hidden="1" customWidth="1"/>
    <col min="6411" max="6654" width="9" style="61"/>
    <col min="6655" max="6655" width="6.625" style="61" customWidth="1"/>
    <col min="6656" max="6657" width="21.625" style="61" customWidth="1"/>
    <col min="6658" max="6658" width="16.125" style="61" bestFit="1" customWidth="1"/>
    <col min="6659" max="6659" width="13.875" style="61" bestFit="1" customWidth="1"/>
    <col min="6660" max="6660" width="17.25" style="61" bestFit="1" customWidth="1"/>
    <col min="6661" max="6662" width="20.5" style="61" bestFit="1" customWidth="1"/>
    <col min="6663" max="6663" width="0" style="61" hidden="1" customWidth="1"/>
    <col min="6664" max="6664" width="18.375" style="61" bestFit="1" customWidth="1"/>
    <col min="6665" max="6666" width="0" style="61" hidden="1" customWidth="1"/>
    <col min="6667" max="6910" width="9" style="61"/>
    <col min="6911" max="6911" width="6.625" style="61" customWidth="1"/>
    <col min="6912" max="6913" width="21.625" style="61" customWidth="1"/>
    <col min="6914" max="6914" width="16.125" style="61" bestFit="1" customWidth="1"/>
    <col min="6915" max="6915" width="13.875" style="61" bestFit="1" customWidth="1"/>
    <col min="6916" max="6916" width="17.25" style="61" bestFit="1" customWidth="1"/>
    <col min="6917" max="6918" width="20.5" style="61" bestFit="1" customWidth="1"/>
    <col min="6919" max="6919" width="0" style="61" hidden="1" customWidth="1"/>
    <col min="6920" max="6920" width="18.375" style="61" bestFit="1" customWidth="1"/>
    <col min="6921" max="6922" width="0" style="61" hidden="1" customWidth="1"/>
    <col min="6923" max="7166" width="9" style="61"/>
    <col min="7167" max="7167" width="6.625" style="61" customWidth="1"/>
    <col min="7168" max="7169" width="21.625" style="61" customWidth="1"/>
    <col min="7170" max="7170" width="16.125" style="61" bestFit="1" customWidth="1"/>
    <col min="7171" max="7171" width="13.875" style="61" bestFit="1" customWidth="1"/>
    <col min="7172" max="7172" width="17.25" style="61" bestFit="1" customWidth="1"/>
    <col min="7173" max="7174" width="20.5" style="61" bestFit="1" customWidth="1"/>
    <col min="7175" max="7175" width="0" style="61" hidden="1" customWidth="1"/>
    <col min="7176" max="7176" width="18.375" style="61" bestFit="1" customWidth="1"/>
    <col min="7177" max="7178" width="0" style="61" hidden="1" customWidth="1"/>
    <col min="7179" max="7422" width="9" style="61"/>
    <col min="7423" max="7423" width="6.625" style="61" customWidth="1"/>
    <col min="7424" max="7425" width="21.625" style="61" customWidth="1"/>
    <col min="7426" max="7426" width="16.125" style="61" bestFit="1" customWidth="1"/>
    <col min="7427" max="7427" width="13.875" style="61" bestFit="1" customWidth="1"/>
    <col min="7428" max="7428" width="17.25" style="61" bestFit="1" customWidth="1"/>
    <col min="7429" max="7430" width="20.5" style="61" bestFit="1" customWidth="1"/>
    <col min="7431" max="7431" width="0" style="61" hidden="1" customWidth="1"/>
    <col min="7432" max="7432" width="18.375" style="61" bestFit="1" customWidth="1"/>
    <col min="7433" max="7434" width="0" style="61" hidden="1" customWidth="1"/>
    <col min="7435" max="7678" width="9" style="61"/>
    <col min="7679" max="7679" width="6.625" style="61" customWidth="1"/>
    <col min="7680" max="7681" width="21.625" style="61" customWidth="1"/>
    <col min="7682" max="7682" width="16.125" style="61" bestFit="1" customWidth="1"/>
    <col min="7683" max="7683" width="13.875" style="61" bestFit="1" customWidth="1"/>
    <col min="7684" max="7684" width="17.25" style="61" bestFit="1" customWidth="1"/>
    <col min="7685" max="7686" width="20.5" style="61" bestFit="1" customWidth="1"/>
    <col min="7687" max="7687" width="0" style="61" hidden="1" customWidth="1"/>
    <col min="7688" max="7688" width="18.375" style="61" bestFit="1" customWidth="1"/>
    <col min="7689" max="7690" width="0" style="61" hidden="1" customWidth="1"/>
    <col min="7691" max="7934" width="9" style="61"/>
    <col min="7935" max="7935" width="6.625" style="61" customWidth="1"/>
    <col min="7936" max="7937" width="21.625" style="61" customWidth="1"/>
    <col min="7938" max="7938" width="16.125" style="61" bestFit="1" customWidth="1"/>
    <col min="7939" max="7939" width="13.875" style="61" bestFit="1" customWidth="1"/>
    <col min="7940" max="7940" width="17.25" style="61" bestFit="1" customWidth="1"/>
    <col min="7941" max="7942" width="20.5" style="61" bestFit="1" customWidth="1"/>
    <col min="7943" max="7943" width="0" style="61" hidden="1" customWidth="1"/>
    <col min="7944" max="7944" width="18.375" style="61" bestFit="1" customWidth="1"/>
    <col min="7945" max="7946" width="0" style="61" hidden="1" customWidth="1"/>
    <col min="7947" max="8190" width="9" style="61"/>
    <col min="8191" max="8191" width="6.625" style="61" customWidth="1"/>
    <col min="8192" max="8193" width="21.625" style="61" customWidth="1"/>
    <col min="8194" max="8194" width="16.125" style="61" bestFit="1" customWidth="1"/>
    <col min="8195" max="8195" width="13.875" style="61" bestFit="1" customWidth="1"/>
    <col min="8196" max="8196" width="17.25" style="61" bestFit="1" customWidth="1"/>
    <col min="8197" max="8198" width="20.5" style="61" bestFit="1" customWidth="1"/>
    <col min="8199" max="8199" width="0" style="61" hidden="1" customWidth="1"/>
    <col min="8200" max="8200" width="18.375" style="61" bestFit="1" customWidth="1"/>
    <col min="8201" max="8202" width="0" style="61" hidden="1" customWidth="1"/>
    <col min="8203" max="8446" width="9" style="61"/>
    <col min="8447" max="8447" width="6.625" style="61" customWidth="1"/>
    <col min="8448" max="8449" width="21.625" style="61" customWidth="1"/>
    <col min="8450" max="8450" width="16.125" style="61" bestFit="1" customWidth="1"/>
    <col min="8451" max="8451" width="13.875" style="61" bestFit="1" customWidth="1"/>
    <col min="8452" max="8452" width="17.25" style="61" bestFit="1" customWidth="1"/>
    <col min="8453" max="8454" width="20.5" style="61" bestFit="1" customWidth="1"/>
    <col min="8455" max="8455" width="0" style="61" hidden="1" customWidth="1"/>
    <col min="8456" max="8456" width="18.375" style="61" bestFit="1" customWidth="1"/>
    <col min="8457" max="8458" width="0" style="61" hidden="1" customWidth="1"/>
    <col min="8459" max="8702" width="9" style="61"/>
    <col min="8703" max="8703" width="6.625" style="61" customWidth="1"/>
    <col min="8704" max="8705" width="21.625" style="61" customWidth="1"/>
    <col min="8706" max="8706" width="16.125" style="61" bestFit="1" customWidth="1"/>
    <col min="8707" max="8707" width="13.875" style="61" bestFit="1" customWidth="1"/>
    <col min="8708" max="8708" width="17.25" style="61" bestFit="1" customWidth="1"/>
    <col min="8709" max="8710" width="20.5" style="61" bestFit="1" customWidth="1"/>
    <col min="8711" max="8711" width="0" style="61" hidden="1" customWidth="1"/>
    <col min="8712" max="8712" width="18.375" style="61" bestFit="1" customWidth="1"/>
    <col min="8713" max="8714" width="0" style="61" hidden="1" customWidth="1"/>
    <col min="8715" max="8958" width="9" style="61"/>
    <col min="8959" max="8959" width="6.625" style="61" customWidth="1"/>
    <col min="8960" max="8961" width="21.625" style="61" customWidth="1"/>
    <col min="8962" max="8962" width="16.125" style="61" bestFit="1" customWidth="1"/>
    <col min="8963" max="8963" width="13.875" style="61" bestFit="1" customWidth="1"/>
    <col min="8964" max="8964" width="17.25" style="61" bestFit="1" customWidth="1"/>
    <col min="8965" max="8966" width="20.5" style="61" bestFit="1" customWidth="1"/>
    <col min="8967" max="8967" width="0" style="61" hidden="1" customWidth="1"/>
    <col min="8968" max="8968" width="18.375" style="61" bestFit="1" customWidth="1"/>
    <col min="8969" max="8970" width="0" style="61" hidden="1" customWidth="1"/>
    <col min="8971" max="9214" width="9" style="61"/>
    <col min="9215" max="9215" width="6.625" style="61" customWidth="1"/>
    <col min="9216" max="9217" width="21.625" style="61" customWidth="1"/>
    <col min="9218" max="9218" width="16.125" style="61" bestFit="1" customWidth="1"/>
    <col min="9219" max="9219" width="13.875" style="61" bestFit="1" customWidth="1"/>
    <col min="9220" max="9220" width="17.25" style="61" bestFit="1" customWidth="1"/>
    <col min="9221" max="9222" width="20.5" style="61" bestFit="1" customWidth="1"/>
    <col min="9223" max="9223" width="0" style="61" hidden="1" customWidth="1"/>
    <col min="9224" max="9224" width="18.375" style="61" bestFit="1" customWidth="1"/>
    <col min="9225" max="9226" width="0" style="61" hidden="1" customWidth="1"/>
    <col min="9227" max="9470" width="9" style="61"/>
    <col min="9471" max="9471" width="6.625" style="61" customWidth="1"/>
    <col min="9472" max="9473" width="21.625" style="61" customWidth="1"/>
    <col min="9474" max="9474" width="16.125" style="61" bestFit="1" customWidth="1"/>
    <col min="9475" max="9475" width="13.875" style="61" bestFit="1" customWidth="1"/>
    <col min="9476" max="9476" width="17.25" style="61" bestFit="1" customWidth="1"/>
    <col min="9477" max="9478" width="20.5" style="61" bestFit="1" customWidth="1"/>
    <col min="9479" max="9479" width="0" style="61" hidden="1" customWidth="1"/>
    <col min="9480" max="9480" width="18.375" style="61" bestFit="1" customWidth="1"/>
    <col min="9481" max="9482" width="0" style="61" hidden="1" customWidth="1"/>
    <col min="9483" max="9726" width="9" style="61"/>
    <col min="9727" max="9727" width="6.625" style="61" customWidth="1"/>
    <col min="9728" max="9729" width="21.625" style="61" customWidth="1"/>
    <col min="9730" max="9730" width="16.125" style="61" bestFit="1" customWidth="1"/>
    <col min="9731" max="9731" width="13.875" style="61" bestFit="1" customWidth="1"/>
    <col min="9732" max="9732" width="17.25" style="61" bestFit="1" customWidth="1"/>
    <col min="9733" max="9734" width="20.5" style="61" bestFit="1" customWidth="1"/>
    <col min="9735" max="9735" width="0" style="61" hidden="1" customWidth="1"/>
    <col min="9736" max="9736" width="18.375" style="61" bestFit="1" customWidth="1"/>
    <col min="9737" max="9738" width="0" style="61" hidden="1" customWidth="1"/>
    <col min="9739" max="9982" width="9" style="61"/>
    <col min="9983" max="9983" width="6.625" style="61" customWidth="1"/>
    <col min="9984" max="9985" width="21.625" style="61" customWidth="1"/>
    <col min="9986" max="9986" width="16.125" style="61" bestFit="1" customWidth="1"/>
    <col min="9987" max="9987" width="13.875" style="61" bestFit="1" customWidth="1"/>
    <col min="9988" max="9988" width="17.25" style="61" bestFit="1" customWidth="1"/>
    <col min="9989" max="9990" width="20.5" style="61" bestFit="1" customWidth="1"/>
    <col min="9991" max="9991" width="0" style="61" hidden="1" customWidth="1"/>
    <col min="9992" max="9992" width="18.375" style="61" bestFit="1" customWidth="1"/>
    <col min="9993" max="9994" width="0" style="61" hidden="1" customWidth="1"/>
    <col min="9995" max="10238" width="9" style="61"/>
    <col min="10239" max="10239" width="6.625" style="61" customWidth="1"/>
    <col min="10240" max="10241" width="21.625" style="61" customWidth="1"/>
    <col min="10242" max="10242" width="16.125" style="61" bestFit="1" customWidth="1"/>
    <col min="10243" max="10243" width="13.875" style="61" bestFit="1" customWidth="1"/>
    <col min="10244" max="10244" width="17.25" style="61" bestFit="1" customWidth="1"/>
    <col min="10245" max="10246" width="20.5" style="61" bestFit="1" customWidth="1"/>
    <col min="10247" max="10247" width="0" style="61" hidden="1" customWidth="1"/>
    <col min="10248" max="10248" width="18.375" style="61" bestFit="1" customWidth="1"/>
    <col min="10249" max="10250" width="0" style="61" hidden="1" customWidth="1"/>
    <col min="10251" max="10494" width="9" style="61"/>
    <col min="10495" max="10495" width="6.625" style="61" customWidth="1"/>
    <col min="10496" max="10497" width="21.625" style="61" customWidth="1"/>
    <col min="10498" max="10498" width="16.125" style="61" bestFit="1" customWidth="1"/>
    <col min="10499" max="10499" width="13.875" style="61" bestFit="1" customWidth="1"/>
    <col min="10500" max="10500" width="17.25" style="61" bestFit="1" customWidth="1"/>
    <col min="10501" max="10502" width="20.5" style="61" bestFit="1" customWidth="1"/>
    <col min="10503" max="10503" width="0" style="61" hidden="1" customWidth="1"/>
    <col min="10504" max="10504" width="18.375" style="61" bestFit="1" customWidth="1"/>
    <col min="10505" max="10506" width="0" style="61" hidden="1" customWidth="1"/>
    <col min="10507" max="10750" width="9" style="61"/>
    <col min="10751" max="10751" width="6.625" style="61" customWidth="1"/>
    <col min="10752" max="10753" width="21.625" style="61" customWidth="1"/>
    <col min="10754" max="10754" width="16.125" style="61" bestFit="1" customWidth="1"/>
    <col min="10755" max="10755" width="13.875" style="61" bestFit="1" customWidth="1"/>
    <col min="10756" max="10756" width="17.25" style="61" bestFit="1" customWidth="1"/>
    <col min="10757" max="10758" width="20.5" style="61" bestFit="1" customWidth="1"/>
    <col min="10759" max="10759" width="0" style="61" hidden="1" customWidth="1"/>
    <col min="10760" max="10760" width="18.375" style="61" bestFit="1" customWidth="1"/>
    <col min="10761" max="10762" width="0" style="61" hidden="1" customWidth="1"/>
    <col min="10763" max="11006" width="9" style="61"/>
    <col min="11007" max="11007" width="6.625" style="61" customWidth="1"/>
    <col min="11008" max="11009" width="21.625" style="61" customWidth="1"/>
    <col min="11010" max="11010" width="16.125" style="61" bestFit="1" customWidth="1"/>
    <col min="11011" max="11011" width="13.875" style="61" bestFit="1" customWidth="1"/>
    <col min="11012" max="11012" width="17.25" style="61" bestFit="1" customWidth="1"/>
    <col min="11013" max="11014" width="20.5" style="61" bestFit="1" customWidth="1"/>
    <col min="11015" max="11015" width="0" style="61" hidden="1" customWidth="1"/>
    <col min="11016" max="11016" width="18.375" style="61" bestFit="1" customWidth="1"/>
    <col min="11017" max="11018" width="0" style="61" hidden="1" customWidth="1"/>
    <col min="11019" max="11262" width="9" style="61"/>
    <col min="11263" max="11263" width="6.625" style="61" customWidth="1"/>
    <col min="11264" max="11265" width="21.625" style="61" customWidth="1"/>
    <col min="11266" max="11266" width="16.125" style="61" bestFit="1" customWidth="1"/>
    <col min="11267" max="11267" width="13.875" style="61" bestFit="1" customWidth="1"/>
    <col min="11268" max="11268" width="17.25" style="61" bestFit="1" customWidth="1"/>
    <col min="11269" max="11270" width="20.5" style="61" bestFit="1" customWidth="1"/>
    <col min="11271" max="11271" width="0" style="61" hidden="1" customWidth="1"/>
    <col min="11272" max="11272" width="18.375" style="61" bestFit="1" customWidth="1"/>
    <col min="11273" max="11274" width="0" style="61" hidden="1" customWidth="1"/>
    <col min="11275" max="11518" width="9" style="61"/>
    <col min="11519" max="11519" width="6.625" style="61" customWidth="1"/>
    <col min="11520" max="11521" width="21.625" style="61" customWidth="1"/>
    <col min="11522" max="11522" width="16.125" style="61" bestFit="1" customWidth="1"/>
    <col min="11523" max="11523" width="13.875" style="61" bestFit="1" customWidth="1"/>
    <col min="11524" max="11524" width="17.25" style="61" bestFit="1" customWidth="1"/>
    <col min="11525" max="11526" width="20.5" style="61" bestFit="1" customWidth="1"/>
    <col min="11527" max="11527" width="0" style="61" hidden="1" customWidth="1"/>
    <col min="11528" max="11528" width="18.375" style="61" bestFit="1" customWidth="1"/>
    <col min="11529" max="11530" width="0" style="61" hidden="1" customWidth="1"/>
    <col min="11531" max="11774" width="9" style="61"/>
    <col min="11775" max="11775" width="6.625" style="61" customWidth="1"/>
    <col min="11776" max="11777" width="21.625" style="61" customWidth="1"/>
    <col min="11778" max="11778" width="16.125" style="61" bestFit="1" customWidth="1"/>
    <col min="11779" max="11779" width="13.875" style="61" bestFit="1" customWidth="1"/>
    <col min="11780" max="11780" width="17.25" style="61" bestFit="1" customWidth="1"/>
    <col min="11781" max="11782" width="20.5" style="61" bestFit="1" customWidth="1"/>
    <col min="11783" max="11783" width="0" style="61" hidden="1" customWidth="1"/>
    <col min="11784" max="11784" width="18.375" style="61" bestFit="1" customWidth="1"/>
    <col min="11785" max="11786" width="0" style="61" hidden="1" customWidth="1"/>
    <col min="11787" max="12030" width="9" style="61"/>
    <col min="12031" max="12031" width="6.625" style="61" customWidth="1"/>
    <col min="12032" max="12033" width="21.625" style="61" customWidth="1"/>
    <col min="12034" max="12034" width="16.125" style="61" bestFit="1" customWidth="1"/>
    <col min="12035" max="12035" width="13.875" style="61" bestFit="1" customWidth="1"/>
    <col min="12036" max="12036" width="17.25" style="61" bestFit="1" customWidth="1"/>
    <col min="12037" max="12038" width="20.5" style="61" bestFit="1" customWidth="1"/>
    <col min="12039" max="12039" width="0" style="61" hidden="1" customWidth="1"/>
    <col min="12040" max="12040" width="18.375" style="61" bestFit="1" customWidth="1"/>
    <col min="12041" max="12042" width="0" style="61" hidden="1" customWidth="1"/>
    <col min="12043" max="12286" width="9" style="61"/>
    <col min="12287" max="12287" width="6.625" style="61" customWidth="1"/>
    <col min="12288" max="12289" width="21.625" style="61" customWidth="1"/>
    <col min="12290" max="12290" width="16.125" style="61" bestFit="1" customWidth="1"/>
    <col min="12291" max="12291" width="13.875" style="61" bestFit="1" customWidth="1"/>
    <col min="12292" max="12292" width="17.25" style="61" bestFit="1" customWidth="1"/>
    <col min="12293" max="12294" width="20.5" style="61" bestFit="1" customWidth="1"/>
    <col min="12295" max="12295" width="0" style="61" hidden="1" customWidth="1"/>
    <col min="12296" max="12296" width="18.375" style="61" bestFit="1" customWidth="1"/>
    <col min="12297" max="12298" width="0" style="61" hidden="1" customWidth="1"/>
    <col min="12299" max="12542" width="9" style="61"/>
    <col min="12543" max="12543" width="6.625" style="61" customWidth="1"/>
    <col min="12544" max="12545" width="21.625" style="61" customWidth="1"/>
    <col min="12546" max="12546" width="16.125" style="61" bestFit="1" customWidth="1"/>
    <col min="12547" max="12547" width="13.875" style="61" bestFit="1" customWidth="1"/>
    <col min="12548" max="12548" width="17.25" style="61" bestFit="1" customWidth="1"/>
    <col min="12549" max="12550" width="20.5" style="61" bestFit="1" customWidth="1"/>
    <col min="12551" max="12551" width="0" style="61" hidden="1" customWidth="1"/>
    <col min="12552" max="12552" width="18.375" style="61" bestFit="1" customWidth="1"/>
    <col min="12553" max="12554" width="0" style="61" hidden="1" customWidth="1"/>
    <col min="12555" max="12798" width="9" style="61"/>
    <col min="12799" max="12799" width="6.625" style="61" customWidth="1"/>
    <col min="12800" max="12801" width="21.625" style="61" customWidth="1"/>
    <col min="12802" max="12802" width="16.125" style="61" bestFit="1" customWidth="1"/>
    <col min="12803" max="12803" width="13.875" style="61" bestFit="1" customWidth="1"/>
    <col min="12804" max="12804" width="17.25" style="61" bestFit="1" customWidth="1"/>
    <col min="12805" max="12806" width="20.5" style="61" bestFit="1" customWidth="1"/>
    <col min="12807" max="12807" width="0" style="61" hidden="1" customWidth="1"/>
    <col min="12808" max="12808" width="18.375" style="61" bestFit="1" customWidth="1"/>
    <col min="12809" max="12810" width="0" style="61" hidden="1" customWidth="1"/>
    <col min="12811" max="13054" width="9" style="61"/>
    <col min="13055" max="13055" width="6.625" style="61" customWidth="1"/>
    <col min="13056" max="13057" width="21.625" style="61" customWidth="1"/>
    <col min="13058" max="13058" width="16.125" style="61" bestFit="1" customWidth="1"/>
    <col min="13059" max="13059" width="13.875" style="61" bestFit="1" customWidth="1"/>
    <col min="13060" max="13060" width="17.25" style="61" bestFit="1" customWidth="1"/>
    <col min="13061" max="13062" width="20.5" style="61" bestFit="1" customWidth="1"/>
    <col min="13063" max="13063" width="0" style="61" hidden="1" customWidth="1"/>
    <col min="13064" max="13064" width="18.375" style="61" bestFit="1" customWidth="1"/>
    <col min="13065" max="13066" width="0" style="61" hidden="1" customWidth="1"/>
    <col min="13067" max="13310" width="9" style="61"/>
    <col min="13311" max="13311" width="6.625" style="61" customWidth="1"/>
    <col min="13312" max="13313" width="21.625" style="61" customWidth="1"/>
    <col min="13314" max="13314" width="16.125" style="61" bestFit="1" customWidth="1"/>
    <col min="13315" max="13315" width="13.875" style="61" bestFit="1" customWidth="1"/>
    <col min="13316" max="13316" width="17.25" style="61" bestFit="1" customWidth="1"/>
    <col min="13317" max="13318" width="20.5" style="61" bestFit="1" customWidth="1"/>
    <col min="13319" max="13319" width="0" style="61" hidden="1" customWidth="1"/>
    <col min="13320" max="13320" width="18.375" style="61" bestFit="1" customWidth="1"/>
    <col min="13321" max="13322" width="0" style="61" hidden="1" customWidth="1"/>
    <col min="13323" max="13566" width="9" style="61"/>
    <col min="13567" max="13567" width="6.625" style="61" customWidth="1"/>
    <col min="13568" max="13569" width="21.625" style="61" customWidth="1"/>
    <col min="13570" max="13570" width="16.125" style="61" bestFit="1" customWidth="1"/>
    <col min="13571" max="13571" width="13.875" style="61" bestFit="1" customWidth="1"/>
    <col min="13572" max="13572" width="17.25" style="61" bestFit="1" customWidth="1"/>
    <col min="13573" max="13574" width="20.5" style="61" bestFit="1" customWidth="1"/>
    <col min="13575" max="13575" width="0" style="61" hidden="1" customWidth="1"/>
    <col min="13576" max="13576" width="18.375" style="61" bestFit="1" customWidth="1"/>
    <col min="13577" max="13578" width="0" style="61" hidden="1" customWidth="1"/>
    <col min="13579" max="13822" width="9" style="61"/>
    <col min="13823" max="13823" width="6.625" style="61" customWidth="1"/>
    <col min="13824" max="13825" width="21.625" style="61" customWidth="1"/>
    <col min="13826" max="13826" width="16.125" style="61" bestFit="1" customWidth="1"/>
    <col min="13827" max="13827" width="13.875" style="61" bestFit="1" customWidth="1"/>
    <col min="13828" max="13828" width="17.25" style="61" bestFit="1" customWidth="1"/>
    <col min="13829" max="13830" width="20.5" style="61" bestFit="1" customWidth="1"/>
    <col min="13831" max="13831" width="0" style="61" hidden="1" customWidth="1"/>
    <col min="13832" max="13832" width="18.375" style="61" bestFit="1" customWidth="1"/>
    <col min="13833" max="13834" width="0" style="61" hidden="1" customWidth="1"/>
    <col min="13835" max="14078" width="9" style="61"/>
    <col min="14079" max="14079" width="6.625" style="61" customWidth="1"/>
    <col min="14080" max="14081" width="21.625" style="61" customWidth="1"/>
    <col min="14082" max="14082" width="16.125" style="61" bestFit="1" customWidth="1"/>
    <col min="14083" max="14083" width="13.875" style="61" bestFit="1" customWidth="1"/>
    <col min="14084" max="14084" width="17.25" style="61" bestFit="1" customWidth="1"/>
    <col min="14085" max="14086" width="20.5" style="61" bestFit="1" customWidth="1"/>
    <col min="14087" max="14087" width="0" style="61" hidden="1" customWidth="1"/>
    <col min="14088" max="14088" width="18.375" style="61" bestFit="1" customWidth="1"/>
    <col min="14089" max="14090" width="0" style="61" hidden="1" customWidth="1"/>
    <col min="14091" max="14334" width="9" style="61"/>
    <col min="14335" max="14335" width="6.625" style="61" customWidth="1"/>
    <col min="14336" max="14337" width="21.625" style="61" customWidth="1"/>
    <col min="14338" max="14338" width="16.125" style="61" bestFit="1" customWidth="1"/>
    <col min="14339" max="14339" width="13.875" style="61" bestFit="1" customWidth="1"/>
    <col min="14340" max="14340" width="17.25" style="61" bestFit="1" customWidth="1"/>
    <col min="14341" max="14342" width="20.5" style="61" bestFit="1" customWidth="1"/>
    <col min="14343" max="14343" width="0" style="61" hidden="1" customWidth="1"/>
    <col min="14344" max="14344" width="18.375" style="61" bestFit="1" customWidth="1"/>
    <col min="14345" max="14346" width="0" style="61" hidden="1" customWidth="1"/>
    <col min="14347" max="14590" width="9" style="61"/>
    <col min="14591" max="14591" width="6.625" style="61" customWidth="1"/>
    <col min="14592" max="14593" width="21.625" style="61" customWidth="1"/>
    <col min="14594" max="14594" width="16.125" style="61" bestFit="1" customWidth="1"/>
    <col min="14595" max="14595" width="13.875" style="61" bestFit="1" customWidth="1"/>
    <col min="14596" max="14596" width="17.25" style="61" bestFit="1" customWidth="1"/>
    <col min="14597" max="14598" width="20.5" style="61" bestFit="1" customWidth="1"/>
    <col min="14599" max="14599" width="0" style="61" hidden="1" customWidth="1"/>
    <col min="14600" max="14600" width="18.375" style="61" bestFit="1" customWidth="1"/>
    <col min="14601" max="14602" width="0" style="61" hidden="1" customWidth="1"/>
    <col min="14603" max="14846" width="9" style="61"/>
    <col min="14847" max="14847" width="6.625" style="61" customWidth="1"/>
    <col min="14848" max="14849" width="21.625" style="61" customWidth="1"/>
    <col min="14850" max="14850" width="16.125" style="61" bestFit="1" customWidth="1"/>
    <col min="14851" max="14851" width="13.875" style="61" bestFit="1" customWidth="1"/>
    <col min="14852" max="14852" width="17.25" style="61" bestFit="1" customWidth="1"/>
    <col min="14853" max="14854" width="20.5" style="61" bestFit="1" customWidth="1"/>
    <col min="14855" max="14855" width="0" style="61" hidden="1" customWidth="1"/>
    <col min="14856" max="14856" width="18.375" style="61" bestFit="1" customWidth="1"/>
    <col min="14857" max="14858" width="0" style="61" hidden="1" customWidth="1"/>
    <col min="14859" max="15102" width="9" style="61"/>
    <col min="15103" max="15103" width="6.625" style="61" customWidth="1"/>
    <col min="15104" max="15105" width="21.625" style="61" customWidth="1"/>
    <col min="15106" max="15106" width="16.125" style="61" bestFit="1" customWidth="1"/>
    <col min="15107" max="15107" width="13.875" style="61" bestFit="1" customWidth="1"/>
    <col min="15108" max="15108" width="17.25" style="61" bestFit="1" customWidth="1"/>
    <col min="15109" max="15110" width="20.5" style="61" bestFit="1" customWidth="1"/>
    <col min="15111" max="15111" width="0" style="61" hidden="1" customWidth="1"/>
    <col min="15112" max="15112" width="18.375" style="61" bestFit="1" customWidth="1"/>
    <col min="15113" max="15114" width="0" style="61" hidden="1" customWidth="1"/>
    <col min="15115" max="15358" width="9" style="61"/>
    <col min="15359" max="15359" width="6.625" style="61" customWidth="1"/>
    <col min="15360" max="15361" width="21.625" style="61" customWidth="1"/>
    <col min="15362" max="15362" width="16.125" style="61" bestFit="1" customWidth="1"/>
    <col min="15363" max="15363" width="13.875" style="61" bestFit="1" customWidth="1"/>
    <col min="15364" max="15364" width="17.25" style="61" bestFit="1" customWidth="1"/>
    <col min="15365" max="15366" width="20.5" style="61" bestFit="1" customWidth="1"/>
    <col min="15367" max="15367" width="0" style="61" hidden="1" customWidth="1"/>
    <col min="15368" max="15368" width="18.375" style="61" bestFit="1" customWidth="1"/>
    <col min="15369" max="15370" width="0" style="61" hidden="1" customWidth="1"/>
    <col min="15371" max="15614" width="9" style="61"/>
    <col min="15615" max="15615" width="6.625" style="61" customWidth="1"/>
    <col min="15616" max="15617" width="21.625" style="61" customWidth="1"/>
    <col min="15618" max="15618" width="16.125" style="61" bestFit="1" customWidth="1"/>
    <col min="15619" max="15619" width="13.875" style="61" bestFit="1" customWidth="1"/>
    <col min="15620" max="15620" width="17.25" style="61" bestFit="1" customWidth="1"/>
    <col min="15621" max="15622" width="20.5" style="61" bestFit="1" customWidth="1"/>
    <col min="15623" max="15623" width="0" style="61" hidden="1" customWidth="1"/>
    <col min="15624" max="15624" width="18.375" style="61" bestFit="1" customWidth="1"/>
    <col min="15625" max="15626" width="0" style="61" hidden="1" customWidth="1"/>
    <col min="15627" max="15870" width="9" style="61"/>
    <col min="15871" max="15871" width="6.625" style="61" customWidth="1"/>
    <col min="15872" max="15873" width="21.625" style="61" customWidth="1"/>
    <col min="15874" max="15874" width="16.125" style="61" bestFit="1" customWidth="1"/>
    <col min="15875" max="15875" width="13.875" style="61" bestFit="1" customWidth="1"/>
    <col min="15876" max="15876" width="17.25" style="61" bestFit="1" customWidth="1"/>
    <col min="15877" max="15878" width="20.5" style="61" bestFit="1" customWidth="1"/>
    <col min="15879" max="15879" width="0" style="61" hidden="1" customWidth="1"/>
    <col min="15880" max="15880" width="18.375" style="61" bestFit="1" customWidth="1"/>
    <col min="15881" max="15882" width="0" style="61" hidden="1" customWidth="1"/>
    <col min="15883" max="16126" width="9" style="61"/>
    <col min="16127" max="16127" width="6.625" style="61" customWidth="1"/>
    <col min="16128" max="16129" width="21.625" style="61" customWidth="1"/>
    <col min="16130" max="16130" width="16.125" style="61" bestFit="1" customWidth="1"/>
    <col min="16131" max="16131" width="13.875" style="61" bestFit="1" customWidth="1"/>
    <col min="16132" max="16132" width="17.25" style="61" bestFit="1" customWidth="1"/>
    <col min="16133" max="16134" width="20.5" style="61" bestFit="1" customWidth="1"/>
    <col min="16135" max="16135" width="0" style="61" hidden="1" customWidth="1"/>
    <col min="16136" max="16136" width="18.375" style="61" bestFit="1" customWidth="1"/>
    <col min="16137" max="16138" width="0" style="61" hidden="1" customWidth="1"/>
    <col min="16139" max="16384" width="9" style="61"/>
  </cols>
  <sheetData>
    <row r="1" spans="1:5" ht="20.25">
      <c r="A1" s="86" t="s">
        <v>235</v>
      </c>
      <c r="B1" s="87"/>
      <c r="C1" s="87"/>
      <c r="D1" s="87"/>
      <c r="E1" s="87"/>
    </row>
    <row r="2" spans="1:5" ht="35.1" customHeight="1">
      <c r="A2" s="84" t="s">
        <v>226</v>
      </c>
      <c r="B2" s="85"/>
      <c r="E2" s="73" t="s">
        <v>236</v>
      </c>
    </row>
    <row r="3" spans="1:5" ht="30" customHeight="1">
      <c r="A3" s="62" t="s">
        <v>4</v>
      </c>
      <c r="B3" s="62" t="s">
        <v>227</v>
      </c>
      <c r="C3" s="63" t="s">
        <v>237</v>
      </c>
      <c r="D3" s="63" t="s">
        <v>238</v>
      </c>
      <c r="E3" s="63" t="s">
        <v>239</v>
      </c>
    </row>
    <row r="4" spans="1:5" ht="30" customHeight="1">
      <c r="A4" s="62">
        <v>1</v>
      </c>
      <c r="B4" s="62" t="s">
        <v>228</v>
      </c>
      <c r="C4" s="74">
        <f>浦江!W4</f>
        <v>288296175.48000002</v>
      </c>
      <c r="D4" s="74"/>
      <c r="E4" s="75">
        <f t="shared" ref="E4:E9" si="0">C4-D4</f>
        <v>288296175.48000002</v>
      </c>
    </row>
    <row r="5" spans="1:5" ht="30" customHeight="1">
      <c r="A5" s="62">
        <v>2</v>
      </c>
      <c r="B5" s="62" t="s">
        <v>229</v>
      </c>
      <c r="C5" s="74">
        <f>浦江!W53</f>
        <v>57719821.839999996</v>
      </c>
      <c r="D5" s="74"/>
      <c r="E5" s="75">
        <f t="shared" si="0"/>
        <v>57719821.839999996</v>
      </c>
    </row>
    <row r="6" spans="1:5" ht="30" customHeight="1">
      <c r="A6" s="62">
        <v>3</v>
      </c>
      <c r="B6" s="62" t="s">
        <v>230</v>
      </c>
      <c r="C6" s="74">
        <f>浦江!W32</f>
        <v>163600</v>
      </c>
      <c r="D6" s="74"/>
      <c r="E6" s="75">
        <f t="shared" si="0"/>
        <v>163600</v>
      </c>
    </row>
    <row r="7" spans="1:5" ht="30" customHeight="1">
      <c r="A7" s="62">
        <v>4</v>
      </c>
      <c r="B7" s="62" t="s">
        <v>231</v>
      </c>
      <c r="C7" s="74">
        <f>社区教育!C4</f>
        <v>875091</v>
      </c>
      <c r="D7" s="74"/>
      <c r="E7" s="75">
        <f t="shared" si="0"/>
        <v>875091</v>
      </c>
    </row>
    <row r="8" spans="1:5" ht="30" customHeight="1">
      <c r="A8" s="62">
        <v>5</v>
      </c>
      <c r="B8" s="62" t="s">
        <v>232</v>
      </c>
      <c r="C8" s="74">
        <f>志愿者联盟!C4</f>
        <v>40000</v>
      </c>
      <c r="D8" s="74"/>
      <c r="E8" s="75">
        <f t="shared" si="0"/>
        <v>40000</v>
      </c>
    </row>
    <row r="9" spans="1:5" ht="30" customHeight="1">
      <c r="A9" s="62">
        <v>6</v>
      </c>
      <c r="B9" s="62" t="s">
        <v>233</v>
      </c>
      <c r="C9" s="74">
        <f>保安经费!Q4</f>
        <v>442340</v>
      </c>
      <c r="D9" s="74">
        <f>C9</f>
        <v>442340</v>
      </c>
      <c r="E9" s="75">
        <f t="shared" si="0"/>
        <v>0</v>
      </c>
    </row>
    <row r="10" spans="1:5" ht="30" customHeight="1">
      <c r="A10" s="62"/>
      <c r="B10" s="62" t="s">
        <v>234</v>
      </c>
      <c r="C10" s="76">
        <f>SUM(C4:C9)</f>
        <v>347537028.31999999</v>
      </c>
      <c r="D10" s="76">
        <f>SUM(D4:D9)</f>
        <v>442340</v>
      </c>
      <c r="E10" s="76">
        <f>SUM(E4:E9)</f>
        <v>347094688.31999999</v>
      </c>
    </row>
    <row r="11" spans="1:5" ht="30" customHeight="1"/>
    <row r="12" spans="1:5" ht="30" customHeight="1"/>
  </sheetData>
  <mergeCells count="2">
    <mergeCell ref="A2:B2"/>
    <mergeCell ref="A1:E1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9" sqref="A9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88" t="s">
        <v>12</v>
      </c>
      <c r="B1" s="88"/>
      <c r="C1" s="88"/>
    </row>
    <row r="2" spans="1:3" ht="24.95" customHeight="1">
      <c r="A2" s="66" t="s">
        <v>2</v>
      </c>
      <c r="B2" s="66" t="s">
        <v>13</v>
      </c>
      <c r="C2" s="66" t="s">
        <v>14</v>
      </c>
    </row>
    <row r="3" spans="1:3" ht="24.95" customHeight="1">
      <c r="A3" s="2" t="s">
        <v>3</v>
      </c>
      <c r="B3" s="6">
        <v>291697</v>
      </c>
      <c r="C3" s="65">
        <f t="shared" ref="C3" si="0">B3*3</f>
        <v>875091</v>
      </c>
    </row>
    <row r="4" spans="1:3" ht="24.95" customHeight="1">
      <c r="A4" s="67" t="s">
        <v>1</v>
      </c>
      <c r="B4" s="68">
        <f>SUM(B3:B3)</f>
        <v>291697</v>
      </c>
      <c r="C4" s="69">
        <f>SUM(C3:C3)</f>
        <v>875091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35" sqref="D35"/>
    </sheetView>
  </sheetViews>
  <sheetFormatPr defaultRowHeight="13.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>
      <c r="A1" s="89" t="s">
        <v>15</v>
      </c>
      <c r="B1" s="89"/>
      <c r="C1" s="89"/>
    </row>
    <row r="2" spans="1:3" ht="24.95" customHeight="1">
      <c r="A2" s="7" t="s">
        <v>4</v>
      </c>
      <c r="B2" s="7" t="s">
        <v>16</v>
      </c>
      <c r="C2" s="8" t="s">
        <v>17</v>
      </c>
    </row>
    <row r="3" spans="1:3" ht="24.95" customHeight="1">
      <c r="A3" s="9">
        <v>1</v>
      </c>
      <c r="B3" s="9" t="s">
        <v>5</v>
      </c>
      <c r="C3" s="71">
        <v>40000</v>
      </c>
    </row>
    <row r="4" spans="1:3" ht="24.95" customHeight="1">
      <c r="A4" s="70"/>
      <c r="B4" s="3" t="s">
        <v>6</v>
      </c>
      <c r="C4" s="72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K20" sqref="K20"/>
    </sheetView>
  </sheetViews>
  <sheetFormatPr defaultRowHeight="12"/>
  <cols>
    <col min="1" max="1" width="18.625" style="12" customWidth="1"/>
    <col min="2" max="2" width="7.125" style="12" customWidth="1"/>
    <col min="3" max="3" width="8.375" style="12" customWidth="1"/>
    <col min="4" max="6" width="9" style="12"/>
    <col min="7" max="7" width="12.5" style="12" customWidth="1"/>
    <col min="8" max="10" width="9" style="12"/>
    <col min="11" max="11" width="13" style="12" customWidth="1"/>
    <col min="12" max="12" width="11.875" style="12" customWidth="1"/>
    <col min="13" max="14" width="9" style="12"/>
    <col min="15" max="15" width="12.5" style="12" customWidth="1"/>
    <col min="16" max="16" width="11" style="12" customWidth="1"/>
    <col min="17" max="17" width="10.5" style="12" bestFit="1" customWidth="1"/>
    <col min="18" max="16384" width="9" style="12"/>
  </cols>
  <sheetData>
    <row r="1" spans="1:17" ht="31.5" customHeight="1">
      <c r="A1" s="91" t="s">
        <v>194</v>
      </c>
      <c r="B1" s="91"/>
      <c r="C1" s="91"/>
      <c r="D1" s="92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  <c r="Q1" s="93"/>
    </row>
    <row r="2" spans="1:17" s="15" customFormat="1" ht="39.950000000000003" customHeight="1">
      <c r="A2" s="90" t="s">
        <v>176</v>
      </c>
      <c r="B2" s="90"/>
      <c r="C2" s="13" t="s">
        <v>180</v>
      </c>
      <c r="D2" s="14" t="s">
        <v>181</v>
      </c>
      <c r="E2" s="14" t="s">
        <v>182</v>
      </c>
      <c r="F2" s="10" t="s">
        <v>183</v>
      </c>
      <c r="G2" s="11" t="s">
        <v>184</v>
      </c>
      <c r="H2" s="14" t="s">
        <v>185</v>
      </c>
      <c r="I2" s="14" t="s">
        <v>186</v>
      </c>
      <c r="J2" s="14" t="s">
        <v>187</v>
      </c>
      <c r="K2" s="14" t="s">
        <v>188</v>
      </c>
      <c r="L2" s="26" t="s">
        <v>189</v>
      </c>
      <c r="M2" s="14" t="s">
        <v>191</v>
      </c>
      <c r="N2" s="14" t="s">
        <v>192</v>
      </c>
      <c r="O2" s="14" t="s">
        <v>172</v>
      </c>
      <c r="P2" s="14" t="s">
        <v>190</v>
      </c>
      <c r="Q2" s="13" t="s">
        <v>193</v>
      </c>
    </row>
    <row r="3" spans="1:17" s="24" customFormat="1" ht="26.1" customHeight="1">
      <c r="A3" s="95" t="s">
        <v>10</v>
      </c>
      <c r="B3" s="95"/>
      <c r="C3" s="16" t="s">
        <v>177</v>
      </c>
      <c r="D3" s="19">
        <v>1</v>
      </c>
      <c r="E3" s="20">
        <v>5</v>
      </c>
      <c r="F3" s="21">
        <v>74872</v>
      </c>
      <c r="G3" s="21">
        <v>374360</v>
      </c>
      <c r="H3" s="19">
        <v>0</v>
      </c>
      <c r="I3" s="19">
        <v>0</v>
      </c>
      <c r="J3" s="22">
        <v>0</v>
      </c>
      <c r="K3" s="23">
        <v>374360</v>
      </c>
      <c r="L3" s="18">
        <f>K3/4</f>
        <v>93590</v>
      </c>
      <c r="M3" s="17">
        <v>1</v>
      </c>
      <c r="N3" s="17">
        <v>5</v>
      </c>
      <c r="O3" s="18">
        <v>69750</v>
      </c>
      <c r="P3" s="18">
        <v>348750</v>
      </c>
      <c r="Q3" s="18">
        <f>L3+P3</f>
        <v>442340</v>
      </c>
    </row>
    <row r="4" spans="1:17" s="24" customFormat="1" ht="26.1" customHeight="1">
      <c r="A4" s="94" t="s">
        <v>18</v>
      </c>
      <c r="B4" s="94"/>
      <c r="C4" s="94"/>
      <c r="D4" s="77">
        <f t="shared" ref="D4:Q4" si="0">SUM(D3:D3)</f>
        <v>1</v>
      </c>
      <c r="E4" s="78">
        <f t="shared" si="0"/>
        <v>5</v>
      </c>
      <c r="F4" s="79">
        <f t="shared" si="0"/>
        <v>74872</v>
      </c>
      <c r="G4" s="79">
        <f t="shared" si="0"/>
        <v>374360</v>
      </c>
      <c r="H4" s="77">
        <f t="shared" si="0"/>
        <v>0</v>
      </c>
      <c r="I4" s="77">
        <f t="shared" si="0"/>
        <v>0</v>
      </c>
      <c r="J4" s="80">
        <f t="shared" si="0"/>
        <v>0</v>
      </c>
      <c r="K4" s="81">
        <f t="shared" si="0"/>
        <v>374360</v>
      </c>
      <c r="L4" s="82">
        <f t="shared" si="0"/>
        <v>93590</v>
      </c>
      <c r="M4" s="83">
        <f t="shared" si="0"/>
        <v>1</v>
      </c>
      <c r="N4" s="83">
        <f t="shared" si="0"/>
        <v>5</v>
      </c>
      <c r="O4" s="82">
        <f t="shared" si="0"/>
        <v>69750</v>
      </c>
      <c r="P4" s="82">
        <f t="shared" si="0"/>
        <v>348750</v>
      </c>
      <c r="Q4" s="82">
        <f t="shared" si="0"/>
        <v>442340</v>
      </c>
    </row>
    <row r="12" spans="1:17">
      <c r="K12" s="25"/>
    </row>
  </sheetData>
  <mergeCells count="4">
    <mergeCell ref="A2:B2"/>
    <mergeCell ref="A1:Q1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111" sqref="A111:XFD111"/>
    </sheetView>
  </sheetViews>
  <sheetFormatPr defaultColWidth="15.625" defaultRowHeight="11.25"/>
  <cols>
    <col min="1" max="1" width="4.625" style="59" customWidth="1"/>
    <col min="2" max="2" width="29.25" style="29" customWidth="1"/>
    <col min="3" max="3" width="13" style="29" customWidth="1"/>
    <col min="4" max="4" width="20" style="60" customWidth="1"/>
    <col min="5" max="6" width="15.625" style="29"/>
    <col min="7" max="7" width="16.25" style="29" bestFit="1" customWidth="1"/>
    <col min="8" max="15" width="15.625" style="29"/>
    <col min="16" max="16" width="16.25" style="29" bestFit="1" customWidth="1"/>
    <col min="17" max="256" width="15.625" style="29"/>
    <col min="257" max="257" width="4.625" style="29" customWidth="1"/>
    <col min="258" max="258" width="29.25" style="29" customWidth="1"/>
    <col min="259" max="259" width="13" style="29" customWidth="1"/>
    <col min="260" max="260" width="20" style="29" customWidth="1"/>
    <col min="261" max="262" width="15.625" style="29"/>
    <col min="263" max="263" width="16.25" style="29" bestFit="1" customWidth="1"/>
    <col min="264" max="271" width="15.625" style="29"/>
    <col min="272" max="272" width="16.25" style="29" bestFit="1" customWidth="1"/>
    <col min="273" max="512" width="15.625" style="29"/>
    <col min="513" max="513" width="4.625" style="29" customWidth="1"/>
    <col min="514" max="514" width="29.25" style="29" customWidth="1"/>
    <col min="515" max="515" width="13" style="29" customWidth="1"/>
    <col min="516" max="516" width="20" style="29" customWidth="1"/>
    <col min="517" max="518" width="15.625" style="29"/>
    <col min="519" max="519" width="16.25" style="29" bestFit="1" customWidth="1"/>
    <col min="520" max="527" width="15.625" style="29"/>
    <col min="528" max="528" width="16.25" style="29" bestFit="1" customWidth="1"/>
    <col min="529" max="768" width="15.625" style="29"/>
    <col min="769" max="769" width="4.625" style="29" customWidth="1"/>
    <col min="770" max="770" width="29.25" style="29" customWidth="1"/>
    <col min="771" max="771" width="13" style="29" customWidth="1"/>
    <col min="772" max="772" width="20" style="29" customWidth="1"/>
    <col min="773" max="774" width="15.625" style="29"/>
    <col min="775" max="775" width="16.25" style="29" bestFit="1" customWidth="1"/>
    <col min="776" max="783" width="15.625" style="29"/>
    <col min="784" max="784" width="16.25" style="29" bestFit="1" customWidth="1"/>
    <col min="785" max="1024" width="15.625" style="29"/>
    <col min="1025" max="1025" width="4.625" style="29" customWidth="1"/>
    <col min="1026" max="1026" width="29.25" style="29" customWidth="1"/>
    <col min="1027" max="1027" width="13" style="29" customWidth="1"/>
    <col min="1028" max="1028" width="20" style="29" customWidth="1"/>
    <col min="1029" max="1030" width="15.625" style="29"/>
    <col min="1031" max="1031" width="16.25" style="29" bestFit="1" customWidth="1"/>
    <col min="1032" max="1039" width="15.625" style="29"/>
    <col min="1040" max="1040" width="16.25" style="29" bestFit="1" customWidth="1"/>
    <col min="1041" max="1280" width="15.625" style="29"/>
    <col min="1281" max="1281" width="4.625" style="29" customWidth="1"/>
    <col min="1282" max="1282" width="29.25" style="29" customWidth="1"/>
    <col min="1283" max="1283" width="13" style="29" customWidth="1"/>
    <col min="1284" max="1284" width="20" style="29" customWidth="1"/>
    <col min="1285" max="1286" width="15.625" style="29"/>
    <col min="1287" max="1287" width="16.25" style="29" bestFit="1" customWidth="1"/>
    <col min="1288" max="1295" width="15.625" style="29"/>
    <col min="1296" max="1296" width="16.25" style="29" bestFit="1" customWidth="1"/>
    <col min="1297" max="1536" width="15.625" style="29"/>
    <col min="1537" max="1537" width="4.625" style="29" customWidth="1"/>
    <col min="1538" max="1538" width="29.25" style="29" customWidth="1"/>
    <col min="1539" max="1539" width="13" style="29" customWidth="1"/>
    <col min="1540" max="1540" width="20" style="29" customWidth="1"/>
    <col min="1541" max="1542" width="15.625" style="29"/>
    <col min="1543" max="1543" width="16.25" style="29" bestFit="1" customWidth="1"/>
    <col min="1544" max="1551" width="15.625" style="29"/>
    <col min="1552" max="1552" width="16.25" style="29" bestFit="1" customWidth="1"/>
    <col min="1553" max="1792" width="15.625" style="29"/>
    <col min="1793" max="1793" width="4.625" style="29" customWidth="1"/>
    <col min="1794" max="1794" width="29.25" style="29" customWidth="1"/>
    <col min="1795" max="1795" width="13" style="29" customWidth="1"/>
    <col min="1796" max="1796" width="20" style="29" customWidth="1"/>
    <col min="1797" max="1798" width="15.625" style="29"/>
    <col min="1799" max="1799" width="16.25" style="29" bestFit="1" customWidth="1"/>
    <col min="1800" max="1807" width="15.625" style="29"/>
    <col min="1808" max="1808" width="16.25" style="29" bestFit="1" customWidth="1"/>
    <col min="1809" max="2048" width="15.625" style="29"/>
    <col min="2049" max="2049" width="4.625" style="29" customWidth="1"/>
    <col min="2050" max="2050" width="29.25" style="29" customWidth="1"/>
    <col min="2051" max="2051" width="13" style="29" customWidth="1"/>
    <col min="2052" max="2052" width="20" style="29" customWidth="1"/>
    <col min="2053" max="2054" width="15.625" style="29"/>
    <col min="2055" max="2055" width="16.25" style="29" bestFit="1" customWidth="1"/>
    <col min="2056" max="2063" width="15.625" style="29"/>
    <col min="2064" max="2064" width="16.25" style="29" bestFit="1" customWidth="1"/>
    <col min="2065" max="2304" width="15.625" style="29"/>
    <col min="2305" max="2305" width="4.625" style="29" customWidth="1"/>
    <col min="2306" max="2306" width="29.25" style="29" customWidth="1"/>
    <col min="2307" max="2307" width="13" style="29" customWidth="1"/>
    <col min="2308" max="2308" width="20" style="29" customWidth="1"/>
    <col min="2309" max="2310" width="15.625" style="29"/>
    <col min="2311" max="2311" width="16.25" style="29" bestFit="1" customWidth="1"/>
    <col min="2312" max="2319" width="15.625" style="29"/>
    <col min="2320" max="2320" width="16.25" style="29" bestFit="1" customWidth="1"/>
    <col min="2321" max="2560" width="15.625" style="29"/>
    <col min="2561" max="2561" width="4.625" style="29" customWidth="1"/>
    <col min="2562" max="2562" width="29.25" style="29" customWidth="1"/>
    <col min="2563" max="2563" width="13" style="29" customWidth="1"/>
    <col min="2564" max="2564" width="20" style="29" customWidth="1"/>
    <col min="2565" max="2566" width="15.625" style="29"/>
    <col min="2567" max="2567" width="16.25" style="29" bestFit="1" customWidth="1"/>
    <col min="2568" max="2575" width="15.625" style="29"/>
    <col min="2576" max="2576" width="16.25" style="29" bestFit="1" customWidth="1"/>
    <col min="2577" max="2816" width="15.625" style="29"/>
    <col min="2817" max="2817" width="4.625" style="29" customWidth="1"/>
    <col min="2818" max="2818" width="29.25" style="29" customWidth="1"/>
    <col min="2819" max="2819" width="13" style="29" customWidth="1"/>
    <col min="2820" max="2820" width="20" style="29" customWidth="1"/>
    <col min="2821" max="2822" width="15.625" style="29"/>
    <col min="2823" max="2823" width="16.25" style="29" bestFit="1" customWidth="1"/>
    <col min="2824" max="2831" width="15.625" style="29"/>
    <col min="2832" max="2832" width="16.25" style="29" bestFit="1" customWidth="1"/>
    <col min="2833" max="3072" width="15.625" style="29"/>
    <col min="3073" max="3073" width="4.625" style="29" customWidth="1"/>
    <col min="3074" max="3074" width="29.25" style="29" customWidth="1"/>
    <col min="3075" max="3075" width="13" style="29" customWidth="1"/>
    <col min="3076" max="3076" width="20" style="29" customWidth="1"/>
    <col min="3077" max="3078" width="15.625" style="29"/>
    <col min="3079" max="3079" width="16.25" style="29" bestFit="1" customWidth="1"/>
    <col min="3080" max="3087" width="15.625" style="29"/>
    <col min="3088" max="3088" width="16.25" style="29" bestFit="1" customWidth="1"/>
    <col min="3089" max="3328" width="15.625" style="29"/>
    <col min="3329" max="3329" width="4.625" style="29" customWidth="1"/>
    <col min="3330" max="3330" width="29.25" style="29" customWidth="1"/>
    <col min="3331" max="3331" width="13" style="29" customWidth="1"/>
    <col min="3332" max="3332" width="20" style="29" customWidth="1"/>
    <col min="3333" max="3334" width="15.625" style="29"/>
    <col min="3335" max="3335" width="16.25" style="29" bestFit="1" customWidth="1"/>
    <col min="3336" max="3343" width="15.625" style="29"/>
    <col min="3344" max="3344" width="16.25" style="29" bestFit="1" customWidth="1"/>
    <col min="3345" max="3584" width="15.625" style="29"/>
    <col min="3585" max="3585" width="4.625" style="29" customWidth="1"/>
    <col min="3586" max="3586" width="29.25" style="29" customWidth="1"/>
    <col min="3587" max="3587" width="13" style="29" customWidth="1"/>
    <col min="3588" max="3588" width="20" style="29" customWidth="1"/>
    <col min="3589" max="3590" width="15.625" style="29"/>
    <col min="3591" max="3591" width="16.25" style="29" bestFit="1" customWidth="1"/>
    <col min="3592" max="3599" width="15.625" style="29"/>
    <col min="3600" max="3600" width="16.25" style="29" bestFit="1" customWidth="1"/>
    <col min="3601" max="3840" width="15.625" style="29"/>
    <col min="3841" max="3841" width="4.625" style="29" customWidth="1"/>
    <col min="3842" max="3842" width="29.25" style="29" customWidth="1"/>
    <col min="3843" max="3843" width="13" style="29" customWidth="1"/>
    <col min="3844" max="3844" width="20" style="29" customWidth="1"/>
    <col min="3845" max="3846" width="15.625" style="29"/>
    <col min="3847" max="3847" width="16.25" style="29" bestFit="1" customWidth="1"/>
    <col min="3848" max="3855" width="15.625" style="29"/>
    <col min="3856" max="3856" width="16.25" style="29" bestFit="1" customWidth="1"/>
    <col min="3857" max="4096" width="15.625" style="29"/>
    <col min="4097" max="4097" width="4.625" style="29" customWidth="1"/>
    <col min="4098" max="4098" width="29.25" style="29" customWidth="1"/>
    <col min="4099" max="4099" width="13" style="29" customWidth="1"/>
    <col min="4100" max="4100" width="20" style="29" customWidth="1"/>
    <col min="4101" max="4102" width="15.625" style="29"/>
    <col min="4103" max="4103" width="16.25" style="29" bestFit="1" customWidth="1"/>
    <col min="4104" max="4111" width="15.625" style="29"/>
    <col min="4112" max="4112" width="16.25" style="29" bestFit="1" customWidth="1"/>
    <col min="4113" max="4352" width="15.625" style="29"/>
    <col min="4353" max="4353" width="4.625" style="29" customWidth="1"/>
    <col min="4354" max="4354" width="29.25" style="29" customWidth="1"/>
    <col min="4355" max="4355" width="13" style="29" customWidth="1"/>
    <col min="4356" max="4356" width="20" style="29" customWidth="1"/>
    <col min="4357" max="4358" width="15.625" style="29"/>
    <col min="4359" max="4359" width="16.25" style="29" bestFit="1" customWidth="1"/>
    <col min="4360" max="4367" width="15.625" style="29"/>
    <col min="4368" max="4368" width="16.25" style="29" bestFit="1" customWidth="1"/>
    <col min="4369" max="4608" width="15.625" style="29"/>
    <col min="4609" max="4609" width="4.625" style="29" customWidth="1"/>
    <col min="4610" max="4610" width="29.25" style="29" customWidth="1"/>
    <col min="4611" max="4611" width="13" style="29" customWidth="1"/>
    <col min="4612" max="4612" width="20" style="29" customWidth="1"/>
    <col min="4613" max="4614" width="15.625" style="29"/>
    <col min="4615" max="4615" width="16.25" style="29" bestFit="1" customWidth="1"/>
    <col min="4616" max="4623" width="15.625" style="29"/>
    <col min="4624" max="4624" width="16.25" style="29" bestFit="1" customWidth="1"/>
    <col min="4625" max="4864" width="15.625" style="29"/>
    <col min="4865" max="4865" width="4.625" style="29" customWidth="1"/>
    <col min="4866" max="4866" width="29.25" style="29" customWidth="1"/>
    <col min="4867" max="4867" width="13" style="29" customWidth="1"/>
    <col min="4868" max="4868" width="20" style="29" customWidth="1"/>
    <col min="4869" max="4870" width="15.625" style="29"/>
    <col min="4871" max="4871" width="16.25" style="29" bestFit="1" customWidth="1"/>
    <col min="4872" max="4879" width="15.625" style="29"/>
    <col min="4880" max="4880" width="16.25" style="29" bestFit="1" customWidth="1"/>
    <col min="4881" max="5120" width="15.625" style="29"/>
    <col min="5121" max="5121" width="4.625" style="29" customWidth="1"/>
    <col min="5122" max="5122" width="29.25" style="29" customWidth="1"/>
    <col min="5123" max="5123" width="13" style="29" customWidth="1"/>
    <col min="5124" max="5124" width="20" style="29" customWidth="1"/>
    <col min="5125" max="5126" width="15.625" style="29"/>
    <col min="5127" max="5127" width="16.25" style="29" bestFit="1" customWidth="1"/>
    <col min="5128" max="5135" width="15.625" style="29"/>
    <col min="5136" max="5136" width="16.25" style="29" bestFit="1" customWidth="1"/>
    <col min="5137" max="5376" width="15.625" style="29"/>
    <col min="5377" max="5377" width="4.625" style="29" customWidth="1"/>
    <col min="5378" max="5378" width="29.25" style="29" customWidth="1"/>
    <col min="5379" max="5379" width="13" style="29" customWidth="1"/>
    <col min="5380" max="5380" width="20" style="29" customWidth="1"/>
    <col min="5381" max="5382" width="15.625" style="29"/>
    <col min="5383" max="5383" width="16.25" style="29" bestFit="1" customWidth="1"/>
    <col min="5384" max="5391" width="15.625" style="29"/>
    <col min="5392" max="5392" width="16.25" style="29" bestFit="1" customWidth="1"/>
    <col min="5393" max="5632" width="15.625" style="29"/>
    <col min="5633" max="5633" width="4.625" style="29" customWidth="1"/>
    <col min="5634" max="5634" width="29.25" style="29" customWidth="1"/>
    <col min="5635" max="5635" width="13" style="29" customWidth="1"/>
    <col min="5636" max="5636" width="20" style="29" customWidth="1"/>
    <col min="5637" max="5638" width="15.625" style="29"/>
    <col min="5639" max="5639" width="16.25" style="29" bestFit="1" customWidth="1"/>
    <col min="5640" max="5647" width="15.625" style="29"/>
    <col min="5648" max="5648" width="16.25" style="29" bestFit="1" customWidth="1"/>
    <col min="5649" max="5888" width="15.625" style="29"/>
    <col min="5889" max="5889" width="4.625" style="29" customWidth="1"/>
    <col min="5890" max="5890" width="29.25" style="29" customWidth="1"/>
    <col min="5891" max="5891" width="13" style="29" customWidth="1"/>
    <col min="5892" max="5892" width="20" style="29" customWidth="1"/>
    <col min="5893" max="5894" width="15.625" style="29"/>
    <col min="5895" max="5895" width="16.25" style="29" bestFit="1" customWidth="1"/>
    <col min="5896" max="5903" width="15.625" style="29"/>
    <col min="5904" max="5904" width="16.25" style="29" bestFit="1" customWidth="1"/>
    <col min="5905" max="6144" width="15.625" style="29"/>
    <col min="6145" max="6145" width="4.625" style="29" customWidth="1"/>
    <col min="6146" max="6146" width="29.25" style="29" customWidth="1"/>
    <col min="6147" max="6147" width="13" style="29" customWidth="1"/>
    <col min="6148" max="6148" width="20" style="29" customWidth="1"/>
    <col min="6149" max="6150" width="15.625" style="29"/>
    <col min="6151" max="6151" width="16.25" style="29" bestFit="1" customWidth="1"/>
    <col min="6152" max="6159" width="15.625" style="29"/>
    <col min="6160" max="6160" width="16.25" style="29" bestFit="1" customWidth="1"/>
    <col min="6161" max="6400" width="15.625" style="29"/>
    <col min="6401" max="6401" width="4.625" style="29" customWidth="1"/>
    <col min="6402" max="6402" width="29.25" style="29" customWidth="1"/>
    <col min="6403" max="6403" width="13" style="29" customWidth="1"/>
    <col min="6404" max="6404" width="20" style="29" customWidth="1"/>
    <col min="6405" max="6406" width="15.625" style="29"/>
    <col min="6407" max="6407" width="16.25" style="29" bestFit="1" customWidth="1"/>
    <col min="6408" max="6415" width="15.625" style="29"/>
    <col min="6416" max="6416" width="16.25" style="29" bestFit="1" customWidth="1"/>
    <col min="6417" max="6656" width="15.625" style="29"/>
    <col min="6657" max="6657" width="4.625" style="29" customWidth="1"/>
    <col min="6658" max="6658" width="29.25" style="29" customWidth="1"/>
    <col min="6659" max="6659" width="13" style="29" customWidth="1"/>
    <col min="6660" max="6660" width="20" style="29" customWidth="1"/>
    <col min="6661" max="6662" width="15.625" style="29"/>
    <col min="6663" max="6663" width="16.25" style="29" bestFit="1" customWidth="1"/>
    <col min="6664" max="6671" width="15.625" style="29"/>
    <col min="6672" max="6672" width="16.25" style="29" bestFit="1" customWidth="1"/>
    <col min="6673" max="6912" width="15.625" style="29"/>
    <col min="6913" max="6913" width="4.625" style="29" customWidth="1"/>
    <col min="6914" max="6914" width="29.25" style="29" customWidth="1"/>
    <col min="6915" max="6915" width="13" style="29" customWidth="1"/>
    <col min="6916" max="6916" width="20" style="29" customWidth="1"/>
    <col min="6917" max="6918" width="15.625" style="29"/>
    <col min="6919" max="6919" width="16.25" style="29" bestFit="1" customWidth="1"/>
    <col min="6920" max="6927" width="15.625" style="29"/>
    <col min="6928" max="6928" width="16.25" style="29" bestFit="1" customWidth="1"/>
    <col min="6929" max="7168" width="15.625" style="29"/>
    <col min="7169" max="7169" width="4.625" style="29" customWidth="1"/>
    <col min="7170" max="7170" width="29.25" style="29" customWidth="1"/>
    <col min="7171" max="7171" width="13" style="29" customWidth="1"/>
    <col min="7172" max="7172" width="20" style="29" customWidth="1"/>
    <col min="7173" max="7174" width="15.625" style="29"/>
    <col min="7175" max="7175" width="16.25" style="29" bestFit="1" customWidth="1"/>
    <col min="7176" max="7183" width="15.625" style="29"/>
    <col min="7184" max="7184" width="16.25" style="29" bestFit="1" customWidth="1"/>
    <col min="7185" max="7424" width="15.625" style="29"/>
    <col min="7425" max="7425" width="4.625" style="29" customWidth="1"/>
    <col min="7426" max="7426" width="29.25" style="29" customWidth="1"/>
    <col min="7427" max="7427" width="13" style="29" customWidth="1"/>
    <col min="7428" max="7428" width="20" style="29" customWidth="1"/>
    <col min="7429" max="7430" width="15.625" style="29"/>
    <col min="7431" max="7431" width="16.25" style="29" bestFit="1" customWidth="1"/>
    <col min="7432" max="7439" width="15.625" style="29"/>
    <col min="7440" max="7440" width="16.25" style="29" bestFit="1" customWidth="1"/>
    <col min="7441" max="7680" width="15.625" style="29"/>
    <col min="7681" max="7681" width="4.625" style="29" customWidth="1"/>
    <col min="7682" max="7682" width="29.25" style="29" customWidth="1"/>
    <col min="7683" max="7683" width="13" style="29" customWidth="1"/>
    <col min="7684" max="7684" width="20" style="29" customWidth="1"/>
    <col min="7685" max="7686" width="15.625" style="29"/>
    <col min="7687" max="7687" width="16.25" style="29" bestFit="1" customWidth="1"/>
    <col min="7688" max="7695" width="15.625" style="29"/>
    <col min="7696" max="7696" width="16.25" style="29" bestFit="1" customWidth="1"/>
    <col min="7697" max="7936" width="15.625" style="29"/>
    <col min="7937" max="7937" width="4.625" style="29" customWidth="1"/>
    <col min="7938" max="7938" width="29.25" style="29" customWidth="1"/>
    <col min="7939" max="7939" width="13" style="29" customWidth="1"/>
    <col min="7940" max="7940" width="20" style="29" customWidth="1"/>
    <col min="7941" max="7942" width="15.625" style="29"/>
    <col min="7943" max="7943" width="16.25" style="29" bestFit="1" customWidth="1"/>
    <col min="7944" max="7951" width="15.625" style="29"/>
    <col min="7952" max="7952" width="16.25" style="29" bestFit="1" customWidth="1"/>
    <col min="7953" max="8192" width="15.625" style="29"/>
    <col min="8193" max="8193" width="4.625" style="29" customWidth="1"/>
    <col min="8194" max="8194" width="29.25" style="29" customWidth="1"/>
    <col min="8195" max="8195" width="13" style="29" customWidth="1"/>
    <col min="8196" max="8196" width="20" style="29" customWidth="1"/>
    <col min="8197" max="8198" width="15.625" style="29"/>
    <col min="8199" max="8199" width="16.25" style="29" bestFit="1" customWidth="1"/>
    <col min="8200" max="8207" width="15.625" style="29"/>
    <col min="8208" max="8208" width="16.25" style="29" bestFit="1" customWidth="1"/>
    <col min="8209" max="8448" width="15.625" style="29"/>
    <col min="8449" max="8449" width="4.625" style="29" customWidth="1"/>
    <col min="8450" max="8450" width="29.25" style="29" customWidth="1"/>
    <col min="8451" max="8451" width="13" style="29" customWidth="1"/>
    <col min="8452" max="8452" width="20" style="29" customWidth="1"/>
    <col min="8453" max="8454" width="15.625" style="29"/>
    <col min="8455" max="8455" width="16.25" style="29" bestFit="1" customWidth="1"/>
    <col min="8456" max="8463" width="15.625" style="29"/>
    <col min="8464" max="8464" width="16.25" style="29" bestFit="1" customWidth="1"/>
    <col min="8465" max="8704" width="15.625" style="29"/>
    <col min="8705" max="8705" width="4.625" style="29" customWidth="1"/>
    <col min="8706" max="8706" width="29.25" style="29" customWidth="1"/>
    <col min="8707" max="8707" width="13" style="29" customWidth="1"/>
    <col min="8708" max="8708" width="20" style="29" customWidth="1"/>
    <col min="8709" max="8710" width="15.625" style="29"/>
    <col min="8711" max="8711" width="16.25" style="29" bestFit="1" customWidth="1"/>
    <col min="8712" max="8719" width="15.625" style="29"/>
    <col min="8720" max="8720" width="16.25" style="29" bestFit="1" customWidth="1"/>
    <col min="8721" max="8960" width="15.625" style="29"/>
    <col min="8961" max="8961" width="4.625" style="29" customWidth="1"/>
    <col min="8962" max="8962" width="29.25" style="29" customWidth="1"/>
    <col min="8963" max="8963" width="13" style="29" customWidth="1"/>
    <col min="8964" max="8964" width="20" style="29" customWidth="1"/>
    <col min="8965" max="8966" width="15.625" style="29"/>
    <col min="8967" max="8967" width="16.25" style="29" bestFit="1" customWidth="1"/>
    <col min="8968" max="8975" width="15.625" style="29"/>
    <col min="8976" max="8976" width="16.25" style="29" bestFit="1" customWidth="1"/>
    <col min="8977" max="9216" width="15.625" style="29"/>
    <col min="9217" max="9217" width="4.625" style="29" customWidth="1"/>
    <col min="9218" max="9218" width="29.25" style="29" customWidth="1"/>
    <col min="9219" max="9219" width="13" style="29" customWidth="1"/>
    <col min="9220" max="9220" width="20" style="29" customWidth="1"/>
    <col min="9221" max="9222" width="15.625" style="29"/>
    <col min="9223" max="9223" width="16.25" style="29" bestFit="1" customWidth="1"/>
    <col min="9224" max="9231" width="15.625" style="29"/>
    <col min="9232" max="9232" width="16.25" style="29" bestFit="1" customWidth="1"/>
    <col min="9233" max="9472" width="15.625" style="29"/>
    <col min="9473" max="9473" width="4.625" style="29" customWidth="1"/>
    <col min="9474" max="9474" width="29.25" style="29" customWidth="1"/>
    <col min="9475" max="9475" width="13" style="29" customWidth="1"/>
    <col min="9476" max="9476" width="20" style="29" customWidth="1"/>
    <col min="9477" max="9478" width="15.625" style="29"/>
    <col min="9479" max="9479" width="16.25" style="29" bestFit="1" customWidth="1"/>
    <col min="9480" max="9487" width="15.625" style="29"/>
    <col min="9488" max="9488" width="16.25" style="29" bestFit="1" customWidth="1"/>
    <col min="9489" max="9728" width="15.625" style="29"/>
    <col min="9729" max="9729" width="4.625" style="29" customWidth="1"/>
    <col min="9730" max="9730" width="29.25" style="29" customWidth="1"/>
    <col min="9731" max="9731" width="13" style="29" customWidth="1"/>
    <col min="9732" max="9732" width="20" style="29" customWidth="1"/>
    <col min="9733" max="9734" width="15.625" style="29"/>
    <col min="9735" max="9735" width="16.25" style="29" bestFit="1" customWidth="1"/>
    <col min="9736" max="9743" width="15.625" style="29"/>
    <col min="9744" max="9744" width="16.25" style="29" bestFit="1" customWidth="1"/>
    <col min="9745" max="9984" width="15.625" style="29"/>
    <col min="9985" max="9985" width="4.625" style="29" customWidth="1"/>
    <col min="9986" max="9986" width="29.25" style="29" customWidth="1"/>
    <col min="9987" max="9987" width="13" style="29" customWidth="1"/>
    <col min="9988" max="9988" width="20" style="29" customWidth="1"/>
    <col min="9989" max="9990" width="15.625" style="29"/>
    <col min="9991" max="9991" width="16.25" style="29" bestFit="1" customWidth="1"/>
    <col min="9992" max="9999" width="15.625" style="29"/>
    <col min="10000" max="10000" width="16.25" style="29" bestFit="1" customWidth="1"/>
    <col min="10001" max="10240" width="15.625" style="29"/>
    <col min="10241" max="10241" width="4.625" style="29" customWidth="1"/>
    <col min="10242" max="10242" width="29.25" style="29" customWidth="1"/>
    <col min="10243" max="10243" width="13" style="29" customWidth="1"/>
    <col min="10244" max="10244" width="20" style="29" customWidth="1"/>
    <col min="10245" max="10246" width="15.625" style="29"/>
    <col min="10247" max="10247" width="16.25" style="29" bestFit="1" customWidth="1"/>
    <col min="10248" max="10255" width="15.625" style="29"/>
    <col min="10256" max="10256" width="16.25" style="29" bestFit="1" customWidth="1"/>
    <col min="10257" max="10496" width="15.625" style="29"/>
    <col min="10497" max="10497" width="4.625" style="29" customWidth="1"/>
    <col min="10498" max="10498" width="29.25" style="29" customWidth="1"/>
    <col min="10499" max="10499" width="13" style="29" customWidth="1"/>
    <col min="10500" max="10500" width="20" style="29" customWidth="1"/>
    <col min="10501" max="10502" width="15.625" style="29"/>
    <col min="10503" max="10503" width="16.25" style="29" bestFit="1" customWidth="1"/>
    <col min="10504" max="10511" width="15.625" style="29"/>
    <col min="10512" max="10512" width="16.25" style="29" bestFit="1" customWidth="1"/>
    <col min="10513" max="10752" width="15.625" style="29"/>
    <col min="10753" max="10753" width="4.625" style="29" customWidth="1"/>
    <col min="10754" max="10754" width="29.25" style="29" customWidth="1"/>
    <col min="10755" max="10755" width="13" style="29" customWidth="1"/>
    <col min="10756" max="10756" width="20" style="29" customWidth="1"/>
    <col min="10757" max="10758" width="15.625" style="29"/>
    <col min="10759" max="10759" width="16.25" style="29" bestFit="1" customWidth="1"/>
    <col min="10760" max="10767" width="15.625" style="29"/>
    <col min="10768" max="10768" width="16.25" style="29" bestFit="1" customWidth="1"/>
    <col min="10769" max="11008" width="15.625" style="29"/>
    <col min="11009" max="11009" width="4.625" style="29" customWidth="1"/>
    <col min="11010" max="11010" width="29.25" style="29" customWidth="1"/>
    <col min="11011" max="11011" width="13" style="29" customWidth="1"/>
    <col min="11012" max="11012" width="20" style="29" customWidth="1"/>
    <col min="11013" max="11014" width="15.625" style="29"/>
    <col min="11015" max="11015" width="16.25" style="29" bestFit="1" customWidth="1"/>
    <col min="11016" max="11023" width="15.625" style="29"/>
    <col min="11024" max="11024" width="16.25" style="29" bestFit="1" customWidth="1"/>
    <col min="11025" max="11264" width="15.625" style="29"/>
    <col min="11265" max="11265" width="4.625" style="29" customWidth="1"/>
    <col min="11266" max="11266" width="29.25" style="29" customWidth="1"/>
    <col min="11267" max="11267" width="13" style="29" customWidth="1"/>
    <col min="11268" max="11268" width="20" style="29" customWidth="1"/>
    <col min="11269" max="11270" width="15.625" style="29"/>
    <col min="11271" max="11271" width="16.25" style="29" bestFit="1" customWidth="1"/>
    <col min="11272" max="11279" width="15.625" style="29"/>
    <col min="11280" max="11280" width="16.25" style="29" bestFit="1" customWidth="1"/>
    <col min="11281" max="11520" width="15.625" style="29"/>
    <col min="11521" max="11521" width="4.625" style="29" customWidth="1"/>
    <col min="11522" max="11522" width="29.25" style="29" customWidth="1"/>
    <col min="11523" max="11523" width="13" style="29" customWidth="1"/>
    <col min="11524" max="11524" width="20" style="29" customWidth="1"/>
    <col min="11525" max="11526" width="15.625" style="29"/>
    <col min="11527" max="11527" width="16.25" style="29" bestFit="1" customWidth="1"/>
    <col min="11528" max="11535" width="15.625" style="29"/>
    <col min="11536" max="11536" width="16.25" style="29" bestFit="1" customWidth="1"/>
    <col min="11537" max="11776" width="15.625" style="29"/>
    <col min="11777" max="11777" width="4.625" style="29" customWidth="1"/>
    <col min="11778" max="11778" width="29.25" style="29" customWidth="1"/>
    <col min="11779" max="11779" width="13" style="29" customWidth="1"/>
    <col min="11780" max="11780" width="20" style="29" customWidth="1"/>
    <col min="11781" max="11782" width="15.625" style="29"/>
    <col min="11783" max="11783" width="16.25" style="29" bestFit="1" customWidth="1"/>
    <col min="11784" max="11791" width="15.625" style="29"/>
    <col min="11792" max="11792" width="16.25" style="29" bestFit="1" customWidth="1"/>
    <col min="11793" max="12032" width="15.625" style="29"/>
    <col min="12033" max="12033" width="4.625" style="29" customWidth="1"/>
    <col min="12034" max="12034" width="29.25" style="29" customWidth="1"/>
    <col min="12035" max="12035" width="13" style="29" customWidth="1"/>
    <col min="12036" max="12036" width="20" style="29" customWidth="1"/>
    <col min="12037" max="12038" width="15.625" style="29"/>
    <col min="12039" max="12039" width="16.25" style="29" bestFit="1" customWidth="1"/>
    <col min="12040" max="12047" width="15.625" style="29"/>
    <col min="12048" max="12048" width="16.25" style="29" bestFit="1" customWidth="1"/>
    <col min="12049" max="12288" width="15.625" style="29"/>
    <col min="12289" max="12289" width="4.625" style="29" customWidth="1"/>
    <col min="12290" max="12290" width="29.25" style="29" customWidth="1"/>
    <col min="12291" max="12291" width="13" style="29" customWidth="1"/>
    <col min="12292" max="12292" width="20" style="29" customWidth="1"/>
    <col min="12293" max="12294" width="15.625" style="29"/>
    <col min="12295" max="12295" width="16.25" style="29" bestFit="1" customWidth="1"/>
    <col min="12296" max="12303" width="15.625" style="29"/>
    <col min="12304" max="12304" width="16.25" style="29" bestFit="1" customWidth="1"/>
    <col min="12305" max="12544" width="15.625" style="29"/>
    <col min="12545" max="12545" width="4.625" style="29" customWidth="1"/>
    <col min="12546" max="12546" width="29.25" style="29" customWidth="1"/>
    <col min="12547" max="12547" width="13" style="29" customWidth="1"/>
    <col min="12548" max="12548" width="20" style="29" customWidth="1"/>
    <col min="12549" max="12550" width="15.625" style="29"/>
    <col min="12551" max="12551" width="16.25" style="29" bestFit="1" customWidth="1"/>
    <col min="12552" max="12559" width="15.625" style="29"/>
    <col min="12560" max="12560" width="16.25" style="29" bestFit="1" customWidth="1"/>
    <col min="12561" max="12800" width="15.625" style="29"/>
    <col min="12801" max="12801" width="4.625" style="29" customWidth="1"/>
    <col min="12802" max="12802" width="29.25" style="29" customWidth="1"/>
    <col min="12803" max="12803" width="13" style="29" customWidth="1"/>
    <col min="12804" max="12804" width="20" style="29" customWidth="1"/>
    <col min="12805" max="12806" width="15.625" style="29"/>
    <col min="12807" max="12807" width="16.25" style="29" bestFit="1" customWidth="1"/>
    <col min="12808" max="12815" width="15.625" style="29"/>
    <col min="12816" max="12816" width="16.25" style="29" bestFit="1" customWidth="1"/>
    <col min="12817" max="13056" width="15.625" style="29"/>
    <col min="13057" max="13057" width="4.625" style="29" customWidth="1"/>
    <col min="13058" max="13058" width="29.25" style="29" customWidth="1"/>
    <col min="13059" max="13059" width="13" style="29" customWidth="1"/>
    <col min="13060" max="13060" width="20" style="29" customWidth="1"/>
    <col min="13061" max="13062" width="15.625" style="29"/>
    <col min="13063" max="13063" width="16.25" style="29" bestFit="1" customWidth="1"/>
    <col min="13064" max="13071" width="15.625" style="29"/>
    <col min="13072" max="13072" width="16.25" style="29" bestFit="1" customWidth="1"/>
    <col min="13073" max="13312" width="15.625" style="29"/>
    <col min="13313" max="13313" width="4.625" style="29" customWidth="1"/>
    <col min="13314" max="13314" width="29.25" style="29" customWidth="1"/>
    <col min="13315" max="13315" width="13" style="29" customWidth="1"/>
    <col min="13316" max="13316" width="20" style="29" customWidth="1"/>
    <col min="13317" max="13318" width="15.625" style="29"/>
    <col min="13319" max="13319" width="16.25" style="29" bestFit="1" customWidth="1"/>
    <col min="13320" max="13327" width="15.625" style="29"/>
    <col min="13328" max="13328" width="16.25" style="29" bestFit="1" customWidth="1"/>
    <col min="13329" max="13568" width="15.625" style="29"/>
    <col min="13569" max="13569" width="4.625" style="29" customWidth="1"/>
    <col min="13570" max="13570" width="29.25" style="29" customWidth="1"/>
    <col min="13571" max="13571" width="13" style="29" customWidth="1"/>
    <col min="13572" max="13572" width="20" style="29" customWidth="1"/>
    <col min="13573" max="13574" width="15.625" style="29"/>
    <col min="13575" max="13575" width="16.25" style="29" bestFit="1" customWidth="1"/>
    <col min="13576" max="13583" width="15.625" style="29"/>
    <col min="13584" max="13584" width="16.25" style="29" bestFit="1" customWidth="1"/>
    <col min="13585" max="13824" width="15.625" style="29"/>
    <col min="13825" max="13825" width="4.625" style="29" customWidth="1"/>
    <col min="13826" max="13826" width="29.25" style="29" customWidth="1"/>
    <col min="13827" max="13827" width="13" style="29" customWidth="1"/>
    <col min="13828" max="13828" width="20" style="29" customWidth="1"/>
    <col min="13829" max="13830" width="15.625" style="29"/>
    <col min="13831" max="13831" width="16.25" style="29" bestFit="1" customWidth="1"/>
    <col min="13832" max="13839" width="15.625" style="29"/>
    <col min="13840" max="13840" width="16.25" style="29" bestFit="1" customWidth="1"/>
    <col min="13841" max="14080" width="15.625" style="29"/>
    <col min="14081" max="14081" width="4.625" style="29" customWidth="1"/>
    <col min="14082" max="14082" width="29.25" style="29" customWidth="1"/>
    <col min="14083" max="14083" width="13" style="29" customWidth="1"/>
    <col min="14084" max="14084" width="20" style="29" customWidth="1"/>
    <col min="14085" max="14086" width="15.625" style="29"/>
    <col min="14087" max="14087" width="16.25" style="29" bestFit="1" customWidth="1"/>
    <col min="14088" max="14095" width="15.625" style="29"/>
    <col min="14096" max="14096" width="16.25" style="29" bestFit="1" customWidth="1"/>
    <col min="14097" max="14336" width="15.625" style="29"/>
    <col min="14337" max="14337" width="4.625" style="29" customWidth="1"/>
    <col min="14338" max="14338" width="29.25" style="29" customWidth="1"/>
    <col min="14339" max="14339" width="13" style="29" customWidth="1"/>
    <col min="14340" max="14340" width="20" style="29" customWidth="1"/>
    <col min="14341" max="14342" width="15.625" style="29"/>
    <col min="14343" max="14343" width="16.25" style="29" bestFit="1" customWidth="1"/>
    <col min="14344" max="14351" width="15.625" style="29"/>
    <col min="14352" max="14352" width="16.25" style="29" bestFit="1" customWidth="1"/>
    <col min="14353" max="14592" width="15.625" style="29"/>
    <col min="14593" max="14593" width="4.625" style="29" customWidth="1"/>
    <col min="14594" max="14594" width="29.25" style="29" customWidth="1"/>
    <col min="14595" max="14595" width="13" style="29" customWidth="1"/>
    <col min="14596" max="14596" width="20" style="29" customWidth="1"/>
    <col min="14597" max="14598" width="15.625" style="29"/>
    <col min="14599" max="14599" width="16.25" style="29" bestFit="1" customWidth="1"/>
    <col min="14600" max="14607" width="15.625" style="29"/>
    <col min="14608" max="14608" width="16.25" style="29" bestFit="1" customWidth="1"/>
    <col min="14609" max="14848" width="15.625" style="29"/>
    <col min="14849" max="14849" width="4.625" style="29" customWidth="1"/>
    <col min="14850" max="14850" width="29.25" style="29" customWidth="1"/>
    <col min="14851" max="14851" width="13" style="29" customWidth="1"/>
    <col min="14852" max="14852" width="20" style="29" customWidth="1"/>
    <col min="14853" max="14854" width="15.625" style="29"/>
    <col min="14855" max="14855" width="16.25" style="29" bestFit="1" customWidth="1"/>
    <col min="14856" max="14863" width="15.625" style="29"/>
    <col min="14864" max="14864" width="16.25" style="29" bestFit="1" customWidth="1"/>
    <col min="14865" max="15104" width="15.625" style="29"/>
    <col min="15105" max="15105" width="4.625" style="29" customWidth="1"/>
    <col min="15106" max="15106" width="29.25" style="29" customWidth="1"/>
    <col min="15107" max="15107" width="13" style="29" customWidth="1"/>
    <col min="15108" max="15108" width="20" style="29" customWidth="1"/>
    <col min="15109" max="15110" width="15.625" style="29"/>
    <col min="15111" max="15111" width="16.25" style="29" bestFit="1" customWidth="1"/>
    <col min="15112" max="15119" width="15.625" style="29"/>
    <col min="15120" max="15120" width="16.25" style="29" bestFit="1" customWidth="1"/>
    <col min="15121" max="15360" width="15.625" style="29"/>
    <col min="15361" max="15361" width="4.625" style="29" customWidth="1"/>
    <col min="15362" max="15362" width="29.25" style="29" customWidth="1"/>
    <col min="15363" max="15363" width="13" style="29" customWidth="1"/>
    <col min="15364" max="15364" width="20" style="29" customWidth="1"/>
    <col min="15365" max="15366" width="15.625" style="29"/>
    <col min="15367" max="15367" width="16.25" style="29" bestFit="1" customWidth="1"/>
    <col min="15368" max="15375" width="15.625" style="29"/>
    <col min="15376" max="15376" width="16.25" style="29" bestFit="1" customWidth="1"/>
    <col min="15377" max="15616" width="15.625" style="29"/>
    <col min="15617" max="15617" width="4.625" style="29" customWidth="1"/>
    <col min="15618" max="15618" width="29.25" style="29" customWidth="1"/>
    <col min="15619" max="15619" width="13" style="29" customWidth="1"/>
    <col min="15620" max="15620" width="20" style="29" customWidth="1"/>
    <col min="15621" max="15622" width="15.625" style="29"/>
    <col min="15623" max="15623" width="16.25" style="29" bestFit="1" customWidth="1"/>
    <col min="15624" max="15631" width="15.625" style="29"/>
    <col min="15632" max="15632" width="16.25" style="29" bestFit="1" customWidth="1"/>
    <col min="15633" max="15872" width="15.625" style="29"/>
    <col min="15873" max="15873" width="4.625" style="29" customWidth="1"/>
    <col min="15874" max="15874" width="29.25" style="29" customWidth="1"/>
    <col min="15875" max="15875" width="13" style="29" customWidth="1"/>
    <col min="15876" max="15876" width="20" style="29" customWidth="1"/>
    <col min="15877" max="15878" width="15.625" style="29"/>
    <col min="15879" max="15879" width="16.25" style="29" bestFit="1" customWidth="1"/>
    <col min="15880" max="15887" width="15.625" style="29"/>
    <col min="15888" max="15888" width="16.25" style="29" bestFit="1" customWidth="1"/>
    <col min="15889" max="16128" width="15.625" style="29"/>
    <col min="16129" max="16129" width="4.625" style="29" customWidth="1"/>
    <col min="16130" max="16130" width="29.25" style="29" customWidth="1"/>
    <col min="16131" max="16131" width="13" style="29" customWidth="1"/>
    <col min="16132" max="16132" width="20" style="29" customWidth="1"/>
    <col min="16133" max="16134" width="15.625" style="29"/>
    <col min="16135" max="16135" width="16.25" style="29" bestFit="1" customWidth="1"/>
    <col min="16136" max="16143" width="15.625" style="29"/>
    <col min="16144" max="16144" width="16.25" style="29" bestFit="1" customWidth="1"/>
    <col min="16145" max="16384" width="15.625" style="29"/>
  </cols>
  <sheetData>
    <row r="1" spans="1:24" ht="25.5">
      <c r="A1" s="96" t="s">
        <v>195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30" customHeight="1">
      <c r="A2" s="30" t="s">
        <v>0</v>
      </c>
      <c r="B2" s="30" t="s">
        <v>19</v>
      </c>
      <c r="C2" s="30" t="s">
        <v>20</v>
      </c>
      <c r="D2" s="31" t="s">
        <v>21</v>
      </c>
      <c r="E2" s="31" t="s">
        <v>212</v>
      </c>
      <c r="F2" s="31" t="s">
        <v>213</v>
      </c>
      <c r="G2" s="31" t="s">
        <v>214</v>
      </c>
      <c r="H2" s="31" t="s">
        <v>215</v>
      </c>
      <c r="I2" s="31" t="s">
        <v>173</v>
      </c>
      <c r="J2" s="31" t="s">
        <v>8</v>
      </c>
      <c r="K2" s="31" t="s">
        <v>174</v>
      </c>
      <c r="L2" s="31" t="s">
        <v>216</v>
      </c>
      <c r="M2" s="31" t="s">
        <v>217</v>
      </c>
      <c r="N2" s="31" t="s">
        <v>175</v>
      </c>
      <c r="O2" s="31" t="s">
        <v>218</v>
      </c>
      <c r="P2" s="31" t="s">
        <v>219</v>
      </c>
      <c r="Q2" s="31" t="s">
        <v>220</v>
      </c>
      <c r="R2" s="31" t="s">
        <v>221</v>
      </c>
      <c r="S2" s="31" t="s">
        <v>9</v>
      </c>
      <c r="T2" s="31" t="s">
        <v>222</v>
      </c>
      <c r="U2" s="31" t="s">
        <v>223</v>
      </c>
      <c r="V2" s="31" t="s">
        <v>224</v>
      </c>
      <c r="W2" s="31" t="s">
        <v>7</v>
      </c>
      <c r="X2" s="32" t="s">
        <v>178</v>
      </c>
    </row>
    <row r="3" spans="1:24">
      <c r="A3" s="33" t="s">
        <v>22</v>
      </c>
      <c r="B3" s="34" t="s">
        <v>23</v>
      </c>
      <c r="C3" s="34"/>
      <c r="D3" s="35" t="s">
        <v>24</v>
      </c>
      <c r="E3" s="36">
        <f t="shared" ref="E3:V3" si="0">E4+E32+E53</f>
        <v>33248236.019999996</v>
      </c>
      <c r="F3" s="36">
        <f t="shared" si="0"/>
        <v>31486566.139999997</v>
      </c>
      <c r="G3" s="36">
        <f t="shared" si="0"/>
        <v>23493866.5</v>
      </c>
      <c r="H3" s="36">
        <f t="shared" si="0"/>
        <v>15613408.35</v>
      </c>
      <c r="I3" s="36">
        <f t="shared" si="0"/>
        <v>36541594.170000002</v>
      </c>
      <c r="J3" s="36">
        <f t="shared" si="0"/>
        <v>29473038.16</v>
      </c>
      <c r="K3" s="36">
        <f t="shared" si="0"/>
        <v>33596372.309999995</v>
      </c>
      <c r="L3" s="36">
        <f t="shared" si="0"/>
        <v>16353821.969999999</v>
      </c>
      <c r="M3" s="36">
        <f t="shared" si="0"/>
        <v>19926107.16</v>
      </c>
      <c r="N3" s="36">
        <f t="shared" si="0"/>
        <v>18964157.07</v>
      </c>
      <c r="O3" s="36">
        <f t="shared" si="0"/>
        <v>21247593.240000002</v>
      </c>
      <c r="P3" s="36">
        <f t="shared" si="0"/>
        <v>18508156.52</v>
      </c>
      <c r="Q3" s="36">
        <f t="shared" si="0"/>
        <v>11504264</v>
      </c>
      <c r="R3" s="36">
        <f t="shared" si="0"/>
        <v>7491760.75</v>
      </c>
      <c r="S3" s="36">
        <f t="shared" si="0"/>
        <v>13123863.810000001</v>
      </c>
      <c r="T3" s="36">
        <f t="shared" si="0"/>
        <v>5376701.7000000002</v>
      </c>
      <c r="U3" s="36">
        <f t="shared" si="0"/>
        <v>7870757.0500000007</v>
      </c>
      <c r="V3" s="36">
        <f t="shared" si="0"/>
        <v>2359332.4</v>
      </c>
      <c r="W3" s="36">
        <f t="shared" ref="W3:W66" si="1">SUM(E3:V3)</f>
        <v>346179597.31999993</v>
      </c>
      <c r="X3" s="37"/>
    </row>
    <row r="4" spans="1:24">
      <c r="A4" s="33" t="s">
        <v>25</v>
      </c>
      <c r="B4" s="34" t="s">
        <v>11</v>
      </c>
      <c r="C4" s="34"/>
      <c r="D4" s="35" t="s">
        <v>24</v>
      </c>
      <c r="E4" s="36">
        <f t="shared" ref="E4:V4" si="2">E5+E8+E13+E17+E20+E22+E25+E27+E29+E30+E31</f>
        <v>28688752.799999997</v>
      </c>
      <c r="F4" s="36">
        <f t="shared" si="2"/>
        <v>27067396.279999997</v>
      </c>
      <c r="G4" s="36">
        <f t="shared" si="2"/>
        <v>19987034</v>
      </c>
      <c r="H4" s="36">
        <f t="shared" si="2"/>
        <v>12399080.43</v>
      </c>
      <c r="I4" s="36">
        <f t="shared" si="2"/>
        <v>29768209.780000001</v>
      </c>
      <c r="J4" s="36">
        <f t="shared" si="2"/>
        <v>24451057.550000001</v>
      </c>
      <c r="K4" s="36">
        <f t="shared" si="2"/>
        <v>27860609.849999998</v>
      </c>
      <c r="L4" s="36">
        <f t="shared" si="2"/>
        <v>13561742.279999999</v>
      </c>
      <c r="M4" s="36">
        <f t="shared" si="2"/>
        <v>16506107.15</v>
      </c>
      <c r="N4" s="36">
        <f t="shared" si="2"/>
        <v>16276785.23</v>
      </c>
      <c r="O4" s="36">
        <f t="shared" si="2"/>
        <v>17715621.84</v>
      </c>
      <c r="P4" s="36">
        <f t="shared" si="2"/>
        <v>15829938.720000001</v>
      </c>
      <c r="Q4" s="36">
        <f t="shared" si="2"/>
        <v>9220444</v>
      </c>
      <c r="R4" s="36">
        <f t="shared" si="2"/>
        <v>6268426.7599999998</v>
      </c>
      <c r="S4" s="36">
        <f t="shared" si="2"/>
        <v>10840167.66</v>
      </c>
      <c r="T4" s="36">
        <f t="shared" si="2"/>
        <v>4251013.7</v>
      </c>
      <c r="U4" s="36">
        <f t="shared" si="2"/>
        <v>5711106.4800000004</v>
      </c>
      <c r="V4" s="36">
        <f t="shared" si="2"/>
        <v>1892680.97</v>
      </c>
      <c r="W4" s="36">
        <f t="shared" si="1"/>
        <v>288296175.48000002</v>
      </c>
      <c r="X4" s="37"/>
    </row>
    <row r="5" spans="1:24">
      <c r="A5" s="33" t="s">
        <v>26</v>
      </c>
      <c r="B5" s="34" t="s">
        <v>27</v>
      </c>
      <c r="C5" s="34"/>
      <c r="D5" s="35" t="s">
        <v>24</v>
      </c>
      <c r="E5" s="36">
        <f t="shared" ref="E5:V5" si="3">E6+E7</f>
        <v>3997356</v>
      </c>
      <c r="F5" s="36">
        <f t="shared" si="3"/>
        <v>3600996</v>
      </c>
      <c r="G5" s="36">
        <f t="shared" si="3"/>
        <v>2370828</v>
      </c>
      <c r="H5" s="36">
        <f t="shared" si="3"/>
        <v>1968000</v>
      </c>
      <c r="I5" s="36">
        <f t="shared" si="3"/>
        <v>4347336</v>
      </c>
      <c r="J5" s="36">
        <f t="shared" si="3"/>
        <v>3189792</v>
      </c>
      <c r="K5" s="36">
        <f t="shared" si="3"/>
        <v>3121104</v>
      </c>
      <c r="L5" s="36">
        <f t="shared" si="3"/>
        <v>1503816</v>
      </c>
      <c r="M5" s="36">
        <f t="shared" si="3"/>
        <v>1763004</v>
      </c>
      <c r="N5" s="36">
        <f t="shared" si="3"/>
        <v>2056512</v>
      </c>
      <c r="O5" s="36">
        <f t="shared" si="3"/>
        <v>2201964</v>
      </c>
      <c r="P5" s="36">
        <f t="shared" si="3"/>
        <v>2000868</v>
      </c>
      <c r="Q5" s="36">
        <f t="shared" si="3"/>
        <v>1152000</v>
      </c>
      <c r="R5" s="36">
        <f t="shared" si="3"/>
        <v>767052</v>
      </c>
      <c r="S5" s="36">
        <f t="shared" si="3"/>
        <v>1246596</v>
      </c>
      <c r="T5" s="36">
        <f t="shared" si="3"/>
        <v>558744</v>
      </c>
      <c r="U5" s="36">
        <f t="shared" si="3"/>
        <v>785476.8</v>
      </c>
      <c r="V5" s="36">
        <f t="shared" si="3"/>
        <v>262908</v>
      </c>
      <c r="W5" s="36">
        <f t="shared" si="1"/>
        <v>36894352.799999997</v>
      </c>
      <c r="X5" s="37"/>
    </row>
    <row r="6" spans="1:24">
      <c r="A6" s="33" t="s">
        <v>28</v>
      </c>
      <c r="B6" s="34" t="s">
        <v>29</v>
      </c>
      <c r="C6" s="34" t="s">
        <v>30</v>
      </c>
      <c r="D6" s="35" t="s">
        <v>31</v>
      </c>
      <c r="E6" s="28">
        <f>184173*12</f>
        <v>2210076</v>
      </c>
      <c r="F6" s="28">
        <f>174447*12</f>
        <v>2093364</v>
      </c>
      <c r="G6" s="28">
        <v>1528056</v>
      </c>
      <c r="H6" s="28">
        <f>2500*12*41</f>
        <v>1230000</v>
      </c>
      <c r="I6" s="28">
        <v>2263884</v>
      </c>
      <c r="J6" s="28">
        <v>1856868</v>
      </c>
      <c r="K6" s="28">
        <v>2120184</v>
      </c>
      <c r="L6" s="28">
        <v>1024236</v>
      </c>
      <c r="M6" s="28">
        <f>102483*12</f>
        <v>1229796</v>
      </c>
      <c r="N6" s="28">
        <v>1347132</v>
      </c>
      <c r="O6" s="28">
        <v>1442496</v>
      </c>
      <c r="P6" s="28">
        <v>1361248</v>
      </c>
      <c r="Q6" s="28">
        <v>780000</v>
      </c>
      <c r="R6" s="28">
        <v>509388</v>
      </c>
      <c r="S6" s="28">
        <v>852852</v>
      </c>
      <c r="T6" s="28">
        <v>363396</v>
      </c>
      <c r="U6" s="28">
        <v>519868.8</v>
      </c>
      <c r="V6" s="28">
        <v>133956</v>
      </c>
      <c r="W6" s="36">
        <f t="shared" si="1"/>
        <v>22866800.800000001</v>
      </c>
      <c r="X6" s="38"/>
    </row>
    <row r="7" spans="1:24">
      <c r="A7" s="33" t="s">
        <v>32</v>
      </c>
      <c r="B7" s="34" t="s">
        <v>33</v>
      </c>
      <c r="C7" s="34" t="s">
        <v>30</v>
      </c>
      <c r="D7" s="35" t="s">
        <v>31</v>
      </c>
      <c r="E7" s="28">
        <f>148940*12</f>
        <v>1787280</v>
      </c>
      <c r="F7" s="28">
        <f>125636*12</f>
        <v>1507632</v>
      </c>
      <c r="G7" s="28">
        <v>842772</v>
      </c>
      <c r="H7" s="28">
        <f>1500*12*41</f>
        <v>738000</v>
      </c>
      <c r="I7" s="28">
        <v>2083452</v>
      </c>
      <c r="J7" s="28">
        <v>1332924</v>
      </c>
      <c r="K7" s="28">
        <v>1000920</v>
      </c>
      <c r="L7" s="28">
        <v>479580</v>
      </c>
      <c r="M7" s="28">
        <f>44434*12</f>
        <v>533208</v>
      </c>
      <c r="N7" s="28">
        <v>709380</v>
      </c>
      <c r="O7" s="28">
        <v>759468</v>
      </c>
      <c r="P7" s="28">
        <v>639620</v>
      </c>
      <c r="Q7" s="28">
        <v>372000</v>
      </c>
      <c r="R7" s="28">
        <v>257664</v>
      </c>
      <c r="S7" s="28">
        <v>393744</v>
      </c>
      <c r="T7" s="28">
        <v>195348</v>
      </c>
      <c r="U7" s="28">
        <v>265608</v>
      </c>
      <c r="V7" s="28">
        <v>128952</v>
      </c>
      <c r="W7" s="36">
        <f t="shared" si="1"/>
        <v>14027552</v>
      </c>
      <c r="X7" s="37"/>
    </row>
    <row r="8" spans="1:24">
      <c r="A8" s="33" t="s">
        <v>34</v>
      </c>
      <c r="B8" s="34" t="s">
        <v>35</v>
      </c>
      <c r="C8" s="34"/>
      <c r="D8" s="35" t="s">
        <v>24</v>
      </c>
      <c r="E8" s="36">
        <f t="shared" ref="E8:V8" si="4">E9+E10</f>
        <v>471900</v>
      </c>
      <c r="F8" s="36">
        <f t="shared" si="4"/>
        <v>454344</v>
      </c>
      <c r="G8" s="36">
        <f t="shared" si="4"/>
        <v>334632</v>
      </c>
      <c r="H8" s="36">
        <f t="shared" si="4"/>
        <v>224352</v>
      </c>
      <c r="I8" s="36">
        <f t="shared" si="4"/>
        <v>519336</v>
      </c>
      <c r="J8" s="36">
        <f t="shared" si="4"/>
        <v>421452</v>
      </c>
      <c r="K8" s="36">
        <f t="shared" si="4"/>
        <v>487413</v>
      </c>
      <c r="L8" s="36">
        <f t="shared" si="4"/>
        <v>239856</v>
      </c>
      <c r="M8" s="36">
        <f t="shared" si="4"/>
        <v>285300</v>
      </c>
      <c r="N8" s="36">
        <f t="shared" si="4"/>
        <v>308004</v>
      </c>
      <c r="O8" s="36">
        <f t="shared" si="4"/>
        <v>324540</v>
      </c>
      <c r="P8" s="36">
        <f t="shared" si="4"/>
        <v>291393</v>
      </c>
      <c r="Q8" s="36">
        <f t="shared" si="4"/>
        <v>172164</v>
      </c>
      <c r="R8" s="36">
        <f t="shared" si="4"/>
        <v>118644</v>
      </c>
      <c r="S8" s="36">
        <f t="shared" si="4"/>
        <v>204384</v>
      </c>
      <c r="T8" s="36">
        <f t="shared" si="4"/>
        <v>81792</v>
      </c>
      <c r="U8" s="36">
        <f t="shared" si="4"/>
        <v>118550</v>
      </c>
      <c r="V8" s="36">
        <f t="shared" si="4"/>
        <v>32112</v>
      </c>
      <c r="W8" s="36">
        <f t="shared" si="1"/>
        <v>5090168</v>
      </c>
      <c r="X8" s="37"/>
    </row>
    <row r="9" spans="1:24">
      <c r="A9" s="33" t="s">
        <v>36</v>
      </c>
      <c r="B9" s="34" t="s">
        <v>37</v>
      </c>
      <c r="C9" s="34" t="s">
        <v>30</v>
      </c>
      <c r="D9" s="35" t="s">
        <v>31</v>
      </c>
      <c r="E9" s="28">
        <f>523*12</f>
        <v>6276</v>
      </c>
      <c r="F9" s="28">
        <f>398*12</f>
        <v>4776</v>
      </c>
      <c r="G9" s="28">
        <v>2808</v>
      </c>
      <c r="H9" s="28">
        <f>10*12*41</f>
        <v>4920</v>
      </c>
      <c r="I9" s="28">
        <v>16248</v>
      </c>
      <c r="J9" s="28">
        <v>3996</v>
      </c>
      <c r="K9" s="28">
        <v>11085</v>
      </c>
      <c r="L9" s="28">
        <v>4368</v>
      </c>
      <c r="M9" s="28">
        <f>137*12</f>
        <v>1644</v>
      </c>
      <c r="N9" s="28">
        <v>2940</v>
      </c>
      <c r="O9" s="28">
        <v>3420</v>
      </c>
      <c r="P9" s="28">
        <v>2385</v>
      </c>
      <c r="Q9" s="28">
        <v>900</v>
      </c>
      <c r="R9" s="28">
        <v>900</v>
      </c>
      <c r="S9" s="28">
        <v>1008</v>
      </c>
      <c r="T9" s="28">
        <v>1512</v>
      </c>
      <c r="U9" s="28">
        <v>16862</v>
      </c>
      <c r="V9" s="28"/>
      <c r="W9" s="36">
        <f t="shared" si="1"/>
        <v>86048</v>
      </c>
      <c r="X9" s="37"/>
    </row>
    <row r="10" spans="1:24">
      <c r="A10" s="33" t="s">
        <v>38</v>
      </c>
      <c r="B10" s="34" t="s">
        <v>39</v>
      </c>
      <c r="C10" s="34"/>
      <c r="D10" s="35" t="s">
        <v>225</v>
      </c>
      <c r="E10" s="36">
        <f t="shared" ref="E10:V10" si="5">E11+E12</f>
        <v>465624</v>
      </c>
      <c r="F10" s="36">
        <f t="shared" si="5"/>
        <v>449568</v>
      </c>
      <c r="G10" s="36">
        <f t="shared" si="5"/>
        <v>331824</v>
      </c>
      <c r="H10" s="36">
        <f t="shared" si="5"/>
        <v>219432</v>
      </c>
      <c r="I10" s="36">
        <f t="shared" si="5"/>
        <v>503088</v>
      </c>
      <c r="J10" s="36">
        <f t="shared" si="5"/>
        <v>417456</v>
      </c>
      <c r="K10" s="36">
        <f t="shared" si="5"/>
        <v>476328</v>
      </c>
      <c r="L10" s="36">
        <f t="shared" si="5"/>
        <v>235488</v>
      </c>
      <c r="M10" s="36">
        <f t="shared" si="5"/>
        <v>283656</v>
      </c>
      <c r="N10" s="36">
        <f t="shared" si="5"/>
        <v>305064</v>
      </c>
      <c r="O10" s="36">
        <f t="shared" si="5"/>
        <v>321120</v>
      </c>
      <c r="P10" s="36">
        <f t="shared" si="5"/>
        <v>289008</v>
      </c>
      <c r="Q10" s="36">
        <f t="shared" si="5"/>
        <v>171264</v>
      </c>
      <c r="R10" s="36">
        <f t="shared" si="5"/>
        <v>117744</v>
      </c>
      <c r="S10" s="36">
        <f t="shared" si="5"/>
        <v>203376</v>
      </c>
      <c r="T10" s="36">
        <f t="shared" si="5"/>
        <v>80280</v>
      </c>
      <c r="U10" s="36">
        <f t="shared" si="5"/>
        <v>101688</v>
      </c>
      <c r="V10" s="36">
        <f t="shared" si="5"/>
        <v>32112</v>
      </c>
      <c r="W10" s="36">
        <f t="shared" si="1"/>
        <v>5004120</v>
      </c>
      <c r="X10" s="37"/>
    </row>
    <row r="11" spans="1:24" s="40" customFormat="1">
      <c r="A11" s="33" t="s">
        <v>40</v>
      </c>
      <c r="B11" s="39" t="s">
        <v>41</v>
      </c>
      <c r="C11" s="39" t="s">
        <v>30</v>
      </c>
      <c r="D11" s="37" t="s">
        <v>24</v>
      </c>
      <c r="E11" s="36">
        <f t="shared" ref="E11:V11" si="6">72*E97</f>
        <v>6264</v>
      </c>
      <c r="F11" s="36">
        <f t="shared" si="6"/>
        <v>6048</v>
      </c>
      <c r="G11" s="36">
        <f t="shared" si="6"/>
        <v>4464</v>
      </c>
      <c r="H11" s="36">
        <f t="shared" si="6"/>
        <v>2952</v>
      </c>
      <c r="I11" s="36">
        <f t="shared" si="6"/>
        <v>6768</v>
      </c>
      <c r="J11" s="36">
        <f t="shared" si="6"/>
        <v>5616</v>
      </c>
      <c r="K11" s="36">
        <f t="shared" si="6"/>
        <v>6408</v>
      </c>
      <c r="L11" s="36">
        <f t="shared" si="6"/>
        <v>3168</v>
      </c>
      <c r="M11" s="36">
        <f t="shared" si="6"/>
        <v>3816</v>
      </c>
      <c r="N11" s="36">
        <f t="shared" si="6"/>
        <v>4104</v>
      </c>
      <c r="O11" s="36">
        <f t="shared" si="6"/>
        <v>4320</v>
      </c>
      <c r="P11" s="36">
        <f t="shared" si="6"/>
        <v>3888</v>
      </c>
      <c r="Q11" s="36">
        <f t="shared" si="6"/>
        <v>2304</v>
      </c>
      <c r="R11" s="36">
        <f t="shared" si="6"/>
        <v>1584</v>
      </c>
      <c r="S11" s="36">
        <f t="shared" si="6"/>
        <v>2736</v>
      </c>
      <c r="T11" s="36">
        <f t="shared" si="6"/>
        <v>1080</v>
      </c>
      <c r="U11" s="36">
        <f t="shared" si="6"/>
        <v>1368</v>
      </c>
      <c r="V11" s="36">
        <f t="shared" si="6"/>
        <v>432</v>
      </c>
      <c r="W11" s="36">
        <f t="shared" si="1"/>
        <v>67320</v>
      </c>
      <c r="X11" s="37"/>
    </row>
    <row r="12" spans="1:24" s="40" customFormat="1">
      <c r="A12" s="33" t="s">
        <v>42</v>
      </c>
      <c r="B12" s="39" t="s">
        <v>43</v>
      </c>
      <c r="C12" s="39" t="s">
        <v>30</v>
      </c>
      <c r="D12" s="37" t="s">
        <v>24</v>
      </c>
      <c r="E12" s="36">
        <f t="shared" ref="E12:V12" si="7">440*12*E97</f>
        <v>459360</v>
      </c>
      <c r="F12" s="36">
        <f t="shared" si="7"/>
        <v>443520</v>
      </c>
      <c r="G12" s="36">
        <f t="shared" si="7"/>
        <v>327360</v>
      </c>
      <c r="H12" s="36">
        <f t="shared" si="7"/>
        <v>216480</v>
      </c>
      <c r="I12" s="36">
        <f t="shared" si="7"/>
        <v>496320</v>
      </c>
      <c r="J12" s="36">
        <f t="shared" si="7"/>
        <v>411840</v>
      </c>
      <c r="K12" s="36">
        <f t="shared" si="7"/>
        <v>469920</v>
      </c>
      <c r="L12" s="36">
        <f t="shared" si="7"/>
        <v>232320</v>
      </c>
      <c r="M12" s="36">
        <f t="shared" si="7"/>
        <v>279840</v>
      </c>
      <c r="N12" s="36">
        <f t="shared" si="7"/>
        <v>300960</v>
      </c>
      <c r="O12" s="36">
        <f t="shared" si="7"/>
        <v>316800</v>
      </c>
      <c r="P12" s="36">
        <f t="shared" si="7"/>
        <v>285120</v>
      </c>
      <c r="Q12" s="36">
        <f t="shared" si="7"/>
        <v>168960</v>
      </c>
      <c r="R12" s="36">
        <f t="shared" si="7"/>
        <v>116160</v>
      </c>
      <c r="S12" s="36">
        <f t="shared" si="7"/>
        <v>200640</v>
      </c>
      <c r="T12" s="36">
        <f t="shared" si="7"/>
        <v>79200</v>
      </c>
      <c r="U12" s="36">
        <f t="shared" si="7"/>
        <v>100320</v>
      </c>
      <c r="V12" s="36">
        <f t="shared" si="7"/>
        <v>31680</v>
      </c>
      <c r="W12" s="36">
        <f t="shared" si="1"/>
        <v>4936800</v>
      </c>
      <c r="X12" s="37"/>
    </row>
    <row r="13" spans="1:24">
      <c r="A13" s="33" t="s">
        <v>44</v>
      </c>
      <c r="B13" s="34" t="s">
        <v>45</v>
      </c>
      <c r="C13" s="34"/>
      <c r="D13" s="35" t="s">
        <v>46</v>
      </c>
      <c r="E13" s="36">
        <f t="shared" ref="E13:V13" si="8">E14+E15+E16</f>
        <v>416430.79</v>
      </c>
      <c r="F13" s="36">
        <f t="shared" si="8"/>
        <v>384484.27</v>
      </c>
      <c r="G13" s="36">
        <f t="shared" si="8"/>
        <v>297792</v>
      </c>
      <c r="H13" s="36">
        <f t="shared" si="8"/>
        <v>139227.43</v>
      </c>
      <c r="I13" s="36">
        <f t="shared" si="8"/>
        <v>390099.79</v>
      </c>
      <c r="J13" s="36">
        <f t="shared" si="8"/>
        <v>332053.56</v>
      </c>
      <c r="K13" s="36">
        <f t="shared" si="8"/>
        <v>401241.84</v>
      </c>
      <c r="L13" s="36">
        <f t="shared" si="8"/>
        <v>190254.29</v>
      </c>
      <c r="M13" s="36">
        <f t="shared" si="8"/>
        <v>239676.14</v>
      </c>
      <c r="N13" s="36">
        <f t="shared" si="8"/>
        <v>225846.22</v>
      </c>
      <c r="O13" s="36">
        <f t="shared" si="8"/>
        <v>263460.96999999997</v>
      </c>
      <c r="P13" s="36">
        <f t="shared" si="8"/>
        <v>230854.22</v>
      </c>
      <c r="Q13" s="36">
        <f t="shared" si="8"/>
        <v>130848</v>
      </c>
      <c r="R13" s="36">
        <f t="shared" si="8"/>
        <v>87786.76999999999</v>
      </c>
      <c r="S13" s="36">
        <f t="shared" si="8"/>
        <v>155965.66</v>
      </c>
      <c r="T13" s="36">
        <f t="shared" si="8"/>
        <v>57040.7</v>
      </c>
      <c r="U13" s="36">
        <f t="shared" si="8"/>
        <v>83296.679999999993</v>
      </c>
      <c r="V13" s="36">
        <f t="shared" si="8"/>
        <v>28618.97</v>
      </c>
      <c r="W13" s="36">
        <f t="shared" si="1"/>
        <v>4054978.3000000017</v>
      </c>
      <c r="X13" s="37"/>
    </row>
    <row r="14" spans="1:24" s="40" customFormat="1">
      <c r="A14" s="33" t="s">
        <v>47</v>
      </c>
      <c r="B14" s="39" t="s">
        <v>196</v>
      </c>
      <c r="C14" s="39" t="s">
        <v>30</v>
      </c>
      <c r="D14" s="37" t="s">
        <v>48</v>
      </c>
      <c r="E14" s="36">
        <f t="shared" ref="E14:V14" si="9">ROUND(E30/0.07*0.015,2)</f>
        <v>276882.17</v>
      </c>
      <c r="F14" s="36">
        <f t="shared" si="9"/>
        <v>255641.14</v>
      </c>
      <c r="G14" s="36">
        <f t="shared" si="9"/>
        <v>198000</v>
      </c>
      <c r="H14" s="36">
        <f t="shared" si="9"/>
        <v>92571.43</v>
      </c>
      <c r="I14" s="36">
        <f t="shared" si="9"/>
        <v>259374.86</v>
      </c>
      <c r="J14" s="36">
        <f t="shared" si="9"/>
        <v>220780.29</v>
      </c>
      <c r="K14" s="36">
        <f t="shared" si="9"/>
        <v>266783.14</v>
      </c>
      <c r="L14" s="36">
        <f t="shared" si="9"/>
        <v>126498.86</v>
      </c>
      <c r="M14" s="36">
        <f t="shared" si="9"/>
        <v>159359.14000000001</v>
      </c>
      <c r="N14" s="36">
        <f t="shared" si="9"/>
        <v>150163.71</v>
      </c>
      <c r="O14" s="36">
        <f t="shared" si="9"/>
        <v>175173.52</v>
      </c>
      <c r="P14" s="36">
        <f t="shared" si="9"/>
        <v>153493.5</v>
      </c>
      <c r="Q14" s="36">
        <f t="shared" si="9"/>
        <v>87000</v>
      </c>
      <c r="R14" s="36">
        <f t="shared" si="9"/>
        <v>58368.86</v>
      </c>
      <c r="S14" s="36">
        <f t="shared" si="9"/>
        <v>103700.57</v>
      </c>
      <c r="T14" s="36">
        <f t="shared" si="9"/>
        <v>37926</v>
      </c>
      <c r="U14" s="36">
        <f t="shared" si="9"/>
        <v>55383.43</v>
      </c>
      <c r="V14" s="36">
        <f t="shared" si="9"/>
        <v>19028.57</v>
      </c>
      <c r="W14" s="36">
        <f t="shared" si="1"/>
        <v>2696129.19</v>
      </c>
      <c r="X14" s="37"/>
    </row>
    <row r="15" spans="1:24" s="40" customFormat="1">
      <c r="A15" s="33" t="s">
        <v>49</v>
      </c>
      <c r="B15" s="39" t="s">
        <v>197</v>
      </c>
      <c r="C15" s="39" t="s">
        <v>30</v>
      </c>
      <c r="D15" s="37" t="s">
        <v>48</v>
      </c>
      <c r="E15" s="36">
        <f t="shared" ref="E15:V15" si="10">ROUND(E30/0.07*0.00256,2)</f>
        <v>47254.559999999998</v>
      </c>
      <c r="F15" s="36">
        <f t="shared" si="10"/>
        <v>43629.42</v>
      </c>
      <c r="G15" s="36">
        <f t="shared" si="10"/>
        <v>33792</v>
      </c>
      <c r="H15" s="36">
        <f t="shared" si="10"/>
        <v>15798.86</v>
      </c>
      <c r="I15" s="36">
        <f t="shared" si="10"/>
        <v>44266.64</v>
      </c>
      <c r="J15" s="36">
        <f t="shared" si="10"/>
        <v>37679.839999999997</v>
      </c>
      <c r="K15" s="36">
        <f t="shared" si="10"/>
        <v>45530.99</v>
      </c>
      <c r="L15" s="36">
        <f t="shared" si="10"/>
        <v>21589.14</v>
      </c>
      <c r="M15" s="36">
        <f t="shared" si="10"/>
        <v>27197.29</v>
      </c>
      <c r="N15" s="36">
        <f t="shared" si="10"/>
        <v>25627.94</v>
      </c>
      <c r="O15" s="36">
        <f t="shared" si="10"/>
        <v>29896.28</v>
      </c>
      <c r="P15" s="36">
        <f t="shared" si="10"/>
        <v>26196.22</v>
      </c>
      <c r="Q15" s="36">
        <f t="shared" si="10"/>
        <v>14848</v>
      </c>
      <c r="R15" s="36">
        <f t="shared" si="10"/>
        <v>9961.6200000000008</v>
      </c>
      <c r="S15" s="36">
        <f t="shared" si="10"/>
        <v>17698.23</v>
      </c>
      <c r="T15" s="36">
        <f t="shared" si="10"/>
        <v>6472.7</v>
      </c>
      <c r="U15" s="36">
        <f t="shared" si="10"/>
        <v>9452.11</v>
      </c>
      <c r="V15" s="36">
        <f t="shared" si="10"/>
        <v>3247.54</v>
      </c>
      <c r="W15" s="36">
        <f t="shared" si="1"/>
        <v>460139.37999999989</v>
      </c>
      <c r="X15" s="37"/>
    </row>
    <row r="16" spans="1:24" s="40" customFormat="1">
      <c r="A16" s="33" t="s">
        <v>50</v>
      </c>
      <c r="B16" s="39" t="s">
        <v>198</v>
      </c>
      <c r="C16" s="39" t="s">
        <v>30</v>
      </c>
      <c r="D16" s="37" t="s">
        <v>48</v>
      </c>
      <c r="E16" s="36">
        <f t="shared" ref="E16:V16" si="11">ROUND(E30/0.07*0.005,2)</f>
        <v>92294.06</v>
      </c>
      <c r="F16" s="36">
        <f t="shared" si="11"/>
        <v>85213.71</v>
      </c>
      <c r="G16" s="36">
        <f t="shared" si="11"/>
        <v>66000</v>
      </c>
      <c r="H16" s="36">
        <f t="shared" si="11"/>
        <v>30857.14</v>
      </c>
      <c r="I16" s="36">
        <f t="shared" si="11"/>
        <v>86458.29</v>
      </c>
      <c r="J16" s="36">
        <f t="shared" si="11"/>
        <v>73593.429999999993</v>
      </c>
      <c r="K16" s="36">
        <f t="shared" si="11"/>
        <v>88927.71</v>
      </c>
      <c r="L16" s="36">
        <f t="shared" si="11"/>
        <v>42166.29</v>
      </c>
      <c r="M16" s="36">
        <f t="shared" si="11"/>
        <v>53119.71</v>
      </c>
      <c r="N16" s="36">
        <f t="shared" si="11"/>
        <v>50054.57</v>
      </c>
      <c r="O16" s="36">
        <f t="shared" si="11"/>
        <v>58391.17</v>
      </c>
      <c r="P16" s="36">
        <f t="shared" si="11"/>
        <v>51164.5</v>
      </c>
      <c r="Q16" s="36">
        <f t="shared" si="11"/>
        <v>29000</v>
      </c>
      <c r="R16" s="36">
        <f t="shared" si="11"/>
        <v>19456.29</v>
      </c>
      <c r="S16" s="36">
        <f t="shared" si="11"/>
        <v>34566.86</v>
      </c>
      <c r="T16" s="36">
        <f t="shared" si="11"/>
        <v>12642</v>
      </c>
      <c r="U16" s="36">
        <f t="shared" si="11"/>
        <v>18461.14</v>
      </c>
      <c r="V16" s="36">
        <f t="shared" si="11"/>
        <v>6342.86</v>
      </c>
      <c r="W16" s="36">
        <f t="shared" si="1"/>
        <v>898709.73</v>
      </c>
      <c r="X16" s="37"/>
    </row>
    <row r="17" spans="1:24">
      <c r="A17" s="33" t="s">
        <v>51</v>
      </c>
      <c r="B17" s="34" t="s">
        <v>52</v>
      </c>
      <c r="C17" s="34"/>
      <c r="D17" s="35" t="s">
        <v>24</v>
      </c>
      <c r="E17" s="36">
        <f t="shared" ref="E17:V17" si="12">E18+E19</f>
        <v>14569107</v>
      </c>
      <c r="F17" s="36">
        <f t="shared" si="12"/>
        <v>14066724</v>
      </c>
      <c r="G17" s="36">
        <f t="shared" si="12"/>
        <v>10382582</v>
      </c>
      <c r="H17" s="36">
        <f t="shared" si="12"/>
        <v>6865901</v>
      </c>
      <c r="I17" s="36">
        <f t="shared" si="12"/>
        <v>15741334</v>
      </c>
      <c r="J17" s="36">
        <f t="shared" si="12"/>
        <v>13061958</v>
      </c>
      <c r="K17" s="36">
        <f t="shared" si="12"/>
        <v>14904029</v>
      </c>
      <c r="L17" s="36">
        <f t="shared" si="12"/>
        <v>7368284</v>
      </c>
      <c r="M17" s="36">
        <f t="shared" si="12"/>
        <v>8875433</v>
      </c>
      <c r="N17" s="36">
        <f t="shared" si="12"/>
        <v>8584257</v>
      </c>
      <c r="O17" s="36">
        <f t="shared" si="12"/>
        <v>9036060</v>
      </c>
      <c r="P17" s="36">
        <f t="shared" si="12"/>
        <v>8132454</v>
      </c>
      <c r="Q17" s="36">
        <f t="shared" si="12"/>
        <v>4819232</v>
      </c>
      <c r="R17" s="36">
        <f t="shared" si="12"/>
        <v>3313222</v>
      </c>
      <c r="S17" s="36">
        <f t="shared" si="12"/>
        <v>5722838</v>
      </c>
      <c r="T17" s="36">
        <f t="shared" si="12"/>
        <v>2259015</v>
      </c>
      <c r="U17" s="36">
        <f t="shared" si="12"/>
        <v>2861419</v>
      </c>
      <c r="V17" s="36">
        <f t="shared" si="12"/>
        <v>934242</v>
      </c>
      <c r="W17" s="36">
        <f t="shared" si="1"/>
        <v>151498091</v>
      </c>
      <c r="X17" s="37"/>
    </row>
    <row r="18" spans="1:24" ht="22.5">
      <c r="A18" s="33" t="s">
        <v>53</v>
      </c>
      <c r="B18" s="41" t="s">
        <v>54</v>
      </c>
      <c r="C18" s="41" t="s">
        <v>30</v>
      </c>
      <c r="D18" s="42" t="s">
        <v>55</v>
      </c>
      <c r="E18" s="43">
        <f>14569107-374246</f>
        <v>14194861</v>
      </c>
      <c r="F18" s="43">
        <v>13771930</v>
      </c>
      <c r="G18" s="28">
        <v>10199890</v>
      </c>
      <c r="H18" s="43">
        <v>6865901</v>
      </c>
      <c r="I18" s="43">
        <v>15307430</v>
      </c>
      <c r="J18" s="43">
        <v>12867878</v>
      </c>
      <c r="K18" s="43">
        <v>14687125</v>
      </c>
      <c r="L18" s="43">
        <v>7167768</v>
      </c>
      <c r="M18" s="43">
        <v>8693461</v>
      </c>
      <c r="N18" s="43">
        <v>8402745</v>
      </c>
      <c r="O18" s="43">
        <v>8849835</v>
      </c>
      <c r="P18" s="28">
        <f>(143101+7500)*54-197412</f>
        <v>7935042</v>
      </c>
      <c r="Q18" s="43">
        <v>4648448</v>
      </c>
      <c r="R18" s="43">
        <f>3313222-156456</f>
        <v>3156766</v>
      </c>
      <c r="S18" s="43">
        <v>5557022</v>
      </c>
      <c r="T18" s="43">
        <v>2099139</v>
      </c>
      <c r="U18" s="43">
        <v>2758843</v>
      </c>
      <c r="V18" s="43">
        <v>934242</v>
      </c>
      <c r="W18" s="36">
        <f t="shared" si="1"/>
        <v>148098326</v>
      </c>
      <c r="X18" s="42"/>
    </row>
    <row r="19" spans="1:24">
      <c r="A19" s="33" t="s">
        <v>56</v>
      </c>
      <c r="B19" s="41" t="s">
        <v>57</v>
      </c>
      <c r="C19" s="41" t="s">
        <v>30</v>
      </c>
      <c r="D19" s="42" t="s">
        <v>58</v>
      </c>
      <c r="E19" s="43">
        <v>374246</v>
      </c>
      <c r="F19" s="43">
        <v>294794</v>
      </c>
      <c r="G19" s="28">
        <v>182692</v>
      </c>
      <c r="H19" s="43"/>
      <c r="I19" s="43">
        <v>433904</v>
      </c>
      <c r="J19" s="43">
        <v>194080</v>
      </c>
      <c r="K19" s="43">
        <v>216904</v>
      </c>
      <c r="L19" s="43">
        <v>200516</v>
      </c>
      <c r="M19" s="43">
        <v>181972</v>
      </c>
      <c r="N19" s="43">
        <v>181512</v>
      </c>
      <c r="O19" s="43">
        <v>186225</v>
      </c>
      <c r="P19" s="28">
        <v>197412</v>
      </c>
      <c r="Q19" s="43">
        <v>170784</v>
      </c>
      <c r="R19" s="43">
        <v>156456</v>
      </c>
      <c r="S19" s="43">
        <v>165816</v>
      </c>
      <c r="T19" s="43">
        <v>159876</v>
      </c>
      <c r="U19" s="43">
        <v>102576</v>
      </c>
      <c r="V19" s="43"/>
      <c r="W19" s="36">
        <f t="shared" si="1"/>
        <v>3399765</v>
      </c>
      <c r="X19" s="42"/>
    </row>
    <row r="20" spans="1:24">
      <c r="A20" s="33" t="s">
        <v>59</v>
      </c>
      <c r="B20" s="34" t="s">
        <v>60</v>
      </c>
      <c r="C20" s="34"/>
      <c r="D20" s="42" t="s">
        <v>24</v>
      </c>
      <c r="E20" s="44">
        <f t="shared" ref="E20:V20" si="13">E21</f>
        <v>1938175.16</v>
      </c>
      <c r="F20" s="44">
        <f t="shared" si="13"/>
        <v>1789488</v>
      </c>
      <c r="G20" s="44">
        <f t="shared" si="13"/>
        <v>1386000</v>
      </c>
      <c r="H20" s="44">
        <f t="shared" si="13"/>
        <v>648000</v>
      </c>
      <c r="I20" s="44">
        <f t="shared" si="13"/>
        <v>1815624</v>
      </c>
      <c r="J20" s="44">
        <f t="shared" si="13"/>
        <v>1545462</v>
      </c>
      <c r="K20" s="44">
        <f t="shared" si="13"/>
        <v>1867482</v>
      </c>
      <c r="L20" s="44">
        <f t="shared" si="13"/>
        <v>885492</v>
      </c>
      <c r="M20" s="44">
        <f t="shared" si="13"/>
        <v>1115514</v>
      </c>
      <c r="N20" s="44">
        <f t="shared" si="13"/>
        <v>1051146</v>
      </c>
      <c r="O20" s="44">
        <f t="shared" si="13"/>
        <v>1226214.6599999999</v>
      </c>
      <c r="P20" s="44">
        <f t="shared" si="13"/>
        <v>1074454.5</v>
      </c>
      <c r="Q20" s="44">
        <f t="shared" si="13"/>
        <v>609000</v>
      </c>
      <c r="R20" s="44">
        <f t="shared" si="13"/>
        <v>408582</v>
      </c>
      <c r="S20" s="44">
        <f t="shared" si="13"/>
        <v>725904</v>
      </c>
      <c r="T20" s="44">
        <f t="shared" si="13"/>
        <v>265482</v>
      </c>
      <c r="U20" s="44">
        <f t="shared" si="13"/>
        <v>387684</v>
      </c>
      <c r="V20" s="44">
        <f t="shared" si="13"/>
        <v>133200</v>
      </c>
      <c r="W20" s="36">
        <f t="shared" si="1"/>
        <v>18872904.32</v>
      </c>
      <c r="X20" s="42"/>
    </row>
    <row r="21" spans="1:24">
      <c r="A21" s="33" t="s">
        <v>61</v>
      </c>
      <c r="B21" s="34" t="s">
        <v>199</v>
      </c>
      <c r="C21" s="34" t="s">
        <v>62</v>
      </c>
      <c r="D21" s="42" t="s">
        <v>24</v>
      </c>
      <c r="E21" s="44">
        <f t="shared" ref="E21:V21" si="14">ROUND(E30/0.07*0.105,2)</f>
        <v>1938175.16</v>
      </c>
      <c r="F21" s="44">
        <f t="shared" si="14"/>
        <v>1789488</v>
      </c>
      <c r="G21" s="44">
        <f t="shared" si="14"/>
        <v>1386000</v>
      </c>
      <c r="H21" s="44">
        <f t="shared" si="14"/>
        <v>648000</v>
      </c>
      <c r="I21" s="44">
        <f t="shared" si="14"/>
        <v>1815624</v>
      </c>
      <c r="J21" s="44">
        <f t="shared" si="14"/>
        <v>1545462</v>
      </c>
      <c r="K21" s="44">
        <f t="shared" si="14"/>
        <v>1867482</v>
      </c>
      <c r="L21" s="44">
        <f t="shared" si="14"/>
        <v>885492</v>
      </c>
      <c r="M21" s="44">
        <f t="shared" si="14"/>
        <v>1115514</v>
      </c>
      <c r="N21" s="44">
        <f t="shared" si="14"/>
        <v>1051146</v>
      </c>
      <c r="O21" s="44">
        <f t="shared" si="14"/>
        <v>1226214.6599999999</v>
      </c>
      <c r="P21" s="44">
        <f t="shared" si="14"/>
        <v>1074454.5</v>
      </c>
      <c r="Q21" s="44">
        <f t="shared" si="14"/>
        <v>609000</v>
      </c>
      <c r="R21" s="44">
        <f t="shared" si="14"/>
        <v>408582</v>
      </c>
      <c r="S21" s="44">
        <f t="shared" si="14"/>
        <v>725904</v>
      </c>
      <c r="T21" s="44">
        <f t="shared" si="14"/>
        <v>265482</v>
      </c>
      <c r="U21" s="44">
        <f t="shared" si="14"/>
        <v>387684</v>
      </c>
      <c r="V21" s="44">
        <f t="shared" si="14"/>
        <v>133200</v>
      </c>
      <c r="W21" s="36">
        <f t="shared" si="1"/>
        <v>18872904.32</v>
      </c>
      <c r="X21" s="42"/>
    </row>
    <row r="22" spans="1:24">
      <c r="A22" s="33" t="s">
        <v>63</v>
      </c>
      <c r="B22" s="34" t="s">
        <v>64</v>
      </c>
      <c r="C22" s="34"/>
      <c r="D22" s="42" t="s">
        <v>48</v>
      </c>
      <c r="E22" s="44">
        <f t="shared" ref="E22:V22" si="15">E23+E24</f>
        <v>738352.44</v>
      </c>
      <c r="F22" s="44">
        <f t="shared" si="15"/>
        <v>681709.72</v>
      </c>
      <c r="G22" s="44">
        <f t="shared" si="15"/>
        <v>528000</v>
      </c>
      <c r="H22" s="44">
        <f t="shared" si="15"/>
        <v>246857.14</v>
      </c>
      <c r="I22" s="44">
        <f t="shared" si="15"/>
        <v>691666.28</v>
      </c>
      <c r="J22" s="44">
        <f t="shared" si="15"/>
        <v>588747.42000000004</v>
      </c>
      <c r="K22" s="44">
        <f t="shared" si="15"/>
        <v>711421.72</v>
      </c>
      <c r="L22" s="44">
        <f t="shared" si="15"/>
        <v>337330.28</v>
      </c>
      <c r="M22" s="44">
        <f t="shared" si="15"/>
        <v>424957.72</v>
      </c>
      <c r="N22" s="44">
        <f t="shared" si="15"/>
        <v>400436.58</v>
      </c>
      <c r="O22" s="44">
        <f t="shared" si="15"/>
        <v>467129.4</v>
      </c>
      <c r="P22" s="44">
        <f t="shared" si="15"/>
        <v>409316</v>
      </c>
      <c r="Q22" s="44">
        <f t="shared" si="15"/>
        <v>232000</v>
      </c>
      <c r="R22" s="44">
        <f t="shared" si="15"/>
        <v>155650.28</v>
      </c>
      <c r="S22" s="44">
        <f t="shared" si="15"/>
        <v>276534.86</v>
      </c>
      <c r="T22" s="44">
        <f t="shared" si="15"/>
        <v>101136</v>
      </c>
      <c r="U22" s="44">
        <f t="shared" si="15"/>
        <v>147689.14000000001</v>
      </c>
      <c r="V22" s="44">
        <f t="shared" si="15"/>
        <v>50742.86</v>
      </c>
      <c r="W22" s="36">
        <f t="shared" si="1"/>
        <v>7189677.8400000008</v>
      </c>
      <c r="X22" s="42"/>
    </row>
    <row r="23" spans="1:24">
      <c r="A23" s="33" t="s">
        <v>65</v>
      </c>
      <c r="B23" s="34" t="s">
        <v>200</v>
      </c>
      <c r="C23" s="34" t="s">
        <v>66</v>
      </c>
      <c r="D23" s="42" t="s">
        <v>48</v>
      </c>
      <c r="E23" s="44">
        <f t="shared" ref="E23:V23" si="16">ROUND(E30/0.07*0.02,2)</f>
        <v>369176.22</v>
      </c>
      <c r="F23" s="44">
        <f t="shared" si="16"/>
        <v>340854.86</v>
      </c>
      <c r="G23" s="44">
        <f t="shared" si="16"/>
        <v>264000</v>
      </c>
      <c r="H23" s="44">
        <f t="shared" si="16"/>
        <v>123428.57</v>
      </c>
      <c r="I23" s="44">
        <f t="shared" si="16"/>
        <v>345833.14</v>
      </c>
      <c r="J23" s="44">
        <f t="shared" si="16"/>
        <v>294373.71000000002</v>
      </c>
      <c r="K23" s="44">
        <f t="shared" si="16"/>
        <v>355710.86</v>
      </c>
      <c r="L23" s="44">
        <f t="shared" si="16"/>
        <v>168665.14</v>
      </c>
      <c r="M23" s="44">
        <f t="shared" si="16"/>
        <v>212478.86</v>
      </c>
      <c r="N23" s="44">
        <f t="shared" si="16"/>
        <v>200218.29</v>
      </c>
      <c r="O23" s="44">
        <f t="shared" si="16"/>
        <v>233564.7</v>
      </c>
      <c r="P23" s="44">
        <f t="shared" si="16"/>
        <v>204658</v>
      </c>
      <c r="Q23" s="44">
        <f t="shared" si="16"/>
        <v>116000</v>
      </c>
      <c r="R23" s="44">
        <f t="shared" si="16"/>
        <v>77825.14</v>
      </c>
      <c r="S23" s="44">
        <f t="shared" si="16"/>
        <v>138267.43</v>
      </c>
      <c r="T23" s="44">
        <f t="shared" si="16"/>
        <v>50568</v>
      </c>
      <c r="U23" s="44">
        <f t="shared" si="16"/>
        <v>73844.570000000007</v>
      </c>
      <c r="V23" s="44">
        <f t="shared" si="16"/>
        <v>25371.43</v>
      </c>
      <c r="W23" s="36">
        <f t="shared" si="1"/>
        <v>3594838.9200000004</v>
      </c>
      <c r="X23" s="42"/>
    </row>
    <row r="24" spans="1:24">
      <c r="A24" s="33" t="s">
        <v>67</v>
      </c>
      <c r="B24" s="34" t="s">
        <v>201</v>
      </c>
      <c r="C24" s="34" t="s">
        <v>66</v>
      </c>
      <c r="D24" s="42" t="s">
        <v>48</v>
      </c>
      <c r="E24" s="44">
        <f t="shared" ref="E24:V24" si="17">ROUND(E30/0.07*0.02,2)</f>
        <v>369176.22</v>
      </c>
      <c r="F24" s="44">
        <f t="shared" si="17"/>
        <v>340854.86</v>
      </c>
      <c r="G24" s="44">
        <f t="shared" si="17"/>
        <v>264000</v>
      </c>
      <c r="H24" s="44">
        <f t="shared" si="17"/>
        <v>123428.57</v>
      </c>
      <c r="I24" s="44">
        <f t="shared" si="17"/>
        <v>345833.14</v>
      </c>
      <c r="J24" s="44">
        <f t="shared" si="17"/>
        <v>294373.71000000002</v>
      </c>
      <c r="K24" s="44">
        <f t="shared" si="17"/>
        <v>355710.86</v>
      </c>
      <c r="L24" s="44">
        <f t="shared" si="17"/>
        <v>168665.14</v>
      </c>
      <c r="M24" s="44">
        <f t="shared" si="17"/>
        <v>212478.86</v>
      </c>
      <c r="N24" s="44">
        <f t="shared" si="17"/>
        <v>200218.29</v>
      </c>
      <c r="O24" s="44">
        <f t="shared" si="17"/>
        <v>233564.7</v>
      </c>
      <c r="P24" s="44">
        <f t="shared" si="17"/>
        <v>204658</v>
      </c>
      <c r="Q24" s="44">
        <f t="shared" si="17"/>
        <v>116000</v>
      </c>
      <c r="R24" s="44">
        <f t="shared" si="17"/>
        <v>77825.14</v>
      </c>
      <c r="S24" s="44">
        <f t="shared" si="17"/>
        <v>138267.43</v>
      </c>
      <c r="T24" s="44">
        <f t="shared" si="17"/>
        <v>50568</v>
      </c>
      <c r="U24" s="44">
        <f t="shared" si="17"/>
        <v>73844.570000000007</v>
      </c>
      <c r="V24" s="44">
        <f t="shared" si="17"/>
        <v>25371.43</v>
      </c>
      <c r="W24" s="36">
        <f t="shared" si="1"/>
        <v>3594838.9200000004</v>
      </c>
      <c r="X24" s="42"/>
    </row>
    <row r="25" spans="1:24">
      <c r="A25" s="33" t="s">
        <v>68</v>
      </c>
      <c r="B25" s="34" t="s">
        <v>69</v>
      </c>
      <c r="C25" s="34"/>
      <c r="D25" s="35" t="s">
        <v>24</v>
      </c>
      <c r="E25" s="36">
        <f t="shared" ref="E25:V25" si="18">E26</f>
        <v>2953409.76</v>
      </c>
      <c r="F25" s="36">
        <f t="shared" si="18"/>
        <v>2726838.86</v>
      </c>
      <c r="G25" s="36">
        <f t="shared" si="18"/>
        <v>2112000</v>
      </c>
      <c r="H25" s="36">
        <f t="shared" si="18"/>
        <v>987428.57</v>
      </c>
      <c r="I25" s="36">
        <f t="shared" si="18"/>
        <v>2766665.14</v>
      </c>
      <c r="J25" s="36">
        <f t="shared" si="18"/>
        <v>2354989.71</v>
      </c>
      <c r="K25" s="36">
        <f t="shared" si="18"/>
        <v>2845686.86</v>
      </c>
      <c r="L25" s="36">
        <f t="shared" si="18"/>
        <v>1349321.14</v>
      </c>
      <c r="M25" s="36">
        <f t="shared" si="18"/>
        <v>1699830.86</v>
      </c>
      <c r="N25" s="36">
        <f t="shared" si="18"/>
        <v>1601746.29</v>
      </c>
      <c r="O25" s="36">
        <f t="shared" si="18"/>
        <v>1868517.58</v>
      </c>
      <c r="P25" s="36">
        <f t="shared" si="18"/>
        <v>1637264</v>
      </c>
      <c r="Q25" s="36">
        <f t="shared" si="18"/>
        <v>928000</v>
      </c>
      <c r="R25" s="36">
        <f t="shared" si="18"/>
        <v>622601.14</v>
      </c>
      <c r="S25" s="36">
        <f t="shared" si="18"/>
        <v>1106139.43</v>
      </c>
      <c r="T25" s="36">
        <f t="shared" si="18"/>
        <v>404544</v>
      </c>
      <c r="U25" s="36">
        <f t="shared" si="18"/>
        <v>590756.56999999995</v>
      </c>
      <c r="V25" s="36">
        <f t="shared" si="18"/>
        <v>202971.43</v>
      </c>
      <c r="W25" s="36">
        <f t="shared" si="1"/>
        <v>28758711.339999996</v>
      </c>
      <c r="X25" s="37"/>
    </row>
    <row r="26" spans="1:24" s="40" customFormat="1">
      <c r="A26" s="33" t="s">
        <v>70</v>
      </c>
      <c r="B26" s="39" t="s">
        <v>202</v>
      </c>
      <c r="C26" s="39" t="s">
        <v>71</v>
      </c>
      <c r="D26" s="37" t="s">
        <v>48</v>
      </c>
      <c r="E26" s="36">
        <f t="shared" ref="E26:V26" si="19">ROUND(E30/0.07*0.16,2)</f>
        <v>2953409.76</v>
      </c>
      <c r="F26" s="36">
        <f t="shared" si="19"/>
        <v>2726838.86</v>
      </c>
      <c r="G26" s="36">
        <f t="shared" si="19"/>
        <v>2112000</v>
      </c>
      <c r="H26" s="36">
        <f t="shared" si="19"/>
        <v>987428.57</v>
      </c>
      <c r="I26" s="36">
        <f t="shared" si="19"/>
        <v>2766665.14</v>
      </c>
      <c r="J26" s="36">
        <f t="shared" si="19"/>
        <v>2354989.71</v>
      </c>
      <c r="K26" s="36">
        <f t="shared" si="19"/>
        <v>2845686.86</v>
      </c>
      <c r="L26" s="36">
        <f t="shared" si="19"/>
        <v>1349321.14</v>
      </c>
      <c r="M26" s="36">
        <f t="shared" si="19"/>
        <v>1699830.86</v>
      </c>
      <c r="N26" s="36">
        <f t="shared" si="19"/>
        <v>1601746.29</v>
      </c>
      <c r="O26" s="36">
        <f t="shared" si="19"/>
        <v>1868517.58</v>
      </c>
      <c r="P26" s="36">
        <f t="shared" si="19"/>
        <v>1637264</v>
      </c>
      <c r="Q26" s="36">
        <f t="shared" si="19"/>
        <v>928000</v>
      </c>
      <c r="R26" s="36">
        <f t="shared" si="19"/>
        <v>622601.14</v>
      </c>
      <c r="S26" s="36">
        <f t="shared" si="19"/>
        <v>1106139.43</v>
      </c>
      <c r="T26" s="36">
        <f t="shared" si="19"/>
        <v>404544</v>
      </c>
      <c r="U26" s="36">
        <f t="shared" si="19"/>
        <v>590756.56999999995</v>
      </c>
      <c r="V26" s="36">
        <f t="shared" si="19"/>
        <v>202971.43</v>
      </c>
      <c r="W26" s="36">
        <f t="shared" si="1"/>
        <v>28758711.339999996</v>
      </c>
      <c r="X26" s="37"/>
    </row>
    <row r="27" spans="1:24">
      <c r="A27" s="33" t="s">
        <v>72</v>
      </c>
      <c r="B27" s="34" t="s">
        <v>73</v>
      </c>
      <c r="C27" s="34"/>
      <c r="D27" s="35" t="s">
        <v>24</v>
      </c>
      <c r="E27" s="36">
        <f t="shared" ref="E27:V27" si="20">E28</f>
        <v>1476704.88</v>
      </c>
      <c r="F27" s="36">
        <f t="shared" si="20"/>
        <v>1363419.43</v>
      </c>
      <c r="G27" s="36">
        <f t="shared" si="20"/>
        <v>1056000</v>
      </c>
      <c r="H27" s="36">
        <f t="shared" si="20"/>
        <v>493714.29</v>
      </c>
      <c r="I27" s="36">
        <f t="shared" si="20"/>
        <v>1383332.57</v>
      </c>
      <c r="J27" s="36">
        <f t="shared" si="20"/>
        <v>1177494.8600000001</v>
      </c>
      <c r="K27" s="36">
        <f t="shared" si="20"/>
        <v>1422843.43</v>
      </c>
      <c r="L27" s="36">
        <f t="shared" si="20"/>
        <v>674660.57</v>
      </c>
      <c r="M27" s="36">
        <f t="shared" si="20"/>
        <v>849915.43</v>
      </c>
      <c r="N27" s="36">
        <f t="shared" si="20"/>
        <v>800873.14</v>
      </c>
      <c r="O27" s="36">
        <f t="shared" si="20"/>
        <v>934258.79</v>
      </c>
      <c r="P27" s="36">
        <f t="shared" si="20"/>
        <v>818632</v>
      </c>
      <c r="Q27" s="36">
        <f t="shared" si="20"/>
        <v>464000</v>
      </c>
      <c r="R27" s="36">
        <f t="shared" si="20"/>
        <v>311300.57</v>
      </c>
      <c r="S27" s="36">
        <f t="shared" si="20"/>
        <v>553069.71</v>
      </c>
      <c r="T27" s="36">
        <f t="shared" si="20"/>
        <v>202272</v>
      </c>
      <c r="U27" s="36">
        <f t="shared" si="20"/>
        <v>295378.28999999998</v>
      </c>
      <c r="V27" s="36">
        <f t="shared" si="20"/>
        <v>101485.71</v>
      </c>
      <c r="W27" s="36">
        <f t="shared" si="1"/>
        <v>14379355.670000002</v>
      </c>
      <c r="X27" s="37"/>
    </row>
    <row r="28" spans="1:24" s="40" customFormat="1">
      <c r="A28" s="33" t="s">
        <v>74</v>
      </c>
      <c r="B28" s="39" t="s">
        <v>75</v>
      </c>
      <c r="C28" s="39" t="s">
        <v>76</v>
      </c>
      <c r="D28" s="37" t="s">
        <v>48</v>
      </c>
      <c r="E28" s="36">
        <f t="shared" ref="E28:V28" si="21">ROUND(E30/0.07*0.08,2)</f>
        <v>1476704.88</v>
      </c>
      <c r="F28" s="36">
        <f t="shared" si="21"/>
        <v>1363419.43</v>
      </c>
      <c r="G28" s="36">
        <f t="shared" si="21"/>
        <v>1056000</v>
      </c>
      <c r="H28" s="36">
        <f t="shared" si="21"/>
        <v>493714.29</v>
      </c>
      <c r="I28" s="36">
        <f t="shared" si="21"/>
        <v>1383332.57</v>
      </c>
      <c r="J28" s="36">
        <f t="shared" si="21"/>
        <v>1177494.8600000001</v>
      </c>
      <c r="K28" s="36">
        <f t="shared" si="21"/>
        <v>1422843.43</v>
      </c>
      <c r="L28" s="36">
        <f t="shared" si="21"/>
        <v>674660.57</v>
      </c>
      <c r="M28" s="36">
        <f t="shared" si="21"/>
        <v>849915.43</v>
      </c>
      <c r="N28" s="36">
        <f t="shared" si="21"/>
        <v>800873.14</v>
      </c>
      <c r="O28" s="36">
        <f t="shared" si="21"/>
        <v>934258.79</v>
      </c>
      <c r="P28" s="36">
        <f t="shared" si="21"/>
        <v>818632</v>
      </c>
      <c r="Q28" s="36">
        <f t="shared" si="21"/>
        <v>464000</v>
      </c>
      <c r="R28" s="36">
        <f t="shared" si="21"/>
        <v>311300.57</v>
      </c>
      <c r="S28" s="36">
        <f t="shared" si="21"/>
        <v>553069.71</v>
      </c>
      <c r="T28" s="36">
        <f t="shared" si="21"/>
        <v>202272</v>
      </c>
      <c r="U28" s="36">
        <f t="shared" si="21"/>
        <v>295378.28999999998</v>
      </c>
      <c r="V28" s="36">
        <f t="shared" si="21"/>
        <v>101485.71</v>
      </c>
      <c r="W28" s="36">
        <f t="shared" si="1"/>
        <v>14379355.670000002</v>
      </c>
      <c r="X28" s="37"/>
    </row>
    <row r="29" spans="1:24" ht="22.5">
      <c r="A29" s="33" t="s">
        <v>77</v>
      </c>
      <c r="B29" s="34" t="s">
        <v>78</v>
      </c>
      <c r="C29" s="41" t="s">
        <v>30</v>
      </c>
      <c r="D29" s="37" t="s">
        <v>79</v>
      </c>
      <c r="E29" s="36">
        <f t="shared" ref="E29:V29" si="22">9600*E97</f>
        <v>835200</v>
      </c>
      <c r="F29" s="36">
        <f t="shared" si="22"/>
        <v>806400</v>
      </c>
      <c r="G29" s="36">
        <f t="shared" si="22"/>
        <v>595200</v>
      </c>
      <c r="H29" s="36">
        <f t="shared" si="22"/>
        <v>393600</v>
      </c>
      <c r="I29" s="36">
        <f t="shared" si="22"/>
        <v>902400</v>
      </c>
      <c r="J29" s="36">
        <f t="shared" si="22"/>
        <v>748800</v>
      </c>
      <c r="K29" s="36">
        <f t="shared" si="22"/>
        <v>854400</v>
      </c>
      <c r="L29" s="36">
        <f t="shared" si="22"/>
        <v>422400</v>
      </c>
      <c r="M29" s="36">
        <f t="shared" si="22"/>
        <v>508800</v>
      </c>
      <c r="N29" s="36">
        <f t="shared" si="22"/>
        <v>547200</v>
      </c>
      <c r="O29" s="36">
        <f t="shared" si="22"/>
        <v>576000</v>
      </c>
      <c r="P29" s="36">
        <f t="shared" si="22"/>
        <v>518400</v>
      </c>
      <c r="Q29" s="36">
        <f t="shared" si="22"/>
        <v>307200</v>
      </c>
      <c r="R29" s="36">
        <f t="shared" si="22"/>
        <v>211200</v>
      </c>
      <c r="S29" s="36">
        <f t="shared" si="22"/>
        <v>364800</v>
      </c>
      <c r="T29" s="36">
        <f t="shared" si="22"/>
        <v>144000</v>
      </c>
      <c r="U29" s="36">
        <f t="shared" si="22"/>
        <v>182400</v>
      </c>
      <c r="V29" s="36">
        <f t="shared" si="22"/>
        <v>57600</v>
      </c>
      <c r="W29" s="36">
        <f t="shared" si="1"/>
        <v>8976000</v>
      </c>
      <c r="X29" s="37"/>
    </row>
    <row r="30" spans="1:24">
      <c r="A30" s="33" t="s">
        <v>80</v>
      </c>
      <c r="B30" s="34" t="s">
        <v>81</v>
      </c>
      <c r="C30" s="34" t="s">
        <v>81</v>
      </c>
      <c r="D30" s="35" t="s">
        <v>203</v>
      </c>
      <c r="E30" s="43">
        <f>18458811*0.07</f>
        <v>1292116.77</v>
      </c>
      <c r="F30" s="43">
        <f>99416*12</f>
        <v>1192992</v>
      </c>
      <c r="G30" s="43">
        <v>924000</v>
      </c>
      <c r="H30" s="43">
        <f>36000*12</f>
        <v>432000</v>
      </c>
      <c r="I30" s="43">
        <v>1210416</v>
      </c>
      <c r="J30" s="43">
        <v>1030308</v>
      </c>
      <c r="K30" s="43">
        <v>1244988</v>
      </c>
      <c r="L30" s="43">
        <v>590328</v>
      </c>
      <c r="M30" s="43">
        <v>743676</v>
      </c>
      <c r="N30" s="43">
        <v>700764</v>
      </c>
      <c r="O30" s="43">
        <v>817476.44</v>
      </c>
      <c r="P30" s="43">
        <v>716303</v>
      </c>
      <c r="Q30" s="43">
        <v>406000</v>
      </c>
      <c r="R30" s="43">
        <v>272388</v>
      </c>
      <c r="S30" s="43">
        <v>483936</v>
      </c>
      <c r="T30" s="43">
        <v>176988</v>
      </c>
      <c r="U30" s="43">
        <v>258456</v>
      </c>
      <c r="V30" s="43">
        <v>88800</v>
      </c>
      <c r="W30" s="36">
        <f t="shared" si="1"/>
        <v>12581936.209999999</v>
      </c>
      <c r="X30" s="42"/>
    </row>
    <row r="31" spans="1:24">
      <c r="A31" s="33">
        <v>29</v>
      </c>
      <c r="B31" s="34" t="s">
        <v>204</v>
      </c>
      <c r="C31" s="34" t="s">
        <v>205</v>
      </c>
      <c r="D31" s="37" t="s">
        <v>206</v>
      </c>
      <c r="E31" s="43"/>
      <c r="F31" s="43"/>
      <c r="G31" s="43"/>
      <c r="H31" s="43"/>
      <c r="I31" s="43">
        <v>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36">
        <f t="shared" si="1"/>
        <v>0</v>
      </c>
      <c r="X31" s="42"/>
    </row>
    <row r="32" spans="1:24">
      <c r="A32" s="33">
        <v>30</v>
      </c>
      <c r="B32" s="34" t="s">
        <v>82</v>
      </c>
      <c r="C32" s="34"/>
      <c r="D32" s="35" t="s">
        <v>24</v>
      </c>
      <c r="E32" s="36">
        <f t="shared" ref="E32:V32" si="23">E33+E41+E43+E46+E48</f>
        <v>7960</v>
      </c>
      <c r="F32" s="36">
        <f t="shared" si="23"/>
        <v>14840</v>
      </c>
      <c r="G32" s="36">
        <f t="shared" si="23"/>
        <v>5280</v>
      </c>
      <c r="H32" s="36">
        <f t="shared" si="23"/>
        <v>39360</v>
      </c>
      <c r="I32" s="36">
        <f t="shared" si="23"/>
        <v>3000</v>
      </c>
      <c r="J32" s="36">
        <f t="shared" si="23"/>
        <v>4320</v>
      </c>
      <c r="K32" s="36">
        <f t="shared" si="23"/>
        <v>15120</v>
      </c>
      <c r="L32" s="36">
        <f t="shared" si="23"/>
        <v>3080</v>
      </c>
      <c r="M32" s="36">
        <f t="shared" si="23"/>
        <v>2520</v>
      </c>
      <c r="N32" s="36">
        <f t="shared" si="23"/>
        <v>11040</v>
      </c>
      <c r="O32" s="36">
        <f t="shared" si="23"/>
        <v>14320</v>
      </c>
      <c r="P32" s="36">
        <f t="shared" si="23"/>
        <v>13900</v>
      </c>
      <c r="Q32" s="36">
        <f t="shared" si="23"/>
        <v>8160</v>
      </c>
      <c r="R32" s="36">
        <f t="shared" si="23"/>
        <v>5160</v>
      </c>
      <c r="S32" s="36">
        <f t="shared" si="23"/>
        <v>5940</v>
      </c>
      <c r="T32" s="36">
        <f t="shared" si="23"/>
        <v>3120</v>
      </c>
      <c r="U32" s="36">
        <f t="shared" si="23"/>
        <v>5760</v>
      </c>
      <c r="V32" s="36">
        <f t="shared" si="23"/>
        <v>720</v>
      </c>
      <c r="W32" s="36">
        <f t="shared" si="1"/>
        <v>163600</v>
      </c>
      <c r="X32" s="37"/>
    </row>
    <row r="33" spans="1:24">
      <c r="A33" s="33">
        <v>31</v>
      </c>
      <c r="B33" s="34" t="s">
        <v>83</v>
      </c>
      <c r="C33" s="34"/>
      <c r="D33" s="35" t="s">
        <v>24</v>
      </c>
      <c r="E33" s="36">
        <f t="shared" ref="E33:V33" si="24">E34+E35+E36+E37+E38+E39+E40</f>
        <v>0</v>
      </c>
      <c r="F33" s="36">
        <f t="shared" si="24"/>
        <v>0</v>
      </c>
      <c r="G33" s="36">
        <f t="shared" si="24"/>
        <v>0</v>
      </c>
      <c r="H33" s="36">
        <f t="shared" si="24"/>
        <v>0</v>
      </c>
      <c r="I33" s="36">
        <f t="shared" si="24"/>
        <v>0</v>
      </c>
      <c r="J33" s="36">
        <f t="shared" si="24"/>
        <v>0</v>
      </c>
      <c r="K33" s="36">
        <f t="shared" si="24"/>
        <v>0</v>
      </c>
      <c r="L33" s="36">
        <f t="shared" si="24"/>
        <v>0</v>
      </c>
      <c r="M33" s="36">
        <f t="shared" si="24"/>
        <v>0</v>
      </c>
      <c r="N33" s="36">
        <f t="shared" si="24"/>
        <v>0</v>
      </c>
      <c r="O33" s="36">
        <f t="shared" si="24"/>
        <v>0</v>
      </c>
      <c r="P33" s="36">
        <f t="shared" si="24"/>
        <v>0</v>
      </c>
      <c r="Q33" s="36">
        <f t="shared" si="24"/>
        <v>0</v>
      </c>
      <c r="R33" s="36">
        <f t="shared" si="24"/>
        <v>0</v>
      </c>
      <c r="S33" s="36">
        <f t="shared" si="24"/>
        <v>0</v>
      </c>
      <c r="T33" s="36">
        <f t="shared" si="24"/>
        <v>0</v>
      </c>
      <c r="U33" s="36">
        <f t="shared" si="24"/>
        <v>0</v>
      </c>
      <c r="V33" s="36">
        <f t="shared" si="24"/>
        <v>0</v>
      </c>
      <c r="W33" s="36">
        <f t="shared" si="1"/>
        <v>0</v>
      </c>
      <c r="X33" s="37"/>
    </row>
    <row r="34" spans="1:24">
      <c r="A34" s="33">
        <v>32</v>
      </c>
      <c r="B34" s="34" t="s">
        <v>84</v>
      </c>
      <c r="C34" s="34" t="s">
        <v>85</v>
      </c>
      <c r="D34" s="42" t="s">
        <v>86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1"/>
        <v>0</v>
      </c>
      <c r="X34" s="42"/>
    </row>
    <row r="35" spans="1:24">
      <c r="A35" s="33">
        <v>33</v>
      </c>
      <c r="B35" s="34" t="s">
        <v>87</v>
      </c>
      <c r="C35" s="34" t="s">
        <v>85</v>
      </c>
      <c r="D35" s="42" t="s">
        <v>86</v>
      </c>
      <c r="E35" s="43"/>
      <c r="F35" s="43"/>
      <c r="G35" s="43"/>
      <c r="H35" s="43"/>
      <c r="I35" s="43"/>
      <c r="J35" s="43"/>
      <c r="K35" s="43">
        <v>0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1"/>
        <v>0</v>
      </c>
      <c r="X35" s="42"/>
    </row>
    <row r="36" spans="1:24">
      <c r="A36" s="33">
        <v>34</v>
      </c>
      <c r="B36" s="34" t="s">
        <v>88</v>
      </c>
      <c r="C36" s="34" t="s">
        <v>85</v>
      </c>
      <c r="D36" s="42" t="s">
        <v>89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1"/>
        <v>0</v>
      </c>
      <c r="X36" s="42"/>
    </row>
    <row r="37" spans="1:24">
      <c r="A37" s="33">
        <v>35</v>
      </c>
      <c r="B37" s="34" t="s">
        <v>90</v>
      </c>
      <c r="C37" s="34" t="s">
        <v>85</v>
      </c>
      <c r="D37" s="42" t="s">
        <v>86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1"/>
        <v>0</v>
      </c>
      <c r="X37" s="42"/>
    </row>
    <row r="38" spans="1:24">
      <c r="A38" s="33">
        <v>36</v>
      </c>
      <c r="B38" s="34" t="s">
        <v>91</v>
      </c>
      <c r="C38" s="34" t="s">
        <v>85</v>
      </c>
      <c r="D38" s="42" t="s">
        <v>86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1"/>
        <v>0</v>
      </c>
      <c r="X38" s="42"/>
    </row>
    <row r="39" spans="1:24">
      <c r="A39" s="33">
        <v>37</v>
      </c>
      <c r="B39" s="34" t="s">
        <v>92</v>
      </c>
      <c r="C39" s="34" t="s">
        <v>85</v>
      </c>
      <c r="D39" s="42" t="s">
        <v>86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1"/>
        <v>0</v>
      </c>
      <c r="X39" s="42"/>
    </row>
    <row r="40" spans="1:24">
      <c r="A40" s="33">
        <v>38</v>
      </c>
      <c r="B40" s="34" t="s">
        <v>93</v>
      </c>
      <c r="C40" s="34" t="s">
        <v>85</v>
      </c>
      <c r="D40" s="42" t="s">
        <v>86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36">
        <f t="shared" si="1"/>
        <v>0</v>
      </c>
      <c r="X40" s="42"/>
    </row>
    <row r="41" spans="1:24">
      <c r="A41" s="33">
        <v>39</v>
      </c>
      <c r="B41" s="34" t="s">
        <v>94</v>
      </c>
      <c r="C41" s="34"/>
      <c r="D41" s="35" t="s">
        <v>24</v>
      </c>
      <c r="E41" s="36">
        <f t="shared" ref="E41:V41" si="25">E42</f>
        <v>0</v>
      </c>
      <c r="F41" s="36">
        <f t="shared" si="25"/>
        <v>6400</v>
      </c>
      <c r="G41" s="36">
        <f t="shared" si="25"/>
        <v>0</v>
      </c>
      <c r="H41" s="36">
        <f t="shared" si="25"/>
        <v>0</v>
      </c>
      <c r="I41" s="36">
        <f t="shared" si="25"/>
        <v>0</v>
      </c>
      <c r="J41" s="36">
        <f t="shared" si="25"/>
        <v>0</v>
      </c>
      <c r="K41" s="36">
        <f t="shared" si="25"/>
        <v>0</v>
      </c>
      <c r="L41" s="36">
        <f t="shared" si="25"/>
        <v>0</v>
      </c>
      <c r="M41" s="36">
        <f t="shared" si="25"/>
        <v>0</v>
      </c>
      <c r="N41" s="36">
        <f t="shared" si="25"/>
        <v>0</v>
      </c>
      <c r="O41" s="36">
        <f t="shared" si="25"/>
        <v>0</v>
      </c>
      <c r="P41" s="36">
        <f t="shared" si="25"/>
        <v>0</v>
      </c>
      <c r="Q41" s="36">
        <f t="shared" si="25"/>
        <v>0</v>
      </c>
      <c r="R41" s="36">
        <f t="shared" si="25"/>
        <v>0</v>
      </c>
      <c r="S41" s="36">
        <f t="shared" si="25"/>
        <v>0</v>
      </c>
      <c r="T41" s="36">
        <f t="shared" si="25"/>
        <v>0</v>
      </c>
      <c r="U41" s="36">
        <f t="shared" si="25"/>
        <v>0</v>
      </c>
      <c r="V41" s="36">
        <f t="shared" si="25"/>
        <v>0</v>
      </c>
      <c r="W41" s="36">
        <f t="shared" si="1"/>
        <v>6400</v>
      </c>
      <c r="X41" s="37"/>
    </row>
    <row r="42" spans="1:24" s="40" customFormat="1">
      <c r="A42" s="33">
        <v>40</v>
      </c>
      <c r="B42" s="39" t="s">
        <v>95</v>
      </c>
      <c r="C42" s="39" t="s">
        <v>30</v>
      </c>
      <c r="D42" s="37" t="s">
        <v>96</v>
      </c>
      <c r="E42" s="45"/>
      <c r="F42" s="45">
        <v>6400</v>
      </c>
      <c r="G42" s="45"/>
      <c r="H42" s="45"/>
      <c r="I42" s="45">
        <v>0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36">
        <f t="shared" si="1"/>
        <v>6400</v>
      </c>
      <c r="X42" s="37"/>
    </row>
    <row r="43" spans="1:24">
      <c r="A43" s="33">
        <v>41</v>
      </c>
      <c r="B43" s="34" t="s">
        <v>97</v>
      </c>
      <c r="C43" s="34"/>
      <c r="D43" s="35" t="s">
        <v>24</v>
      </c>
      <c r="E43" s="36">
        <f t="shared" ref="E43:V43" si="26">E44+E45</f>
        <v>0</v>
      </c>
      <c r="F43" s="36">
        <f t="shared" si="26"/>
        <v>0</v>
      </c>
      <c r="G43" s="36">
        <f t="shared" si="26"/>
        <v>0</v>
      </c>
      <c r="H43" s="36">
        <f t="shared" si="26"/>
        <v>0</v>
      </c>
      <c r="I43" s="36">
        <f t="shared" si="26"/>
        <v>0</v>
      </c>
      <c r="J43" s="36">
        <f t="shared" si="26"/>
        <v>0</v>
      </c>
      <c r="K43" s="36">
        <f t="shared" si="26"/>
        <v>0</v>
      </c>
      <c r="L43" s="36">
        <f t="shared" si="26"/>
        <v>0</v>
      </c>
      <c r="M43" s="36">
        <f t="shared" si="26"/>
        <v>0</v>
      </c>
      <c r="N43" s="36">
        <f t="shared" si="26"/>
        <v>0</v>
      </c>
      <c r="O43" s="36">
        <f t="shared" si="26"/>
        <v>0</v>
      </c>
      <c r="P43" s="36">
        <f t="shared" si="26"/>
        <v>0</v>
      </c>
      <c r="Q43" s="36">
        <f t="shared" si="26"/>
        <v>0</v>
      </c>
      <c r="R43" s="36">
        <f t="shared" si="26"/>
        <v>0</v>
      </c>
      <c r="S43" s="36">
        <f t="shared" si="26"/>
        <v>0</v>
      </c>
      <c r="T43" s="36">
        <f t="shared" si="26"/>
        <v>0</v>
      </c>
      <c r="U43" s="36">
        <f t="shared" si="26"/>
        <v>0</v>
      </c>
      <c r="V43" s="36">
        <f t="shared" si="26"/>
        <v>0</v>
      </c>
      <c r="W43" s="36">
        <f t="shared" si="1"/>
        <v>0</v>
      </c>
      <c r="X43" s="37"/>
    </row>
    <row r="44" spans="1:24" s="40" customFormat="1">
      <c r="A44" s="33">
        <v>42</v>
      </c>
      <c r="B44" s="39" t="s">
        <v>98</v>
      </c>
      <c r="C44" s="39" t="s">
        <v>30</v>
      </c>
      <c r="D44" s="37" t="s">
        <v>89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36">
        <f t="shared" si="1"/>
        <v>0</v>
      </c>
      <c r="X44" s="37"/>
    </row>
    <row r="45" spans="1:24" s="40" customFormat="1">
      <c r="A45" s="33">
        <v>43</v>
      </c>
      <c r="B45" s="39" t="s">
        <v>99</v>
      </c>
      <c r="C45" s="39" t="s">
        <v>30</v>
      </c>
      <c r="D45" s="37" t="s">
        <v>89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36">
        <f t="shared" si="1"/>
        <v>0</v>
      </c>
      <c r="X45" s="37"/>
    </row>
    <row r="46" spans="1:24">
      <c r="A46" s="33">
        <v>44</v>
      </c>
      <c r="B46" s="34" t="s">
        <v>100</v>
      </c>
      <c r="C46" s="34"/>
      <c r="D46" s="35" t="s">
        <v>24</v>
      </c>
      <c r="E46" s="36">
        <f t="shared" ref="E46:V46" si="27">E47</f>
        <v>3960</v>
      </c>
      <c r="F46" s="36">
        <f t="shared" si="27"/>
        <v>1440</v>
      </c>
      <c r="G46" s="36">
        <f t="shared" si="27"/>
        <v>1080</v>
      </c>
      <c r="H46" s="36">
        <f t="shared" si="27"/>
        <v>14760</v>
      </c>
      <c r="I46" s="36">
        <f t="shared" si="27"/>
        <v>1800</v>
      </c>
      <c r="J46" s="36">
        <f t="shared" si="27"/>
        <v>720</v>
      </c>
      <c r="K46" s="36">
        <f t="shared" si="27"/>
        <v>6120</v>
      </c>
      <c r="L46" s="36">
        <f t="shared" si="27"/>
        <v>1080</v>
      </c>
      <c r="M46" s="36">
        <f t="shared" si="27"/>
        <v>720</v>
      </c>
      <c r="N46" s="36">
        <f t="shared" si="27"/>
        <v>6840</v>
      </c>
      <c r="O46" s="36">
        <f t="shared" si="27"/>
        <v>4320</v>
      </c>
      <c r="P46" s="36">
        <f t="shared" si="27"/>
        <v>4650</v>
      </c>
      <c r="Q46" s="36">
        <f t="shared" si="27"/>
        <v>2160</v>
      </c>
      <c r="R46" s="36">
        <f t="shared" si="27"/>
        <v>2160</v>
      </c>
      <c r="S46" s="36">
        <f t="shared" si="27"/>
        <v>1440</v>
      </c>
      <c r="T46" s="36">
        <f t="shared" si="27"/>
        <v>720</v>
      </c>
      <c r="U46" s="36">
        <f t="shared" si="27"/>
        <v>2160</v>
      </c>
      <c r="V46" s="36">
        <f t="shared" si="27"/>
        <v>720</v>
      </c>
      <c r="W46" s="36">
        <f t="shared" si="1"/>
        <v>56850</v>
      </c>
      <c r="X46" s="37"/>
    </row>
    <row r="47" spans="1:24">
      <c r="A47" s="33">
        <v>45</v>
      </c>
      <c r="B47" s="34" t="s">
        <v>101</v>
      </c>
      <c r="C47" s="34" t="s">
        <v>30</v>
      </c>
      <c r="D47" s="35" t="s">
        <v>31</v>
      </c>
      <c r="E47" s="28">
        <f>330*12</f>
        <v>3960</v>
      </c>
      <c r="F47" s="28">
        <f>120*12</f>
        <v>1440</v>
      </c>
      <c r="G47" s="28">
        <v>1080</v>
      </c>
      <c r="H47" s="28">
        <f>30*12*41</f>
        <v>14760</v>
      </c>
      <c r="I47" s="28">
        <v>1800</v>
      </c>
      <c r="J47" s="28">
        <v>720</v>
      </c>
      <c r="K47" s="28">
        <v>6120</v>
      </c>
      <c r="L47" s="28">
        <v>1080</v>
      </c>
      <c r="M47" s="28">
        <v>720</v>
      </c>
      <c r="N47" s="28">
        <v>6840</v>
      </c>
      <c r="O47" s="28">
        <v>4320</v>
      </c>
      <c r="P47" s="28">
        <v>4650</v>
      </c>
      <c r="Q47" s="28">
        <v>2160</v>
      </c>
      <c r="R47" s="28">
        <v>2160</v>
      </c>
      <c r="S47" s="28">
        <v>1440</v>
      </c>
      <c r="T47" s="28">
        <v>720</v>
      </c>
      <c r="U47" s="28">
        <v>2160</v>
      </c>
      <c r="V47" s="28">
        <v>720</v>
      </c>
      <c r="W47" s="36">
        <f t="shared" si="1"/>
        <v>56850</v>
      </c>
      <c r="X47" s="37"/>
    </row>
    <row r="48" spans="1:24">
      <c r="A48" s="33">
        <v>46</v>
      </c>
      <c r="B48" s="34" t="s">
        <v>102</v>
      </c>
      <c r="C48" s="34"/>
      <c r="D48" s="35" t="s">
        <v>24</v>
      </c>
      <c r="E48" s="36">
        <f t="shared" ref="E48:V48" si="28">SUM(E49:E52)</f>
        <v>4000</v>
      </c>
      <c r="F48" s="36">
        <f t="shared" si="28"/>
        <v>7000</v>
      </c>
      <c r="G48" s="36">
        <f t="shared" si="28"/>
        <v>4200</v>
      </c>
      <c r="H48" s="36">
        <f t="shared" si="28"/>
        <v>24600</v>
      </c>
      <c r="I48" s="36">
        <f t="shared" si="28"/>
        <v>1200</v>
      </c>
      <c r="J48" s="36">
        <f t="shared" si="28"/>
        <v>3600</v>
      </c>
      <c r="K48" s="36">
        <f t="shared" si="28"/>
        <v>9000</v>
      </c>
      <c r="L48" s="36">
        <f t="shared" si="28"/>
        <v>2000</v>
      </c>
      <c r="M48" s="36">
        <f t="shared" si="28"/>
        <v>1800</v>
      </c>
      <c r="N48" s="36">
        <f t="shared" si="28"/>
        <v>4200</v>
      </c>
      <c r="O48" s="36">
        <f t="shared" si="28"/>
        <v>10000</v>
      </c>
      <c r="P48" s="36">
        <f t="shared" si="28"/>
        <v>9250</v>
      </c>
      <c r="Q48" s="36">
        <f t="shared" si="28"/>
        <v>6000</v>
      </c>
      <c r="R48" s="36">
        <f t="shared" si="28"/>
        <v>3000</v>
      </c>
      <c r="S48" s="36">
        <f t="shared" si="28"/>
        <v>4500</v>
      </c>
      <c r="T48" s="36">
        <f t="shared" si="28"/>
        <v>2400</v>
      </c>
      <c r="U48" s="36">
        <f t="shared" si="28"/>
        <v>3600</v>
      </c>
      <c r="V48" s="36">
        <f t="shared" si="28"/>
        <v>0</v>
      </c>
      <c r="W48" s="36">
        <f t="shared" si="1"/>
        <v>100350</v>
      </c>
      <c r="X48" s="37"/>
    </row>
    <row r="49" spans="1:24">
      <c r="A49" s="33">
        <v>47</v>
      </c>
      <c r="B49" s="34" t="s">
        <v>103</v>
      </c>
      <c r="C49" s="34" t="s">
        <v>30</v>
      </c>
      <c r="D49" s="35" t="s">
        <v>104</v>
      </c>
      <c r="E49" s="28">
        <f>80*50</f>
        <v>4000</v>
      </c>
      <c r="F49" s="28">
        <v>7000</v>
      </c>
      <c r="G49" s="28">
        <v>4200</v>
      </c>
      <c r="H49" s="28">
        <f>50*12*41</f>
        <v>24600</v>
      </c>
      <c r="I49" s="28">
        <v>1200</v>
      </c>
      <c r="J49" s="28">
        <v>3600</v>
      </c>
      <c r="K49" s="28">
        <v>9000</v>
      </c>
      <c r="L49" s="28">
        <v>2000</v>
      </c>
      <c r="M49" s="28">
        <f>50*3*12</f>
        <v>1800</v>
      </c>
      <c r="N49" s="28">
        <v>4200</v>
      </c>
      <c r="O49" s="28">
        <v>10000</v>
      </c>
      <c r="P49" s="28">
        <v>9250</v>
      </c>
      <c r="Q49" s="28">
        <v>6000</v>
      </c>
      <c r="R49" s="28">
        <v>3000</v>
      </c>
      <c r="S49" s="28">
        <v>4500</v>
      </c>
      <c r="T49" s="28">
        <v>2400</v>
      </c>
      <c r="U49" s="28">
        <v>3600</v>
      </c>
      <c r="V49" s="28"/>
      <c r="W49" s="36">
        <f t="shared" si="1"/>
        <v>100350</v>
      </c>
      <c r="X49" s="37"/>
    </row>
    <row r="50" spans="1:24" s="40" customFormat="1">
      <c r="A50" s="33">
        <v>48</v>
      </c>
      <c r="B50" s="39" t="s">
        <v>105</v>
      </c>
      <c r="C50" s="39" t="s">
        <v>30</v>
      </c>
      <c r="D50" s="37" t="s">
        <v>106</v>
      </c>
      <c r="E50" s="45"/>
      <c r="F50" s="45"/>
      <c r="G50" s="45"/>
      <c r="H50" s="45"/>
      <c r="I50" s="45"/>
      <c r="J50" s="45"/>
      <c r="K50" s="45">
        <v>0</v>
      </c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36">
        <f t="shared" si="1"/>
        <v>0</v>
      </c>
      <c r="X50" s="37"/>
    </row>
    <row r="51" spans="1:24" s="40" customFormat="1">
      <c r="A51" s="33">
        <v>49</v>
      </c>
      <c r="B51" s="39" t="s">
        <v>107</v>
      </c>
      <c r="C51" s="39" t="s">
        <v>30</v>
      </c>
      <c r="D51" s="37" t="s">
        <v>106</v>
      </c>
      <c r="E51" s="45"/>
      <c r="F51" s="45"/>
      <c r="G51" s="45"/>
      <c r="H51" s="45"/>
      <c r="I51" s="45"/>
      <c r="J51" s="45"/>
      <c r="K51" s="45">
        <v>0</v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36">
        <f t="shared" si="1"/>
        <v>0</v>
      </c>
      <c r="X51" s="37"/>
    </row>
    <row r="52" spans="1:24" ht="33.75">
      <c r="A52" s="33">
        <v>50</v>
      </c>
      <c r="B52" s="34" t="s">
        <v>108</v>
      </c>
      <c r="C52" s="34" t="s">
        <v>30</v>
      </c>
      <c r="D52" s="42" t="s">
        <v>109</v>
      </c>
      <c r="E52" s="43"/>
      <c r="F52" s="43"/>
      <c r="G52" s="43"/>
      <c r="H52" s="43"/>
      <c r="I52" s="43"/>
      <c r="J52" s="43"/>
      <c r="K52" s="43">
        <v>0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36">
        <f t="shared" si="1"/>
        <v>0</v>
      </c>
      <c r="X52" s="42"/>
    </row>
    <row r="53" spans="1:24">
      <c r="A53" s="33">
        <v>51</v>
      </c>
      <c r="B53" s="34" t="s">
        <v>110</v>
      </c>
      <c r="C53" s="34"/>
      <c r="D53" s="35" t="s">
        <v>24</v>
      </c>
      <c r="E53" s="36">
        <f t="shared" ref="E53:V53" si="29">E54+E72+E74+E76+E78+E80+E82+E84+E86+E94</f>
        <v>4551523.22</v>
      </c>
      <c r="F53" s="36">
        <f t="shared" si="29"/>
        <v>4404329.8599999994</v>
      </c>
      <c r="G53" s="36">
        <f t="shared" si="29"/>
        <v>3501552.5</v>
      </c>
      <c r="H53" s="36">
        <f t="shared" si="29"/>
        <v>3174967.92</v>
      </c>
      <c r="I53" s="36">
        <f t="shared" si="29"/>
        <v>6770384.3899999997</v>
      </c>
      <c r="J53" s="36">
        <f t="shared" si="29"/>
        <v>5017660.6100000003</v>
      </c>
      <c r="K53" s="36">
        <f t="shared" si="29"/>
        <v>5720642.46</v>
      </c>
      <c r="L53" s="36">
        <f t="shared" si="29"/>
        <v>2788999.69</v>
      </c>
      <c r="M53" s="36">
        <f t="shared" si="29"/>
        <v>3417480.01</v>
      </c>
      <c r="N53" s="36">
        <f t="shared" si="29"/>
        <v>2676331.84</v>
      </c>
      <c r="O53" s="36">
        <f t="shared" si="29"/>
        <v>3517651.4000000004</v>
      </c>
      <c r="P53" s="36">
        <f t="shared" si="29"/>
        <v>2664317.7999999998</v>
      </c>
      <c r="Q53" s="36">
        <f t="shared" si="29"/>
        <v>2275660</v>
      </c>
      <c r="R53" s="36">
        <f t="shared" si="29"/>
        <v>1218173.99</v>
      </c>
      <c r="S53" s="36">
        <f t="shared" si="29"/>
        <v>2277756.15</v>
      </c>
      <c r="T53" s="36">
        <f t="shared" si="29"/>
        <v>1122568</v>
      </c>
      <c r="U53" s="36">
        <f t="shared" si="29"/>
        <v>2153890.5699999998</v>
      </c>
      <c r="V53" s="36">
        <f t="shared" si="29"/>
        <v>465931.43</v>
      </c>
      <c r="W53" s="36">
        <f t="shared" si="1"/>
        <v>57719821.839999996</v>
      </c>
      <c r="X53" s="37"/>
    </row>
    <row r="54" spans="1:24">
      <c r="A54" s="33">
        <v>52</v>
      </c>
      <c r="B54" s="34" t="s">
        <v>111</v>
      </c>
      <c r="C54" s="34"/>
      <c r="D54" s="35" t="s">
        <v>112</v>
      </c>
      <c r="E54" s="36">
        <f t="shared" ref="E54:V54" si="30">SUM(E55:E71)</f>
        <v>3064490</v>
      </c>
      <c r="F54" s="36">
        <f t="shared" si="30"/>
        <v>3057030</v>
      </c>
      <c r="G54" s="36">
        <f t="shared" si="30"/>
        <v>2639650</v>
      </c>
      <c r="H54" s="36">
        <f t="shared" si="30"/>
        <v>1980060</v>
      </c>
      <c r="I54" s="36">
        <f t="shared" si="30"/>
        <v>4951260</v>
      </c>
      <c r="J54" s="36">
        <f t="shared" si="30"/>
        <v>3497720</v>
      </c>
      <c r="K54" s="36">
        <f t="shared" si="30"/>
        <v>4459180</v>
      </c>
      <c r="L54" s="36">
        <f t="shared" si="30"/>
        <v>2041920</v>
      </c>
      <c r="M54" s="36">
        <f t="shared" si="30"/>
        <v>2676550</v>
      </c>
      <c r="N54" s="36">
        <f t="shared" si="30"/>
        <v>1896180</v>
      </c>
      <c r="O54" s="36">
        <f t="shared" si="30"/>
        <v>2634260</v>
      </c>
      <c r="P54" s="36">
        <f t="shared" si="30"/>
        <v>1982080</v>
      </c>
      <c r="Q54" s="36">
        <f t="shared" si="30"/>
        <v>1733460</v>
      </c>
      <c r="R54" s="36">
        <f t="shared" si="30"/>
        <v>898140</v>
      </c>
      <c r="S54" s="36">
        <f t="shared" si="30"/>
        <v>1721820</v>
      </c>
      <c r="T54" s="36">
        <f t="shared" si="30"/>
        <v>858000</v>
      </c>
      <c r="U54" s="36">
        <f t="shared" si="30"/>
        <v>1739280</v>
      </c>
      <c r="V54" s="36">
        <f t="shared" si="30"/>
        <v>192000</v>
      </c>
      <c r="W54" s="36">
        <f t="shared" si="1"/>
        <v>42023080</v>
      </c>
      <c r="X54" s="37"/>
    </row>
    <row r="55" spans="1:24">
      <c r="A55" s="33">
        <v>53</v>
      </c>
      <c r="B55" s="34" t="s">
        <v>113</v>
      </c>
      <c r="C55" s="34" t="s">
        <v>30</v>
      </c>
      <c r="D55" s="46"/>
      <c r="E55" s="28">
        <f>647662-1470+73.5</f>
        <v>646265.5</v>
      </c>
      <c r="F55" s="28">
        <v>800000</v>
      </c>
      <c r="G55" s="28">
        <v>1637667.5</v>
      </c>
      <c r="H55" s="28">
        <v>350000</v>
      </c>
      <c r="I55" s="28">
        <v>1000000</v>
      </c>
      <c r="J55" s="28">
        <v>700000</v>
      </c>
      <c r="K55" s="28">
        <f>1984433.5+778140-38907+71110-3555.5</f>
        <v>2791221</v>
      </c>
      <c r="L55" s="28">
        <f>15589.5+220391.58</f>
        <v>235981.08</v>
      </c>
      <c r="M55" s="28">
        <v>700000</v>
      </c>
      <c r="N55" s="28">
        <v>462676</v>
      </c>
      <c r="O55" s="28">
        <v>538547</v>
      </c>
      <c r="P55" s="28">
        <f>720483+100000+5820-291</f>
        <v>826012</v>
      </c>
      <c r="Q55" s="28">
        <v>280000</v>
      </c>
      <c r="R55" s="28">
        <v>149000</v>
      </c>
      <c r="S55" s="28">
        <v>602100</v>
      </c>
      <c r="T55" s="28">
        <f>327722</f>
        <v>327722</v>
      </c>
      <c r="U55" s="28">
        <v>652080</v>
      </c>
      <c r="V55" s="28">
        <v>66400</v>
      </c>
      <c r="W55" s="36">
        <f t="shared" si="1"/>
        <v>12765672.08</v>
      </c>
      <c r="X55" s="37"/>
    </row>
    <row r="56" spans="1:24">
      <c r="A56" s="33">
        <v>54</v>
      </c>
      <c r="B56" s="34" t="s">
        <v>114</v>
      </c>
      <c r="C56" s="34" t="s">
        <v>30</v>
      </c>
      <c r="D56" s="46"/>
      <c r="E56" s="28">
        <v>400000</v>
      </c>
      <c r="F56" s="28">
        <v>180000</v>
      </c>
      <c r="G56" s="28">
        <v>15000</v>
      </c>
      <c r="H56" s="28">
        <v>100000</v>
      </c>
      <c r="I56" s="28">
        <v>2000</v>
      </c>
      <c r="J56" s="28">
        <v>150000</v>
      </c>
      <c r="K56" s="28">
        <v>100000</v>
      </c>
      <c r="L56" s="28">
        <v>14000</v>
      </c>
      <c r="M56" s="28">
        <v>200000</v>
      </c>
      <c r="N56" s="28"/>
      <c r="O56" s="28">
        <v>20000</v>
      </c>
      <c r="P56" s="28"/>
      <c r="Q56" s="28">
        <v>20000</v>
      </c>
      <c r="R56" s="28">
        <v>1000</v>
      </c>
      <c r="S56" s="28"/>
      <c r="T56" s="28">
        <v>10000</v>
      </c>
      <c r="U56" s="28">
        <v>30015.75</v>
      </c>
      <c r="V56" s="28"/>
      <c r="W56" s="36">
        <f t="shared" si="1"/>
        <v>1242015.75</v>
      </c>
      <c r="X56" s="37"/>
    </row>
    <row r="57" spans="1:24">
      <c r="A57" s="33">
        <v>55</v>
      </c>
      <c r="B57" s="34" t="s">
        <v>115</v>
      </c>
      <c r="C57" s="34" t="s">
        <v>30</v>
      </c>
      <c r="D57" s="46"/>
      <c r="E57" s="28">
        <v>15000</v>
      </c>
      <c r="F57" s="28">
        <v>20000</v>
      </c>
      <c r="G57" s="28">
        <v>26000</v>
      </c>
      <c r="H57" s="28">
        <v>12000</v>
      </c>
      <c r="I57" s="28">
        <v>3000</v>
      </c>
      <c r="J57" s="28">
        <v>20000</v>
      </c>
      <c r="K57" s="28">
        <v>90000</v>
      </c>
      <c r="L57" s="28">
        <v>13000</v>
      </c>
      <c r="M57" s="28">
        <v>30000</v>
      </c>
      <c r="N57" s="28">
        <v>16000</v>
      </c>
      <c r="O57" s="28">
        <v>30000</v>
      </c>
      <c r="P57" s="28">
        <v>18600</v>
      </c>
      <c r="Q57" s="28">
        <v>30000</v>
      </c>
      <c r="R57" s="28">
        <v>12000</v>
      </c>
      <c r="S57" s="28">
        <v>13000</v>
      </c>
      <c r="T57" s="28">
        <v>10000</v>
      </c>
      <c r="U57" s="28"/>
      <c r="V57" s="28"/>
      <c r="W57" s="36">
        <f t="shared" si="1"/>
        <v>358600</v>
      </c>
      <c r="X57" s="37"/>
    </row>
    <row r="58" spans="1:24">
      <c r="A58" s="33">
        <v>56</v>
      </c>
      <c r="B58" s="34" t="s">
        <v>116</v>
      </c>
      <c r="C58" s="34" t="s">
        <v>30</v>
      </c>
      <c r="D58" s="46"/>
      <c r="E58" s="28">
        <v>100000</v>
      </c>
      <c r="F58" s="28">
        <v>100000</v>
      </c>
      <c r="G58" s="28">
        <v>80000</v>
      </c>
      <c r="H58" s="28">
        <v>50000</v>
      </c>
      <c r="I58" s="28">
        <v>60000</v>
      </c>
      <c r="J58" s="28">
        <v>60000</v>
      </c>
      <c r="K58" s="28">
        <v>100000</v>
      </c>
      <c r="L58" s="28">
        <v>36000</v>
      </c>
      <c r="M58" s="28">
        <v>24000</v>
      </c>
      <c r="N58" s="28">
        <v>25000</v>
      </c>
      <c r="O58" s="28">
        <v>60000</v>
      </c>
      <c r="P58" s="28">
        <v>38888</v>
      </c>
      <c r="Q58" s="28">
        <v>25000</v>
      </c>
      <c r="R58" s="28">
        <v>20000</v>
      </c>
      <c r="S58" s="28">
        <v>20000</v>
      </c>
      <c r="T58" s="28">
        <v>20000</v>
      </c>
      <c r="U58" s="28">
        <v>13115.6</v>
      </c>
      <c r="V58" s="28">
        <v>11000</v>
      </c>
      <c r="W58" s="36">
        <f t="shared" si="1"/>
        <v>843003.6</v>
      </c>
      <c r="X58" s="37"/>
    </row>
    <row r="59" spans="1:24">
      <c r="A59" s="33">
        <v>57</v>
      </c>
      <c r="B59" s="34" t="s">
        <v>117</v>
      </c>
      <c r="C59" s="34" t="s">
        <v>30</v>
      </c>
      <c r="D59" s="46"/>
      <c r="E59" s="28">
        <v>200000</v>
      </c>
      <c r="F59" s="28">
        <v>220000</v>
      </c>
      <c r="G59" s="28">
        <v>210000</v>
      </c>
      <c r="H59" s="28">
        <v>400000</v>
      </c>
      <c r="I59" s="28">
        <v>160000</v>
      </c>
      <c r="J59" s="28">
        <v>200000</v>
      </c>
      <c r="K59" s="28">
        <v>200000</v>
      </c>
      <c r="L59" s="28">
        <v>120000</v>
      </c>
      <c r="M59" s="28">
        <v>200000</v>
      </c>
      <c r="N59" s="28">
        <v>200000</v>
      </c>
      <c r="O59" s="28">
        <v>330000</v>
      </c>
      <c r="P59" s="28">
        <v>131609</v>
      </c>
      <c r="Q59" s="28">
        <v>100000</v>
      </c>
      <c r="R59" s="28">
        <v>120000</v>
      </c>
      <c r="S59" s="28">
        <v>140000</v>
      </c>
      <c r="T59" s="28">
        <v>50000</v>
      </c>
      <c r="U59" s="28">
        <v>72200.759999999995</v>
      </c>
      <c r="V59" s="28">
        <v>30000</v>
      </c>
      <c r="W59" s="36">
        <f t="shared" si="1"/>
        <v>3083809.76</v>
      </c>
      <c r="X59" s="37"/>
    </row>
    <row r="60" spans="1:24">
      <c r="A60" s="33">
        <v>58</v>
      </c>
      <c r="B60" s="34" t="s">
        <v>118</v>
      </c>
      <c r="C60" s="34" t="s">
        <v>30</v>
      </c>
      <c r="D60" s="46"/>
      <c r="E60" s="28">
        <v>15000</v>
      </c>
      <c r="F60" s="28">
        <v>8000</v>
      </c>
      <c r="G60" s="28">
        <v>6000</v>
      </c>
      <c r="H60" s="28">
        <v>20000</v>
      </c>
      <c r="I60" s="28">
        <v>13000</v>
      </c>
      <c r="J60" s="28">
        <v>4000</v>
      </c>
      <c r="K60" s="28">
        <v>10000</v>
      </c>
      <c r="L60" s="28">
        <v>42000</v>
      </c>
      <c r="M60" s="28">
        <v>3000</v>
      </c>
      <c r="N60" s="28">
        <v>20000</v>
      </c>
      <c r="O60" s="28">
        <v>6000</v>
      </c>
      <c r="P60" s="28">
        <v>3397</v>
      </c>
      <c r="Q60" s="28">
        <v>30000</v>
      </c>
      <c r="R60" s="28">
        <v>6000</v>
      </c>
      <c r="S60" s="28">
        <v>4000</v>
      </c>
      <c r="T60" s="28">
        <v>10000</v>
      </c>
      <c r="U60" s="28">
        <v>10080</v>
      </c>
      <c r="V60" s="28">
        <v>20000</v>
      </c>
      <c r="W60" s="36">
        <f t="shared" si="1"/>
        <v>230477</v>
      </c>
      <c r="X60" s="37"/>
    </row>
    <row r="61" spans="1:24">
      <c r="A61" s="33">
        <v>59</v>
      </c>
      <c r="B61" s="34" t="s">
        <v>119</v>
      </c>
      <c r="C61" s="34" t="s">
        <v>30</v>
      </c>
      <c r="D61" s="46"/>
      <c r="E61" s="28">
        <v>5000</v>
      </c>
      <c r="F61" s="28">
        <v>40000</v>
      </c>
      <c r="G61" s="28">
        <v>1000</v>
      </c>
      <c r="H61" s="28">
        <v>5000</v>
      </c>
      <c r="I61" s="28">
        <v>4000</v>
      </c>
      <c r="J61" s="28">
        <v>5000</v>
      </c>
      <c r="K61" s="28">
        <v>10000</v>
      </c>
      <c r="L61" s="28">
        <v>50000</v>
      </c>
      <c r="M61" s="28">
        <v>15000</v>
      </c>
      <c r="N61" s="28">
        <v>2000</v>
      </c>
      <c r="O61" s="28">
        <v>12000</v>
      </c>
      <c r="P61" s="28">
        <v>5130</v>
      </c>
      <c r="Q61" s="28">
        <v>10000</v>
      </c>
      <c r="R61" s="28"/>
      <c r="S61" s="28">
        <v>3500</v>
      </c>
      <c r="T61" s="28">
        <v>10000</v>
      </c>
      <c r="U61" s="28">
        <v>5000</v>
      </c>
      <c r="V61" s="28"/>
      <c r="W61" s="36">
        <f t="shared" si="1"/>
        <v>182630</v>
      </c>
      <c r="X61" s="37"/>
    </row>
    <row r="62" spans="1:24">
      <c r="A62" s="33">
        <v>60</v>
      </c>
      <c r="B62" s="34" t="s">
        <v>120</v>
      </c>
      <c r="C62" s="34" t="s">
        <v>30</v>
      </c>
      <c r="D62" s="46"/>
      <c r="E62" s="28">
        <v>300000</v>
      </c>
      <c r="F62" s="28">
        <v>200000</v>
      </c>
      <c r="G62" s="28">
        <v>50000</v>
      </c>
      <c r="H62" s="28">
        <v>250000</v>
      </c>
      <c r="I62" s="28">
        <f>998422+512993-19495</f>
        <v>1491920</v>
      </c>
      <c r="J62" s="28">
        <v>400000</v>
      </c>
      <c r="K62" s="28">
        <v>50000</v>
      </c>
      <c r="L62" s="28">
        <v>580000</v>
      </c>
      <c r="M62" s="28">
        <v>200000</v>
      </c>
      <c r="N62" s="28">
        <v>300000</v>
      </c>
      <c r="O62" s="28">
        <v>418000</v>
      </c>
      <c r="P62" s="28">
        <v>160000</v>
      </c>
      <c r="Q62" s="28">
        <v>400000</v>
      </c>
      <c r="R62" s="28">
        <v>180000</v>
      </c>
      <c r="S62" s="28">
        <v>308442</v>
      </c>
      <c r="T62" s="28">
        <v>50000</v>
      </c>
      <c r="U62" s="28">
        <v>87116</v>
      </c>
      <c r="V62" s="28">
        <v>40000</v>
      </c>
      <c r="W62" s="36">
        <f t="shared" si="1"/>
        <v>5465478</v>
      </c>
      <c r="X62" s="37"/>
    </row>
    <row r="63" spans="1:24">
      <c r="A63" s="33">
        <v>61</v>
      </c>
      <c r="B63" s="34" t="s">
        <v>121</v>
      </c>
      <c r="C63" s="34" t="s">
        <v>30</v>
      </c>
      <c r="D63" s="46"/>
      <c r="E63" s="28"/>
      <c r="F63" s="28"/>
      <c r="G63" s="28"/>
      <c r="H63" s="28"/>
      <c r="I63" s="28"/>
      <c r="J63" s="28"/>
      <c r="K63" s="28">
        <v>5000</v>
      </c>
      <c r="L63" s="28"/>
      <c r="M63" s="28"/>
      <c r="N63" s="28"/>
      <c r="O63" s="28"/>
      <c r="P63" s="28"/>
      <c r="Q63" s="28"/>
      <c r="R63" s="28"/>
      <c r="S63" s="28"/>
      <c r="T63" s="28">
        <v>1000</v>
      </c>
      <c r="U63" s="28"/>
      <c r="V63" s="28"/>
      <c r="W63" s="36">
        <f t="shared" si="1"/>
        <v>6000</v>
      </c>
      <c r="X63" s="37"/>
    </row>
    <row r="64" spans="1:24">
      <c r="A64" s="33">
        <v>62</v>
      </c>
      <c r="B64" s="34" t="s">
        <v>207</v>
      </c>
      <c r="C64" s="34" t="s">
        <v>208</v>
      </c>
      <c r="D64" s="46" t="s">
        <v>211</v>
      </c>
      <c r="E64" s="28">
        <v>153224.5</v>
      </c>
      <c r="F64" s="28">
        <v>152851.5</v>
      </c>
      <c r="G64" s="28">
        <v>131982.5</v>
      </c>
      <c r="H64" s="28">
        <v>82755.5</v>
      </c>
      <c r="I64" s="28">
        <v>227340</v>
      </c>
      <c r="J64" s="28">
        <v>174886</v>
      </c>
      <c r="K64" s="28">
        <v>222959</v>
      </c>
      <c r="L64" s="28">
        <v>102096</v>
      </c>
      <c r="M64" s="28">
        <v>133827.5</v>
      </c>
      <c r="N64" s="28">
        <v>94809</v>
      </c>
      <c r="O64" s="28">
        <v>131713</v>
      </c>
      <c r="P64" s="28">
        <v>96530</v>
      </c>
      <c r="Q64" s="28">
        <v>71801</v>
      </c>
      <c r="R64" s="28">
        <v>44907</v>
      </c>
      <c r="S64" s="28">
        <v>58778</v>
      </c>
      <c r="T64" s="28">
        <v>35178</v>
      </c>
      <c r="U64" s="28">
        <v>45494</v>
      </c>
      <c r="V64" s="28">
        <v>9600</v>
      </c>
      <c r="W64" s="36">
        <f t="shared" si="1"/>
        <v>1970732.5</v>
      </c>
      <c r="X64" s="37"/>
    </row>
    <row r="65" spans="1:24">
      <c r="A65" s="33">
        <v>63</v>
      </c>
      <c r="B65" s="34" t="s">
        <v>122</v>
      </c>
      <c r="C65" s="34" t="s">
        <v>30</v>
      </c>
      <c r="D65" s="46"/>
      <c r="E65" s="28"/>
      <c r="F65" s="28"/>
      <c r="G65" s="28"/>
      <c r="H65" s="28">
        <v>5000</v>
      </c>
      <c r="I65" s="28"/>
      <c r="J65" s="28"/>
      <c r="K65" s="28">
        <v>20000</v>
      </c>
      <c r="L65" s="28">
        <v>5000</v>
      </c>
      <c r="M65" s="28"/>
      <c r="N65" s="28">
        <v>12000</v>
      </c>
      <c r="O65" s="28">
        <v>12000</v>
      </c>
      <c r="P65" s="28">
        <v>20000</v>
      </c>
      <c r="Q65" s="28">
        <v>10000</v>
      </c>
      <c r="R65" s="28"/>
      <c r="S65" s="28"/>
      <c r="T65" s="28"/>
      <c r="U65" s="28">
        <v>10000</v>
      </c>
      <c r="V65" s="28"/>
      <c r="W65" s="36">
        <f t="shared" si="1"/>
        <v>94000</v>
      </c>
      <c r="X65" s="37"/>
    </row>
    <row r="66" spans="1:24">
      <c r="A66" s="33">
        <v>64</v>
      </c>
      <c r="B66" s="34" t="s">
        <v>123</v>
      </c>
      <c r="C66" s="34" t="s">
        <v>30</v>
      </c>
      <c r="D66" s="46"/>
      <c r="E66" s="28"/>
      <c r="F66" s="28">
        <v>150000</v>
      </c>
      <c r="G66" s="28">
        <v>150000</v>
      </c>
      <c r="H66" s="28">
        <v>150000</v>
      </c>
      <c r="I66" s="28">
        <v>100000</v>
      </c>
      <c r="J66" s="28">
        <v>350000</v>
      </c>
      <c r="K66" s="28">
        <v>20000</v>
      </c>
      <c r="L66" s="28">
        <v>300000</v>
      </c>
      <c r="M66" s="28">
        <v>50000</v>
      </c>
      <c r="N66" s="28">
        <v>263695</v>
      </c>
      <c r="O66" s="28">
        <v>296000</v>
      </c>
      <c r="P66" s="28">
        <v>200000</v>
      </c>
      <c r="Q66" s="28">
        <v>50000</v>
      </c>
      <c r="R66" s="28">
        <v>32000</v>
      </c>
      <c r="S66" s="28"/>
      <c r="T66" s="28">
        <v>220000</v>
      </c>
      <c r="U66" s="28">
        <v>354177.89</v>
      </c>
      <c r="V66" s="28"/>
      <c r="W66" s="36">
        <f t="shared" si="1"/>
        <v>2685872.89</v>
      </c>
      <c r="X66" s="37"/>
    </row>
    <row r="67" spans="1:24">
      <c r="A67" s="33">
        <v>65</v>
      </c>
      <c r="B67" s="34" t="s">
        <v>124</v>
      </c>
      <c r="C67" s="34" t="s">
        <v>30</v>
      </c>
      <c r="D67" s="46"/>
      <c r="E67" s="28">
        <v>50000</v>
      </c>
      <c r="F67" s="28">
        <v>20000</v>
      </c>
      <c r="G67" s="28">
        <v>2000</v>
      </c>
      <c r="H67" s="28">
        <v>100000</v>
      </c>
      <c r="I67" s="28">
        <v>30000</v>
      </c>
      <c r="J67" s="28">
        <v>60000</v>
      </c>
      <c r="K67" s="28">
        <v>150000</v>
      </c>
      <c r="L67" s="28">
        <v>80000</v>
      </c>
      <c r="M67" s="28">
        <v>200000</v>
      </c>
      <c r="N67" s="28"/>
      <c r="O67" s="28">
        <v>30000</v>
      </c>
      <c r="P67" s="28">
        <v>2780</v>
      </c>
      <c r="Q67" s="28">
        <v>20000</v>
      </c>
      <c r="R67" s="28">
        <v>1000</v>
      </c>
      <c r="S67" s="28">
        <v>1000</v>
      </c>
      <c r="T67" s="28">
        <v>20000</v>
      </c>
      <c r="U67" s="28">
        <v>10000</v>
      </c>
      <c r="V67" s="28"/>
      <c r="W67" s="36">
        <f t="shared" ref="W67:W110" si="31">SUM(E67:V67)</f>
        <v>776780</v>
      </c>
      <c r="X67" s="37"/>
    </row>
    <row r="68" spans="1:24">
      <c r="A68" s="33">
        <v>66</v>
      </c>
      <c r="B68" s="34" t="s">
        <v>125</v>
      </c>
      <c r="C68" s="34" t="s">
        <v>30</v>
      </c>
      <c r="D68" s="46"/>
      <c r="E68" s="28"/>
      <c r="F68" s="28">
        <v>150000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v>10000</v>
      </c>
      <c r="R68" s="28"/>
      <c r="S68" s="28">
        <v>1000</v>
      </c>
      <c r="T68" s="28"/>
      <c r="U68" s="28"/>
      <c r="V68" s="28"/>
      <c r="W68" s="36">
        <f t="shared" si="31"/>
        <v>161000</v>
      </c>
      <c r="X68" s="37"/>
    </row>
    <row r="69" spans="1:24">
      <c r="A69" s="33">
        <v>67</v>
      </c>
      <c r="B69" s="34" t="s">
        <v>126</v>
      </c>
      <c r="C69" s="34" t="s">
        <v>30</v>
      </c>
      <c r="D69" s="46"/>
      <c r="E69" s="28">
        <v>750000</v>
      </c>
      <c r="F69" s="28">
        <v>856178.5</v>
      </c>
      <c r="G69" s="28">
        <v>250000</v>
      </c>
      <c r="H69" s="28">
        <v>155304.5</v>
      </c>
      <c r="I69" s="28">
        <v>500000</v>
      </c>
      <c r="J69" s="28">
        <v>773834</v>
      </c>
      <c r="K69" s="28">
        <v>650000</v>
      </c>
      <c r="L69" s="28">
        <v>293842.92</v>
      </c>
      <c r="M69" s="28">
        <v>810722.5</v>
      </c>
      <c r="N69" s="28">
        <v>200000</v>
      </c>
      <c r="O69" s="28">
        <v>500000</v>
      </c>
      <c r="P69" s="28">
        <v>250000</v>
      </c>
      <c r="Q69" s="28">
        <f>260072+16587</f>
        <v>276659</v>
      </c>
      <c r="R69" s="28">
        <f>227424+62400+2409</f>
        <v>292233</v>
      </c>
      <c r="S69" s="28">
        <v>250000</v>
      </c>
      <c r="T69" s="28"/>
      <c r="U69" s="28">
        <v>200000</v>
      </c>
      <c r="V69" s="28">
        <v>15000</v>
      </c>
      <c r="W69" s="36">
        <f t="shared" si="31"/>
        <v>7023774.4199999999</v>
      </c>
      <c r="X69" s="37"/>
    </row>
    <row r="70" spans="1:24" ht="13.5">
      <c r="A70" s="33">
        <v>68</v>
      </c>
      <c r="B70" s="34" t="s">
        <v>127</v>
      </c>
      <c r="C70" s="34" t="s">
        <v>30</v>
      </c>
      <c r="D70" s="46"/>
      <c r="E70" s="28">
        <v>250000</v>
      </c>
      <c r="F70" s="28">
        <v>150000</v>
      </c>
      <c r="G70" s="28">
        <v>50000</v>
      </c>
      <c r="H70" s="28">
        <v>150000</v>
      </c>
      <c r="I70" s="28">
        <v>1000000</v>
      </c>
      <c r="J70" s="28">
        <v>350000</v>
      </c>
      <c r="K70" s="28">
        <v>20000</v>
      </c>
      <c r="L70" s="28">
        <v>120000</v>
      </c>
      <c r="M70" s="28">
        <v>60000</v>
      </c>
      <c r="N70" s="28">
        <v>200000</v>
      </c>
      <c r="O70" s="28">
        <v>200000</v>
      </c>
      <c r="P70" s="47">
        <f>136560+33864</f>
        <v>170424</v>
      </c>
      <c r="Q70" s="28">
        <v>150000</v>
      </c>
      <c r="R70" s="28">
        <v>25000</v>
      </c>
      <c r="S70" s="28">
        <v>200000</v>
      </c>
      <c r="T70" s="28">
        <v>84100</v>
      </c>
      <c r="U70" s="28">
        <v>150000</v>
      </c>
      <c r="V70" s="28"/>
      <c r="W70" s="36">
        <f t="shared" si="31"/>
        <v>3329524</v>
      </c>
      <c r="X70" s="37"/>
    </row>
    <row r="71" spans="1:24" ht="13.5">
      <c r="A71" s="33">
        <v>69</v>
      </c>
      <c r="B71" s="34" t="s">
        <v>128</v>
      </c>
      <c r="C71" s="34" t="s">
        <v>30</v>
      </c>
      <c r="D71" s="46"/>
      <c r="E71" s="28">
        <v>180000</v>
      </c>
      <c r="F71" s="28">
        <v>10000</v>
      </c>
      <c r="G71" s="28">
        <v>30000</v>
      </c>
      <c r="H71" s="28">
        <v>150000</v>
      </c>
      <c r="I71" s="28">
        <v>360000</v>
      </c>
      <c r="J71" s="28">
        <v>250000</v>
      </c>
      <c r="K71" s="28">
        <v>20000</v>
      </c>
      <c r="L71" s="28">
        <v>50000</v>
      </c>
      <c r="M71" s="28">
        <v>50000</v>
      </c>
      <c r="N71" s="28">
        <v>100000</v>
      </c>
      <c r="O71" s="28">
        <v>50000</v>
      </c>
      <c r="P71" s="47">
        <v>58710</v>
      </c>
      <c r="Q71" s="28">
        <v>250000</v>
      </c>
      <c r="R71" s="28">
        <v>15000</v>
      </c>
      <c r="S71" s="28">
        <v>120000</v>
      </c>
      <c r="T71" s="28">
        <v>10000</v>
      </c>
      <c r="U71" s="28">
        <v>100000</v>
      </c>
      <c r="V71" s="28"/>
      <c r="W71" s="36">
        <f t="shared" si="31"/>
        <v>1803710</v>
      </c>
      <c r="X71" s="37"/>
    </row>
    <row r="72" spans="1:24">
      <c r="A72" s="33">
        <v>70</v>
      </c>
      <c r="B72" s="34" t="s">
        <v>129</v>
      </c>
      <c r="C72" s="34"/>
      <c r="D72" s="35"/>
      <c r="E72" s="36">
        <f t="shared" ref="E72:V72" si="32">E73</f>
        <v>34800</v>
      </c>
      <c r="F72" s="36">
        <f t="shared" si="32"/>
        <v>33600</v>
      </c>
      <c r="G72" s="28">
        <f t="shared" si="32"/>
        <v>24800</v>
      </c>
      <c r="H72" s="36">
        <f t="shared" si="32"/>
        <v>16400</v>
      </c>
      <c r="I72" s="36">
        <f t="shared" si="32"/>
        <v>37600</v>
      </c>
      <c r="J72" s="36">
        <f t="shared" si="32"/>
        <v>31200</v>
      </c>
      <c r="K72" s="36">
        <f t="shared" si="32"/>
        <v>35600</v>
      </c>
      <c r="L72" s="36">
        <f t="shared" si="32"/>
        <v>17600</v>
      </c>
      <c r="M72" s="36">
        <f t="shared" si="32"/>
        <v>21200</v>
      </c>
      <c r="N72" s="36">
        <f t="shared" si="32"/>
        <v>22800</v>
      </c>
      <c r="O72" s="36">
        <f t="shared" si="32"/>
        <v>24000</v>
      </c>
      <c r="P72" s="36">
        <f t="shared" si="32"/>
        <v>21600</v>
      </c>
      <c r="Q72" s="36">
        <f t="shared" si="32"/>
        <v>12800</v>
      </c>
      <c r="R72" s="36">
        <f t="shared" si="32"/>
        <v>8800</v>
      </c>
      <c r="S72" s="36">
        <f t="shared" si="32"/>
        <v>15200</v>
      </c>
      <c r="T72" s="36">
        <f t="shared" si="32"/>
        <v>6000</v>
      </c>
      <c r="U72" s="36">
        <f t="shared" si="32"/>
        <v>7600</v>
      </c>
      <c r="V72" s="36">
        <f t="shared" si="32"/>
        <v>2400</v>
      </c>
      <c r="W72" s="36">
        <f t="shared" si="31"/>
        <v>374000</v>
      </c>
      <c r="X72" s="37"/>
    </row>
    <row r="73" spans="1:24" s="40" customFormat="1" ht="22.5">
      <c r="A73" s="33">
        <v>71</v>
      </c>
      <c r="B73" s="39" t="s">
        <v>130</v>
      </c>
      <c r="C73" s="39" t="s">
        <v>30</v>
      </c>
      <c r="D73" s="48" t="s">
        <v>131</v>
      </c>
      <c r="E73" s="36">
        <f t="shared" ref="E73:V73" si="33">E97*400</f>
        <v>34800</v>
      </c>
      <c r="F73" s="36">
        <f t="shared" si="33"/>
        <v>33600</v>
      </c>
      <c r="G73" s="28">
        <f t="shared" si="33"/>
        <v>24800</v>
      </c>
      <c r="H73" s="36">
        <f t="shared" si="33"/>
        <v>16400</v>
      </c>
      <c r="I73" s="36">
        <f t="shared" si="33"/>
        <v>37600</v>
      </c>
      <c r="J73" s="36">
        <f t="shared" si="33"/>
        <v>31200</v>
      </c>
      <c r="K73" s="36">
        <f t="shared" si="33"/>
        <v>35600</v>
      </c>
      <c r="L73" s="36">
        <f t="shared" si="33"/>
        <v>17600</v>
      </c>
      <c r="M73" s="36">
        <f t="shared" si="33"/>
        <v>21200</v>
      </c>
      <c r="N73" s="36">
        <f t="shared" si="33"/>
        <v>22800</v>
      </c>
      <c r="O73" s="36">
        <f t="shared" si="33"/>
        <v>24000</v>
      </c>
      <c r="P73" s="36">
        <f t="shared" si="33"/>
        <v>21600</v>
      </c>
      <c r="Q73" s="36">
        <f t="shared" si="33"/>
        <v>12800</v>
      </c>
      <c r="R73" s="36">
        <f t="shared" si="33"/>
        <v>8800</v>
      </c>
      <c r="S73" s="36">
        <f t="shared" si="33"/>
        <v>15200</v>
      </c>
      <c r="T73" s="36">
        <f t="shared" si="33"/>
        <v>6000</v>
      </c>
      <c r="U73" s="36">
        <f t="shared" si="33"/>
        <v>7600</v>
      </c>
      <c r="V73" s="36">
        <f t="shared" si="33"/>
        <v>2400</v>
      </c>
      <c r="W73" s="36">
        <f t="shared" si="31"/>
        <v>374000</v>
      </c>
      <c r="X73" s="37"/>
    </row>
    <row r="74" spans="1:24">
      <c r="A74" s="33">
        <v>72</v>
      </c>
      <c r="B74" s="34" t="s">
        <v>132</v>
      </c>
      <c r="C74" s="34"/>
      <c r="D74" s="35" t="s">
        <v>24</v>
      </c>
      <c r="E74" s="36">
        <f t="shared" ref="E74:V74" si="34">E75</f>
        <v>255945</v>
      </c>
      <c r="F74" s="36">
        <f t="shared" si="34"/>
        <v>178845</v>
      </c>
      <c r="G74" s="36">
        <f t="shared" si="34"/>
        <v>191830.5</v>
      </c>
      <c r="H74" s="36">
        <f t="shared" si="34"/>
        <v>715855.35000000009</v>
      </c>
      <c r="I74" s="36">
        <f t="shared" si="34"/>
        <v>353195.25</v>
      </c>
      <c r="J74" s="36">
        <f t="shared" si="34"/>
        <v>235806.9</v>
      </c>
      <c r="K74" s="36">
        <f t="shared" si="34"/>
        <v>328071.59999999998</v>
      </c>
      <c r="L74" s="36">
        <f t="shared" si="34"/>
        <v>249734.55000000002</v>
      </c>
      <c r="M74" s="36">
        <f t="shared" si="34"/>
        <v>178714.35</v>
      </c>
      <c r="N74" s="36">
        <f t="shared" si="34"/>
        <v>114821.55</v>
      </c>
      <c r="O74" s="36">
        <f t="shared" si="34"/>
        <v>181706.7</v>
      </c>
      <c r="P74" s="36">
        <f t="shared" si="34"/>
        <v>156571.79999999999</v>
      </c>
      <c r="Q74" s="36">
        <f t="shared" si="34"/>
        <v>202800</v>
      </c>
      <c r="R74" s="36">
        <f t="shared" si="34"/>
        <v>86216.85</v>
      </c>
      <c r="S74" s="36">
        <f t="shared" si="34"/>
        <v>169290</v>
      </c>
      <c r="T74" s="36">
        <f t="shared" si="34"/>
        <v>91200</v>
      </c>
      <c r="U74" s="36">
        <f t="shared" si="34"/>
        <v>179094</v>
      </c>
      <c r="V74" s="36">
        <f t="shared" si="34"/>
        <v>84720</v>
      </c>
      <c r="W74" s="36">
        <f t="shared" si="31"/>
        <v>3954419.4</v>
      </c>
      <c r="X74" s="37"/>
    </row>
    <row r="75" spans="1:24" s="40" customFormat="1">
      <c r="A75" s="33">
        <v>73</v>
      </c>
      <c r="B75" s="39" t="s">
        <v>133</v>
      </c>
      <c r="C75" s="39" t="s">
        <v>30</v>
      </c>
      <c r="D75" s="48" t="s">
        <v>134</v>
      </c>
      <c r="E75" s="36">
        <f t="shared" ref="E75:V75" si="35">E109*15</f>
        <v>255945</v>
      </c>
      <c r="F75" s="36">
        <f t="shared" si="35"/>
        <v>178845</v>
      </c>
      <c r="G75" s="36">
        <f t="shared" si="35"/>
        <v>191830.5</v>
      </c>
      <c r="H75" s="36">
        <f t="shared" si="35"/>
        <v>715855.35000000009</v>
      </c>
      <c r="I75" s="36">
        <f t="shared" si="35"/>
        <v>353195.25</v>
      </c>
      <c r="J75" s="36">
        <f t="shared" si="35"/>
        <v>235806.9</v>
      </c>
      <c r="K75" s="36">
        <f t="shared" si="35"/>
        <v>328071.59999999998</v>
      </c>
      <c r="L75" s="36">
        <f t="shared" si="35"/>
        <v>249734.55000000002</v>
      </c>
      <c r="M75" s="36">
        <f t="shared" si="35"/>
        <v>178714.35</v>
      </c>
      <c r="N75" s="36">
        <f t="shared" si="35"/>
        <v>114821.55</v>
      </c>
      <c r="O75" s="36">
        <f t="shared" si="35"/>
        <v>181706.7</v>
      </c>
      <c r="P75" s="36">
        <f t="shared" si="35"/>
        <v>156571.79999999999</v>
      </c>
      <c r="Q75" s="36">
        <f t="shared" si="35"/>
        <v>202800</v>
      </c>
      <c r="R75" s="36">
        <f t="shared" si="35"/>
        <v>86216.85</v>
      </c>
      <c r="S75" s="36">
        <f t="shared" si="35"/>
        <v>169290</v>
      </c>
      <c r="T75" s="36">
        <f t="shared" si="35"/>
        <v>91200</v>
      </c>
      <c r="U75" s="36">
        <f t="shared" si="35"/>
        <v>179094</v>
      </c>
      <c r="V75" s="36">
        <f t="shared" si="35"/>
        <v>84720</v>
      </c>
      <c r="W75" s="36">
        <f t="shared" si="31"/>
        <v>3954419.4</v>
      </c>
      <c r="X75" s="37"/>
    </row>
    <row r="76" spans="1:24">
      <c r="A76" s="33">
        <v>74</v>
      </c>
      <c r="B76" s="34" t="s">
        <v>135</v>
      </c>
      <c r="C76" s="34"/>
      <c r="D76" s="35" t="s">
        <v>24</v>
      </c>
      <c r="E76" s="36">
        <f t="shared" ref="E76:V76" si="36">E77</f>
        <v>126632</v>
      </c>
      <c r="F76" s="36">
        <f t="shared" si="36"/>
        <v>82880</v>
      </c>
      <c r="G76" s="36">
        <f t="shared" si="36"/>
        <v>81432</v>
      </c>
      <c r="H76" s="36">
        <f t="shared" si="36"/>
        <v>130104</v>
      </c>
      <c r="I76" s="36">
        <f t="shared" si="36"/>
        <v>157696</v>
      </c>
      <c r="J76" s="36">
        <f t="shared" si="36"/>
        <v>89280</v>
      </c>
      <c r="K76" s="36">
        <f t="shared" si="36"/>
        <v>125600</v>
      </c>
      <c r="L76" s="36">
        <f t="shared" si="36"/>
        <v>89000</v>
      </c>
      <c r="M76" s="36">
        <f t="shared" si="36"/>
        <v>67576.800000000003</v>
      </c>
      <c r="N76" s="36">
        <f t="shared" si="36"/>
        <v>41072</v>
      </c>
      <c r="O76" s="36">
        <f t="shared" si="36"/>
        <v>34640</v>
      </c>
      <c r="P76" s="36">
        <f t="shared" si="36"/>
        <v>34128</v>
      </c>
      <c r="Q76" s="36">
        <f t="shared" si="36"/>
        <v>40360</v>
      </c>
      <c r="R76" s="36">
        <f t="shared" si="36"/>
        <v>20152</v>
      </c>
      <c r="S76" s="36">
        <f t="shared" si="36"/>
        <v>37018.720000000001</v>
      </c>
      <c r="T76" s="36">
        <f t="shared" si="36"/>
        <v>20000</v>
      </c>
      <c r="U76" s="36">
        <f t="shared" si="36"/>
        <v>39992</v>
      </c>
      <c r="V76" s="36">
        <f t="shared" si="36"/>
        <v>18560</v>
      </c>
      <c r="W76" s="36">
        <f t="shared" si="31"/>
        <v>1236123.52</v>
      </c>
      <c r="X76" s="37"/>
    </row>
    <row r="77" spans="1:24" s="40" customFormat="1">
      <c r="A77" s="33">
        <v>75</v>
      </c>
      <c r="B77" s="39" t="s">
        <v>136</v>
      </c>
      <c r="C77" s="39" t="s">
        <v>30</v>
      </c>
      <c r="D77" s="48" t="s">
        <v>137</v>
      </c>
      <c r="E77" s="36">
        <f t="shared" ref="E77:V77" si="37">E110*8</f>
        <v>126632</v>
      </c>
      <c r="F77" s="36">
        <f t="shared" si="37"/>
        <v>82880</v>
      </c>
      <c r="G77" s="36">
        <f t="shared" si="37"/>
        <v>81432</v>
      </c>
      <c r="H77" s="36">
        <f t="shared" si="37"/>
        <v>130104</v>
      </c>
      <c r="I77" s="36">
        <f t="shared" si="37"/>
        <v>157696</v>
      </c>
      <c r="J77" s="36">
        <f t="shared" si="37"/>
        <v>89280</v>
      </c>
      <c r="K77" s="36">
        <f t="shared" si="37"/>
        <v>125600</v>
      </c>
      <c r="L77" s="36">
        <f t="shared" si="37"/>
        <v>89000</v>
      </c>
      <c r="M77" s="36">
        <f t="shared" si="37"/>
        <v>67576.800000000003</v>
      </c>
      <c r="N77" s="36">
        <f t="shared" si="37"/>
        <v>41072</v>
      </c>
      <c r="O77" s="36">
        <f t="shared" si="37"/>
        <v>34640</v>
      </c>
      <c r="P77" s="36">
        <f t="shared" si="37"/>
        <v>34128</v>
      </c>
      <c r="Q77" s="36">
        <f t="shared" si="37"/>
        <v>40360</v>
      </c>
      <c r="R77" s="36">
        <f t="shared" si="37"/>
        <v>20152</v>
      </c>
      <c r="S77" s="36">
        <f t="shared" si="37"/>
        <v>37018.720000000001</v>
      </c>
      <c r="T77" s="36">
        <f t="shared" si="37"/>
        <v>20000</v>
      </c>
      <c r="U77" s="36">
        <f t="shared" si="37"/>
        <v>39992</v>
      </c>
      <c r="V77" s="36">
        <f t="shared" si="37"/>
        <v>18560</v>
      </c>
      <c r="W77" s="36">
        <f t="shared" si="31"/>
        <v>1236123.52</v>
      </c>
      <c r="X77" s="37"/>
    </row>
    <row r="78" spans="1:24">
      <c r="A78" s="33">
        <v>76</v>
      </c>
      <c r="B78" s="34" t="s">
        <v>138</v>
      </c>
      <c r="C78" s="34"/>
      <c r="D78" s="35" t="s">
        <v>24</v>
      </c>
      <c r="E78" s="36">
        <f t="shared" ref="E78:V78" si="38">E79</f>
        <v>0</v>
      </c>
      <c r="F78" s="36">
        <f t="shared" si="38"/>
        <v>0</v>
      </c>
      <c r="G78" s="36">
        <f t="shared" si="38"/>
        <v>0</v>
      </c>
      <c r="H78" s="36">
        <f t="shared" si="38"/>
        <v>0</v>
      </c>
      <c r="I78" s="36">
        <f t="shared" si="38"/>
        <v>0</v>
      </c>
      <c r="J78" s="36">
        <f t="shared" si="38"/>
        <v>0</v>
      </c>
      <c r="K78" s="36">
        <f t="shared" si="38"/>
        <v>0</v>
      </c>
      <c r="L78" s="36">
        <f t="shared" si="38"/>
        <v>0</v>
      </c>
      <c r="M78" s="36">
        <f t="shared" si="38"/>
        <v>0</v>
      </c>
      <c r="N78" s="36">
        <f t="shared" si="38"/>
        <v>0</v>
      </c>
      <c r="O78" s="36">
        <f t="shared" si="38"/>
        <v>0</v>
      </c>
      <c r="P78" s="36">
        <f t="shared" si="38"/>
        <v>0</v>
      </c>
      <c r="Q78" s="36">
        <f t="shared" si="38"/>
        <v>0</v>
      </c>
      <c r="R78" s="36">
        <f t="shared" si="38"/>
        <v>0</v>
      </c>
      <c r="S78" s="36">
        <f t="shared" si="38"/>
        <v>0</v>
      </c>
      <c r="T78" s="36">
        <f t="shared" si="38"/>
        <v>0</v>
      </c>
      <c r="U78" s="36">
        <f t="shared" si="38"/>
        <v>0</v>
      </c>
      <c r="V78" s="36">
        <f t="shared" si="38"/>
        <v>0</v>
      </c>
      <c r="W78" s="36">
        <f t="shared" si="31"/>
        <v>0</v>
      </c>
      <c r="X78" s="37"/>
    </row>
    <row r="79" spans="1:24" s="40" customFormat="1">
      <c r="A79" s="33">
        <v>77</v>
      </c>
      <c r="B79" s="39" t="s">
        <v>139</v>
      </c>
      <c r="C79" s="39" t="s">
        <v>30</v>
      </c>
      <c r="D79" s="48" t="s">
        <v>106</v>
      </c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36">
        <f t="shared" si="31"/>
        <v>0</v>
      </c>
      <c r="X79" s="37"/>
    </row>
    <row r="80" spans="1:24">
      <c r="A80" s="33">
        <v>78</v>
      </c>
      <c r="B80" s="34" t="s">
        <v>140</v>
      </c>
      <c r="C80" s="34"/>
      <c r="D80" s="35" t="s">
        <v>24</v>
      </c>
      <c r="E80" s="36">
        <f t="shared" ref="E80:V80" si="39">E81</f>
        <v>375840</v>
      </c>
      <c r="F80" s="36">
        <f t="shared" si="39"/>
        <v>362880</v>
      </c>
      <c r="G80" s="36">
        <f t="shared" si="39"/>
        <v>267840</v>
      </c>
      <c r="H80" s="36">
        <f t="shared" si="39"/>
        <v>177120</v>
      </c>
      <c r="I80" s="36">
        <f t="shared" si="39"/>
        <v>406080</v>
      </c>
      <c r="J80" s="36">
        <f t="shared" si="39"/>
        <v>336960</v>
      </c>
      <c r="K80" s="36">
        <f t="shared" si="39"/>
        <v>384480</v>
      </c>
      <c r="L80" s="36">
        <f t="shared" si="39"/>
        <v>190080</v>
      </c>
      <c r="M80" s="36">
        <f t="shared" si="39"/>
        <v>228960</v>
      </c>
      <c r="N80" s="36">
        <f t="shared" si="39"/>
        <v>246240</v>
      </c>
      <c r="O80" s="36">
        <f t="shared" si="39"/>
        <v>259200</v>
      </c>
      <c r="P80" s="36">
        <f t="shared" si="39"/>
        <v>233280</v>
      </c>
      <c r="Q80" s="36">
        <f t="shared" si="39"/>
        <v>138240</v>
      </c>
      <c r="R80" s="36">
        <f t="shared" si="39"/>
        <v>95040</v>
      </c>
      <c r="S80" s="36">
        <f t="shared" si="39"/>
        <v>164160</v>
      </c>
      <c r="T80" s="36">
        <f t="shared" si="39"/>
        <v>64800</v>
      </c>
      <c r="U80" s="36">
        <f t="shared" si="39"/>
        <v>82080</v>
      </c>
      <c r="V80" s="36">
        <f t="shared" si="39"/>
        <v>25920</v>
      </c>
      <c r="W80" s="36">
        <f t="shared" si="31"/>
        <v>4039200</v>
      </c>
      <c r="X80" s="37"/>
    </row>
    <row r="81" spans="1:24" s="40" customFormat="1" ht="22.5">
      <c r="A81" s="33">
        <v>79</v>
      </c>
      <c r="B81" s="39" t="s">
        <v>141</v>
      </c>
      <c r="C81" s="39" t="s">
        <v>30</v>
      </c>
      <c r="D81" s="48" t="s">
        <v>142</v>
      </c>
      <c r="E81" s="36">
        <f t="shared" ref="E81:V81" si="40">E97*4320</f>
        <v>375840</v>
      </c>
      <c r="F81" s="36">
        <f t="shared" si="40"/>
        <v>362880</v>
      </c>
      <c r="G81" s="36">
        <f t="shared" si="40"/>
        <v>267840</v>
      </c>
      <c r="H81" s="36">
        <f t="shared" si="40"/>
        <v>177120</v>
      </c>
      <c r="I81" s="36">
        <f t="shared" si="40"/>
        <v>406080</v>
      </c>
      <c r="J81" s="36">
        <f t="shared" si="40"/>
        <v>336960</v>
      </c>
      <c r="K81" s="36">
        <f t="shared" si="40"/>
        <v>384480</v>
      </c>
      <c r="L81" s="36">
        <f t="shared" si="40"/>
        <v>190080</v>
      </c>
      <c r="M81" s="36">
        <f t="shared" si="40"/>
        <v>228960</v>
      </c>
      <c r="N81" s="36">
        <f t="shared" si="40"/>
        <v>246240</v>
      </c>
      <c r="O81" s="36">
        <f t="shared" si="40"/>
        <v>259200</v>
      </c>
      <c r="P81" s="36">
        <f t="shared" si="40"/>
        <v>233280</v>
      </c>
      <c r="Q81" s="36">
        <f t="shared" si="40"/>
        <v>138240</v>
      </c>
      <c r="R81" s="36">
        <f t="shared" si="40"/>
        <v>95040</v>
      </c>
      <c r="S81" s="36">
        <f t="shared" si="40"/>
        <v>164160</v>
      </c>
      <c r="T81" s="36">
        <f t="shared" si="40"/>
        <v>64800</v>
      </c>
      <c r="U81" s="36">
        <f t="shared" si="40"/>
        <v>82080</v>
      </c>
      <c r="V81" s="36">
        <f t="shared" si="40"/>
        <v>25920</v>
      </c>
      <c r="W81" s="36">
        <f t="shared" si="31"/>
        <v>4039200</v>
      </c>
      <c r="X81" s="37"/>
    </row>
    <row r="82" spans="1:24">
      <c r="A82" s="33">
        <v>80</v>
      </c>
      <c r="B82" s="34" t="s">
        <v>143</v>
      </c>
      <c r="C82" s="34"/>
      <c r="D82" s="35" t="s">
        <v>24</v>
      </c>
      <c r="E82" s="36">
        <f t="shared" ref="E82:V82" si="41">E83</f>
        <v>369176.22</v>
      </c>
      <c r="F82" s="36">
        <f t="shared" si="41"/>
        <v>340854.86</v>
      </c>
      <c r="G82" s="36">
        <f t="shared" si="41"/>
        <v>264000</v>
      </c>
      <c r="H82" s="36">
        <f t="shared" si="41"/>
        <v>123428.57</v>
      </c>
      <c r="I82" s="36">
        <f t="shared" si="41"/>
        <v>345833.14</v>
      </c>
      <c r="J82" s="36">
        <f t="shared" si="41"/>
        <v>294373.71000000002</v>
      </c>
      <c r="K82" s="36">
        <f t="shared" si="41"/>
        <v>355710.86</v>
      </c>
      <c r="L82" s="36">
        <f t="shared" si="41"/>
        <v>168665.14</v>
      </c>
      <c r="M82" s="36">
        <f t="shared" si="41"/>
        <v>212478.86</v>
      </c>
      <c r="N82" s="36">
        <f t="shared" si="41"/>
        <v>200218.29</v>
      </c>
      <c r="O82" s="36">
        <f t="shared" si="41"/>
        <v>233564.7</v>
      </c>
      <c r="P82" s="36">
        <f t="shared" si="41"/>
        <v>204658</v>
      </c>
      <c r="Q82" s="36">
        <f t="shared" si="41"/>
        <v>116000</v>
      </c>
      <c r="R82" s="36">
        <f t="shared" si="41"/>
        <v>77825.14</v>
      </c>
      <c r="S82" s="36">
        <f t="shared" si="41"/>
        <v>138267.43</v>
      </c>
      <c r="T82" s="36">
        <f t="shared" si="41"/>
        <v>50568</v>
      </c>
      <c r="U82" s="36">
        <f t="shared" si="41"/>
        <v>73844.570000000007</v>
      </c>
      <c r="V82" s="36">
        <f t="shared" si="41"/>
        <v>25371.43</v>
      </c>
      <c r="W82" s="36">
        <f t="shared" si="31"/>
        <v>3594838.9200000004</v>
      </c>
      <c r="X82" s="37"/>
    </row>
    <row r="83" spans="1:24" s="40" customFormat="1">
      <c r="A83" s="33">
        <v>81</v>
      </c>
      <c r="B83" s="39" t="s">
        <v>144</v>
      </c>
      <c r="C83" s="39" t="s">
        <v>30</v>
      </c>
      <c r="D83" s="37" t="s">
        <v>48</v>
      </c>
      <c r="E83" s="36">
        <f t="shared" ref="E83:V83" si="42">ROUND(E30/0.07*0.02,2)</f>
        <v>369176.22</v>
      </c>
      <c r="F83" s="36">
        <f t="shared" si="42"/>
        <v>340854.86</v>
      </c>
      <c r="G83" s="36">
        <f t="shared" si="42"/>
        <v>264000</v>
      </c>
      <c r="H83" s="36">
        <f t="shared" si="42"/>
        <v>123428.57</v>
      </c>
      <c r="I83" s="36">
        <f t="shared" si="42"/>
        <v>345833.14</v>
      </c>
      <c r="J83" s="36">
        <f t="shared" si="42"/>
        <v>294373.71000000002</v>
      </c>
      <c r="K83" s="36">
        <f t="shared" si="42"/>
        <v>355710.86</v>
      </c>
      <c r="L83" s="36">
        <f t="shared" si="42"/>
        <v>168665.14</v>
      </c>
      <c r="M83" s="36">
        <f t="shared" si="42"/>
        <v>212478.86</v>
      </c>
      <c r="N83" s="36">
        <f t="shared" si="42"/>
        <v>200218.29</v>
      </c>
      <c r="O83" s="36">
        <f t="shared" si="42"/>
        <v>233564.7</v>
      </c>
      <c r="P83" s="36">
        <f t="shared" si="42"/>
        <v>204658</v>
      </c>
      <c r="Q83" s="36">
        <f t="shared" si="42"/>
        <v>116000</v>
      </c>
      <c r="R83" s="36">
        <f t="shared" si="42"/>
        <v>77825.14</v>
      </c>
      <c r="S83" s="36">
        <f t="shared" si="42"/>
        <v>138267.43</v>
      </c>
      <c r="T83" s="36">
        <f t="shared" si="42"/>
        <v>50568</v>
      </c>
      <c r="U83" s="36">
        <f t="shared" si="42"/>
        <v>73844.570000000007</v>
      </c>
      <c r="V83" s="36">
        <f t="shared" si="42"/>
        <v>25371.43</v>
      </c>
      <c r="W83" s="36">
        <f t="shared" si="31"/>
        <v>3594838.9200000004</v>
      </c>
      <c r="X83" s="37"/>
    </row>
    <row r="84" spans="1:24">
      <c r="A84" s="33">
        <v>82</v>
      </c>
      <c r="B84" s="34" t="s">
        <v>145</v>
      </c>
      <c r="C84" s="34"/>
      <c r="D84" s="35" t="s">
        <v>24</v>
      </c>
      <c r="E84" s="36">
        <f t="shared" ref="E84:V84" si="43">E85</f>
        <v>32000</v>
      </c>
      <c r="F84" s="36">
        <f t="shared" si="43"/>
        <v>32000</v>
      </c>
      <c r="G84" s="36">
        <f t="shared" si="43"/>
        <v>0</v>
      </c>
      <c r="H84" s="36">
        <f t="shared" si="43"/>
        <v>0</v>
      </c>
      <c r="I84" s="36">
        <f t="shared" si="43"/>
        <v>32000</v>
      </c>
      <c r="J84" s="36">
        <f t="shared" si="43"/>
        <v>0</v>
      </c>
      <c r="K84" s="36">
        <f t="shared" si="43"/>
        <v>0</v>
      </c>
      <c r="L84" s="36">
        <f t="shared" si="43"/>
        <v>0</v>
      </c>
      <c r="M84" s="36">
        <f t="shared" si="43"/>
        <v>0</v>
      </c>
      <c r="N84" s="36">
        <f t="shared" si="43"/>
        <v>32000</v>
      </c>
      <c r="O84" s="36">
        <f t="shared" si="43"/>
        <v>32000</v>
      </c>
      <c r="P84" s="36">
        <f t="shared" si="43"/>
        <v>0</v>
      </c>
      <c r="Q84" s="36">
        <f t="shared" si="43"/>
        <v>0</v>
      </c>
      <c r="R84" s="36">
        <f t="shared" si="43"/>
        <v>0</v>
      </c>
      <c r="S84" s="36">
        <f t="shared" si="43"/>
        <v>0</v>
      </c>
      <c r="T84" s="36">
        <f t="shared" si="43"/>
        <v>0</v>
      </c>
      <c r="U84" s="36">
        <f t="shared" si="43"/>
        <v>0</v>
      </c>
      <c r="V84" s="36">
        <f t="shared" si="43"/>
        <v>32000</v>
      </c>
      <c r="W84" s="36">
        <f t="shared" si="31"/>
        <v>192000</v>
      </c>
      <c r="X84" s="37"/>
    </row>
    <row r="85" spans="1:24" ht="33.75">
      <c r="A85" s="33">
        <v>83</v>
      </c>
      <c r="B85" s="34" t="s">
        <v>146</v>
      </c>
      <c r="C85" s="34" t="s">
        <v>30</v>
      </c>
      <c r="D85" s="46" t="s">
        <v>147</v>
      </c>
      <c r="E85" s="28">
        <v>32000</v>
      </c>
      <c r="F85" s="28">
        <v>32000</v>
      </c>
      <c r="G85" s="28"/>
      <c r="H85" s="28"/>
      <c r="I85" s="28">
        <v>32000</v>
      </c>
      <c r="J85" s="28"/>
      <c r="K85" s="28"/>
      <c r="L85" s="28"/>
      <c r="M85" s="28"/>
      <c r="N85" s="28">
        <v>32000</v>
      </c>
      <c r="O85" s="28">
        <v>32000</v>
      </c>
      <c r="P85" s="28"/>
      <c r="Q85" s="28"/>
      <c r="R85" s="28"/>
      <c r="S85" s="28"/>
      <c r="T85" s="28"/>
      <c r="U85" s="28"/>
      <c r="V85" s="28">
        <v>32000</v>
      </c>
      <c r="W85" s="36">
        <f t="shared" si="31"/>
        <v>192000</v>
      </c>
      <c r="X85" s="37"/>
    </row>
    <row r="86" spans="1:24">
      <c r="A86" s="33">
        <v>84</v>
      </c>
      <c r="B86" s="34" t="s">
        <v>148</v>
      </c>
      <c r="C86" s="34"/>
      <c r="D86" s="35" t="s">
        <v>24</v>
      </c>
      <c r="E86" s="36">
        <f t="shared" ref="E86:V86" si="44">E87+E90+E93</f>
        <v>292640</v>
      </c>
      <c r="F86" s="36">
        <f t="shared" si="44"/>
        <v>316240</v>
      </c>
      <c r="G86" s="36">
        <f t="shared" si="44"/>
        <v>0</v>
      </c>
      <c r="H86" s="36">
        <f t="shared" si="44"/>
        <v>0</v>
      </c>
      <c r="I86" s="36">
        <f t="shared" si="44"/>
        <v>476720</v>
      </c>
      <c r="J86" s="36">
        <f t="shared" si="44"/>
        <v>500320</v>
      </c>
      <c r="K86" s="36">
        <f t="shared" si="44"/>
        <v>0</v>
      </c>
      <c r="L86" s="36">
        <f t="shared" si="44"/>
        <v>0</v>
      </c>
      <c r="M86" s="36">
        <f t="shared" si="44"/>
        <v>0</v>
      </c>
      <c r="N86" s="36">
        <f t="shared" si="44"/>
        <v>118000</v>
      </c>
      <c r="O86" s="36">
        <f t="shared" si="44"/>
        <v>113280</v>
      </c>
      <c r="P86" s="36">
        <f t="shared" si="44"/>
        <v>0</v>
      </c>
      <c r="Q86" s="36">
        <f t="shared" si="44"/>
        <v>0</v>
      </c>
      <c r="R86" s="36">
        <f t="shared" si="44"/>
        <v>0</v>
      </c>
      <c r="S86" s="36">
        <f t="shared" si="44"/>
        <v>0</v>
      </c>
      <c r="T86" s="36">
        <f t="shared" si="44"/>
        <v>0</v>
      </c>
      <c r="U86" s="36">
        <f t="shared" si="44"/>
        <v>0</v>
      </c>
      <c r="V86" s="36">
        <f t="shared" si="44"/>
        <v>84960</v>
      </c>
      <c r="W86" s="36">
        <f t="shared" si="31"/>
        <v>1902160</v>
      </c>
      <c r="X86" s="37"/>
    </row>
    <row r="87" spans="1:24">
      <c r="A87" s="33">
        <v>85</v>
      </c>
      <c r="B87" s="34" t="s">
        <v>149</v>
      </c>
      <c r="C87" s="34"/>
      <c r="D87" s="35" t="s">
        <v>24</v>
      </c>
      <c r="E87" s="36">
        <f t="shared" ref="E87:V87" si="45">E88+E89</f>
        <v>0</v>
      </c>
      <c r="F87" s="36">
        <f t="shared" si="45"/>
        <v>0</v>
      </c>
      <c r="G87" s="36">
        <f t="shared" si="45"/>
        <v>0</v>
      </c>
      <c r="H87" s="36">
        <f t="shared" si="45"/>
        <v>0</v>
      </c>
      <c r="I87" s="36">
        <f t="shared" si="45"/>
        <v>0</v>
      </c>
      <c r="J87" s="36">
        <f t="shared" si="45"/>
        <v>0</v>
      </c>
      <c r="K87" s="36">
        <f t="shared" si="45"/>
        <v>0</v>
      </c>
      <c r="L87" s="36">
        <f t="shared" si="45"/>
        <v>0</v>
      </c>
      <c r="M87" s="36">
        <f t="shared" si="45"/>
        <v>0</v>
      </c>
      <c r="N87" s="36">
        <f t="shared" si="45"/>
        <v>0</v>
      </c>
      <c r="O87" s="36">
        <f t="shared" si="45"/>
        <v>0</v>
      </c>
      <c r="P87" s="36">
        <f t="shared" si="45"/>
        <v>0</v>
      </c>
      <c r="Q87" s="36">
        <f t="shared" si="45"/>
        <v>0</v>
      </c>
      <c r="R87" s="36">
        <f t="shared" si="45"/>
        <v>0</v>
      </c>
      <c r="S87" s="36">
        <f t="shared" si="45"/>
        <v>0</v>
      </c>
      <c r="T87" s="36">
        <f t="shared" si="45"/>
        <v>0</v>
      </c>
      <c r="U87" s="36">
        <f t="shared" si="45"/>
        <v>0</v>
      </c>
      <c r="V87" s="36">
        <f t="shared" si="45"/>
        <v>0</v>
      </c>
      <c r="W87" s="36">
        <f t="shared" si="31"/>
        <v>0</v>
      </c>
      <c r="X87" s="37"/>
    </row>
    <row r="88" spans="1:24">
      <c r="A88" s="33">
        <v>86</v>
      </c>
      <c r="B88" s="34" t="s">
        <v>150</v>
      </c>
      <c r="C88" s="34" t="s">
        <v>30</v>
      </c>
      <c r="D88" s="46" t="s">
        <v>106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>
        <v>87</v>
      </c>
      <c r="B89" s="34" t="s">
        <v>151</v>
      </c>
      <c r="C89" s="34" t="s">
        <v>30</v>
      </c>
      <c r="D89" s="35" t="s">
        <v>152</v>
      </c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36">
        <f t="shared" si="31"/>
        <v>0</v>
      </c>
      <c r="X89" s="42"/>
    </row>
    <row r="90" spans="1:24">
      <c r="A90" s="33">
        <v>88</v>
      </c>
      <c r="B90" s="34" t="s">
        <v>153</v>
      </c>
      <c r="C90" s="34"/>
      <c r="D90" s="35" t="s">
        <v>24</v>
      </c>
      <c r="E90" s="36">
        <f t="shared" ref="E90:V90" si="46">E91+E92</f>
        <v>292640</v>
      </c>
      <c r="F90" s="36">
        <f t="shared" si="46"/>
        <v>316240</v>
      </c>
      <c r="G90" s="36">
        <f t="shared" si="46"/>
        <v>0</v>
      </c>
      <c r="H90" s="36">
        <f t="shared" si="46"/>
        <v>0</v>
      </c>
      <c r="I90" s="36">
        <f t="shared" si="46"/>
        <v>476720</v>
      </c>
      <c r="J90" s="36">
        <f t="shared" si="46"/>
        <v>500320</v>
      </c>
      <c r="K90" s="36">
        <f t="shared" si="46"/>
        <v>0</v>
      </c>
      <c r="L90" s="36">
        <f t="shared" si="46"/>
        <v>0</v>
      </c>
      <c r="M90" s="36">
        <f t="shared" si="46"/>
        <v>0</v>
      </c>
      <c r="N90" s="36">
        <f t="shared" si="46"/>
        <v>118000</v>
      </c>
      <c r="O90" s="36">
        <f t="shared" si="46"/>
        <v>113280</v>
      </c>
      <c r="P90" s="36">
        <f t="shared" si="46"/>
        <v>0</v>
      </c>
      <c r="Q90" s="36">
        <f t="shared" si="46"/>
        <v>0</v>
      </c>
      <c r="R90" s="36">
        <f t="shared" si="46"/>
        <v>0</v>
      </c>
      <c r="S90" s="36">
        <f t="shared" si="46"/>
        <v>0</v>
      </c>
      <c r="T90" s="36">
        <f t="shared" si="46"/>
        <v>0</v>
      </c>
      <c r="U90" s="36">
        <f t="shared" si="46"/>
        <v>0</v>
      </c>
      <c r="V90" s="36">
        <f t="shared" si="46"/>
        <v>84960</v>
      </c>
      <c r="W90" s="36">
        <f t="shared" si="31"/>
        <v>1902160</v>
      </c>
      <c r="X90" s="37"/>
    </row>
    <row r="91" spans="1:24" s="40" customFormat="1" ht="22.5">
      <c r="A91" s="33">
        <v>89</v>
      </c>
      <c r="B91" s="39" t="s">
        <v>154</v>
      </c>
      <c r="C91" s="39" t="s">
        <v>30</v>
      </c>
      <c r="D91" s="48" t="s">
        <v>155</v>
      </c>
      <c r="E91" s="36">
        <f t="shared" ref="E91:V91" si="47">E108*400</f>
        <v>24800</v>
      </c>
      <c r="F91" s="36">
        <f t="shared" si="47"/>
        <v>26800</v>
      </c>
      <c r="G91" s="36">
        <f t="shared" si="47"/>
        <v>0</v>
      </c>
      <c r="H91" s="36">
        <f t="shared" si="47"/>
        <v>0</v>
      </c>
      <c r="I91" s="36">
        <f t="shared" si="47"/>
        <v>40400</v>
      </c>
      <c r="J91" s="36">
        <f t="shared" si="47"/>
        <v>42400</v>
      </c>
      <c r="K91" s="36">
        <f t="shared" si="47"/>
        <v>0</v>
      </c>
      <c r="L91" s="36">
        <f t="shared" si="47"/>
        <v>0</v>
      </c>
      <c r="M91" s="36">
        <f t="shared" si="47"/>
        <v>0</v>
      </c>
      <c r="N91" s="36">
        <f t="shared" si="47"/>
        <v>10000</v>
      </c>
      <c r="O91" s="36">
        <f t="shared" si="47"/>
        <v>9600</v>
      </c>
      <c r="P91" s="36">
        <f t="shared" si="47"/>
        <v>0</v>
      </c>
      <c r="Q91" s="36">
        <f t="shared" si="47"/>
        <v>0</v>
      </c>
      <c r="R91" s="36">
        <f t="shared" si="47"/>
        <v>0</v>
      </c>
      <c r="S91" s="36">
        <f t="shared" si="47"/>
        <v>0</v>
      </c>
      <c r="T91" s="36">
        <f t="shared" si="47"/>
        <v>0</v>
      </c>
      <c r="U91" s="36">
        <f t="shared" si="47"/>
        <v>0</v>
      </c>
      <c r="V91" s="36">
        <f t="shared" si="47"/>
        <v>7200</v>
      </c>
      <c r="W91" s="36">
        <f t="shared" si="31"/>
        <v>161200</v>
      </c>
      <c r="X91" s="37"/>
    </row>
    <row r="92" spans="1:24" s="40" customFormat="1" ht="22.5">
      <c r="A92" s="33">
        <v>90</v>
      </c>
      <c r="B92" s="39" t="s">
        <v>156</v>
      </c>
      <c r="C92" s="39" t="s">
        <v>30</v>
      </c>
      <c r="D92" s="48" t="s">
        <v>157</v>
      </c>
      <c r="E92" s="36">
        <f t="shared" ref="E92:V92" si="48">E108*4320</f>
        <v>267840</v>
      </c>
      <c r="F92" s="36">
        <f t="shared" si="48"/>
        <v>289440</v>
      </c>
      <c r="G92" s="36">
        <f t="shared" si="48"/>
        <v>0</v>
      </c>
      <c r="H92" s="36">
        <f t="shared" si="48"/>
        <v>0</v>
      </c>
      <c r="I92" s="36">
        <f t="shared" si="48"/>
        <v>436320</v>
      </c>
      <c r="J92" s="36">
        <f t="shared" si="48"/>
        <v>457920</v>
      </c>
      <c r="K92" s="36">
        <f t="shared" si="48"/>
        <v>0</v>
      </c>
      <c r="L92" s="36">
        <f t="shared" si="48"/>
        <v>0</v>
      </c>
      <c r="M92" s="36">
        <f t="shared" si="48"/>
        <v>0</v>
      </c>
      <c r="N92" s="36">
        <f t="shared" si="48"/>
        <v>108000</v>
      </c>
      <c r="O92" s="36">
        <f t="shared" si="48"/>
        <v>103680</v>
      </c>
      <c r="P92" s="36">
        <f t="shared" si="48"/>
        <v>0</v>
      </c>
      <c r="Q92" s="36">
        <f t="shared" si="48"/>
        <v>0</v>
      </c>
      <c r="R92" s="36">
        <f t="shared" si="48"/>
        <v>0</v>
      </c>
      <c r="S92" s="36">
        <f t="shared" si="48"/>
        <v>0</v>
      </c>
      <c r="T92" s="36">
        <f t="shared" si="48"/>
        <v>0</v>
      </c>
      <c r="U92" s="36">
        <f t="shared" si="48"/>
        <v>0</v>
      </c>
      <c r="V92" s="36">
        <f t="shared" si="48"/>
        <v>77760</v>
      </c>
      <c r="W92" s="36">
        <f t="shared" si="31"/>
        <v>1740960</v>
      </c>
      <c r="X92" s="37"/>
    </row>
    <row r="93" spans="1:24">
      <c r="A93" s="33">
        <v>91</v>
      </c>
      <c r="B93" s="34" t="s">
        <v>158</v>
      </c>
      <c r="C93" s="34" t="s">
        <v>30</v>
      </c>
      <c r="D93" s="46" t="s">
        <v>106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36">
        <f t="shared" si="31"/>
        <v>0</v>
      </c>
      <c r="X93" s="42"/>
    </row>
    <row r="94" spans="1:24">
      <c r="A94" s="33">
        <v>92</v>
      </c>
      <c r="B94" s="34" t="s">
        <v>159</v>
      </c>
      <c r="C94" s="34"/>
      <c r="D94" s="35" t="s">
        <v>24</v>
      </c>
      <c r="E94" s="36">
        <f t="shared" ref="E94:V94" si="49">E95</f>
        <v>0</v>
      </c>
      <c r="F94" s="36">
        <f t="shared" si="49"/>
        <v>0</v>
      </c>
      <c r="G94" s="36">
        <f t="shared" si="49"/>
        <v>32000</v>
      </c>
      <c r="H94" s="36">
        <f t="shared" si="49"/>
        <v>32000</v>
      </c>
      <c r="I94" s="36">
        <f t="shared" si="49"/>
        <v>10000</v>
      </c>
      <c r="J94" s="36">
        <f t="shared" si="49"/>
        <v>32000</v>
      </c>
      <c r="K94" s="36">
        <f t="shared" si="49"/>
        <v>32000</v>
      </c>
      <c r="L94" s="36">
        <f t="shared" si="49"/>
        <v>32000</v>
      </c>
      <c r="M94" s="36">
        <f t="shared" si="49"/>
        <v>32000</v>
      </c>
      <c r="N94" s="36">
        <f t="shared" si="49"/>
        <v>5000</v>
      </c>
      <c r="O94" s="36">
        <f t="shared" si="49"/>
        <v>5000</v>
      </c>
      <c r="P94" s="36">
        <f t="shared" si="49"/>
        <v>32000</v>
      </c>
      <c r="Q94" s="36">
        <f t="shared" si="49"/>
        <v>32000</v>
      </c>
      <c r="R94" s="36">
        <f t="shared" si="49"/>
        <v>32000</v>
      </c>
      <c r="S94" s="36">
        <f t="shared" si="49"/>
        <v>32000</v>
      </c>
      <c r="T94" s="36">
        <f t="shared" si="49"/>
        <v>32000</v>
      </c>
      <c r="U94" s="36">
        <f t="shared" si="49"/>
        <v>32000</v>
      </c>
      <c r="V94" s="36">
        <f t="shared" si="49"/>
        <v>0</v>
      </c>
      <c r="W94" s="36">
        <f t="shared" si="31"/>
        <v>404000</v>
      </c>
      <c r="X94" s="37"/>
    </row>
    <row r="95" spans="1:24" ht="68.25" thickBot="1">
      <c r="A95" s="33">
        <v>93</v>
      </c>
      <c r="B95" s="50" t="s">
        <v>160</v>
      </c>
      <c r="C95" s="34" t="s">
        <v>30</v>
      </c>
      <c r="D95" s="51" t="s">
        <v>179</v>
      </c>
      <c r="E95" s="27"/>
      <c r="F95" s="27"/>
      <c r="G95" s="27">
        <v>32000</v>
      </c>
      <c r="H95" s="27">
        <v>32000</v>
      </c>
      <c r="I95" s="27">
        <v>10000</v>
      </c>
      <c r="J95" s="27">
        <v>32000</v>
      </c>
      <c r="K95" s="27">
        <v>32000</v>
      </c>
      <c r="L95" s="27">
        <v>32000</v>
      </c>
      <c r="M95" s="27">
        <v>32000</v>
      </c>
      <c r="N95" s="27">
        <v>5000</v>
      </c>
      <c r="O95" s="27">
        <v>5000</v>
      </c>
      <c r="P95" s="27">
        <v>32000</v>
      </c>
      <c r="Q95" s="27">
        <v>32000</v>
      </c>
      <c r="R95" s="27">
        <v>32000</v>
      </c>
      <c r="S95" s="27">
        <v>32000</v>
      </c>
      <c r="T95" s="27">
        <v>32000</v>
      </c>
      <c r="U95" s="27">
        <v>32000</v>
      </c>
      <c r="V95" s="27"/>
      <c r="W95" s="36">
        <f t="shared" si="31"/>
        <v>404000</v>
      </c>
      <c r="X95" s="52"/>
    </row>
    <row r="96" spans="1:24" ht="23.25" customHeight="1" thickTop="1">
      <c r="A96" s="33">
        <v>94</v>
      </c>
      <c r="B96" s="53" t="s">
        <v>161</v>
      </c>
      <c r="C96" s="53"/>
      <c r="D96" s="54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36">
        <f t="shared" si="31"/>
        <v>0</v>
      </c>
      <c r="X96" s="56"/>
    </row>
    <row r="97" spans="1:24" ht="22.5">
      <c r="A97" s="33">
        <v>95</v>
      </c>
      <c r="B97" s="34" t="s">
        <v>162</v>
      </c>
      <c r="C97" s="34"/>
      <c r="D97" s="35" t="s">
        <v>209</v>
      </c>
      <c r="E97" s="36">
        <f t="shared" ref="E97:V97" si="50">E98+E99+E100+E101</f>
        <v>87</v>
      </c>
      <c r="F97" s="36">
        <f t="shared" si="50"/>
        <v>84</v>
      </c>
      <c r="G97" s="36">
        <f t="shared" si="50"/>
        <v>62</v>
      </c>
      <c r="H97" s="36">
        <f t="shared" si="50"/>
        <v>41</v>
      </c>
      <c r="I97" s="36">
        <f t="shared" si="50"/>
        <v>94</v>
      </c>
      <c r="J97" s="36">
        <f t="shared" si="50"/>
        <v>78</v>
      </c>
      <c r="K97" s="36">
        <f t="shared" si="50"/>
        <v>89</v>
      </c>
      <c r="L97" s="36">
        <f t="shared" si="50"/>
        <v>44</v>
      </c>
      <c r="M97" s="36">
        <f t="shared" si="50"/>
        <v>53</v>
      </c>
      <c r="N97" s="36">
        <f t="shared" si="50"/>
        <v>57</v>
      </c>
      <c r="O97" s="36">
        <f t="shared" si="50"/>
        <v>60</v>
      </c>
      <c r="P97" s="36">
        <f t="shared" si="50"/>
        <v>54</v>
      </c>
      <c r="Q97" s="36">
        <f t="shared" si="50"/>
        <v>32</v>
      </c>
      <c r="R97" s="36">
        <f t="shared" si="50"/>
        <v>22</v>
      </c>
      <c r="S97" s="36">
        <f t="shared" si="50"/>
        <v>38</v>
      </c>
      <c r="T97" s="36">
        <f t="shared" si="50"/>
        <v>15</v>
      </c>
      <c r="U97" s="36">
        <f t="shared" si="50"/>
        <v>19</v>
      </c>
      <c r="V97" s="36">
        <f t="shared" si="50"/>
        <v>6</v>
      </c>
      <c r="W97" s="36">
        <f t="shared" si="31"/>
        <v>935</v>
      </c>
      <c r="X97" s="37"/>
    </row>
    <row r="98" spans="1:24">
      <c r="A98" s="33">
        <v>96</v>
      </c>
      <c r="B98" s="57" t="s">
        <v>163</v>
      </c>
      <c r="C98" s="57"/>
      <c r="D98" s="42"/>
      <c r="E98" s="43">
        <v>87</v>
      </c>
      <c r="F98" s="43">
        <v>84</v>
      </c>
      <c r="G98" s="43">
        <v>62</v>
      </c>
      <c r="H98" s="43">
        <v>22</v>
      </c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36">
        <f t="shared" si="31"/>
        <v>255</v>
      </c>
      <c r="X98" s="37"/>
    </row>
    <row r="99" spans="1:24">
      <c r="A99" s="33">
        <v>97</v>
      </c>
      <c r="B99" s="57" t="s">
        <v>164</v>
      </c>
      <c r="C99" s="57"/>
      <c r="D99" s="35"/>
      <c r="E99" s="28"/>
      <c r="F99" s="28"/>
      <c r="G99" s="28"/>
      <c r="H99" s="28">
        <v>19</v>
      </c>
      <c r="I99" s="28">
        <v>94</v>
      </c>
      <c r="J99" s="28">
        <v>78</v>
      </c>
      <c r="K99" s="28">
        <v>89</v>
      </c>
      <c r="L99" s="28">
        <v>44</v>
      </c>
      <c r="M99" s="28">
        <v>53</v>
      </c>
      <c r="N99" s="28"/>
      <c r="O99" s="28"/>
      <c r="P99" s="28"/>
      <c r="Q99" s="28"/>
      <c r="R99" s="28"/>
      <c r="S99" s="28"/>
      <c r="T99" s="28"/>
      <c r="U99" s="28"/>
      <c r="V99" s="28"/>
      <c r="W99" s="36">
        <f t="shared" si="31"/>
        <v>377</v>
      </c>
      <c r="X99" s="37"/>
    </row>
    <row r="100" spans="1:24">
      <c r="A100" s="33">
        <v>98</v>
      </c>
      <c r="B100" s="57" t="s">
        <v>165</v>
      </c>
      <c r="C100" s="57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57</v>
      </c>
      <c r="O100" s="43">
        <v>60</v>
      </c>
      <c r="P100" s="43">
        <v>54</v>
      </c>
      <c r="Q100" s="43">
        <v>32</v>
      </c>
      <c r="R100" s="43">
        <v>22</v>
      </c>
      <c r="S100" s="43">
        <v>38</v>
      </c>
      <c r="T100" s="43">
        <v>15</v>
      </c>
      <c r="U100" s="43">
        <v>19</v>
      </c>
      <c r="V100" s="43"/>
      <c r="W100" s="36">
        <f t="shared" si="31"/>
        <v>297</v>
      </c>
      <c r="X100" s="37"/>
    </row>
    <row r="101" spans="1:24">
      <c r="A101" s="33">
        <v>99</v>
      </c>
      <c r="B101" s="57" t="s">
        <v>166</v>
      </c>
      <c r="C101" s="57"/>
      <c r="D101" s="42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>
        <v>6</v>
      </c>
      <c r="W101" s="36">
        <f t="shared" si="31"/>
        <v>6</v>
      </c>
      <c r="X101" s="37"/>
    </row>
    <row r="102" spans="1:24" ht="22.5">
      <c r="A102" s="33">
        <v>100</v>
      </c>
      <c r="B102" s="34" t="s">
        <v>167</v>
      </c>
      <c r="C102" s="34"/>
      <c r="D102" s="35" t="s">
        <v>210</v>
      </c>
      <c r="E102" s="36">
        <f t="shared" ref="E102:V102" si="51">E103+E104+E105+E106</f>
        <v>910</v>
      </c>
      <c r="F102" s="36">
        <f t="shared" si="51"/>
        <v>903</v>
      </c>
      <c r="G102" s="36">
        <f t="shared" si="51"/>
        <v>780</v>
      </c>
      <c r="H102" s="36">
        <f t="shared" si="51"/>
        <v>503</v>
      </c>
      <c r="I102" s="36">
        <f t="shared" si="51"/>
        <v>1396</v>
      </c>
      <c r="J102" s="36">
        <f t="shared" si="51"/>
        <v>1076</v>
      </c>
      <c r="K102" s="36">
        <f t="shared" si="51"/>
        <v>1367</v>
      </c>
      <c r="L102" s="36">
        <f t="shared" si="51"/>
        <v>631</v>
      </c>
      <c r="M102" s="36">
        <f t="shared" si="51"/>
        <v>827</v>
      </c>
      <c r="N102" s="36">
        <f t="shared" si="51"/>
        <v>663</v>
      </c>
      <c r="O102" s="36">
        <f t="shared" si="51"/>
        <v>917</v>
      </c>
      <c r="P102" s="36">
        <f t="shared" si="51"/>
        <v>673</v>
      </c>
      <c r="Q102" s="36">
        <f t="shared" si="51"/>
        <v>496</v>
      </c>
      <c r="R102" s="36">
        <f t="shared" si="51"/>
        <v>312</v>
      </c>
      <c r="S102" s="36">
        <f t="shared" si="51"/>
        <v>409</v>
      </c>
      <c r="T102" s="36">
        <f t="shared" si="51"/>
        <v>246</v>
      </c>
      <c r="U102" s="36">
        <f t="shared" si="51"/>
        <v>310</v>
      </c>
      <c r="V102" s="36">
        <f t="shared" si="51"/>
        <v>0</v>
      </c>
      <c r="W102" s="36">
        <f t="shared" si="31"/>
        <v>12419</v>
      </c>
      <c r="X102" s="37"/>
    </row>
    <row r="103" spans="1:24">
      <c r="A103" s="33">
        <v>101</v>
      </c>
      <c r="B103" s="57" t="s">
        <v>163</v>
      </c>
      <c r="C103" s="57"/>
      <c r="D103" s="42"/>
      <c r="E103" s="43">
        <v>910</v>
      </c>
      <c r="F103" s="43">
        <v>903</v>
      </c>
      <c r="G103" s="43">
        <v>780</v>
      </c>
      <c r="H103" s="43">
        <v>213</v>
      </c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36">
        <f t="shared" si="31"/>
        <v>2806</v>
      </c>
      <c r="X103" s="37"/>
    </row>
    <row r="104" spans="1:24">
      <c r="A104" s="33">
        <v>102</v>
      </c>
      <c r="B104" s="57" t="s">
        <v>164</v>
      </c>
      <c r="C104" s="57"/>
      <c r="D104" s="35"/>
      <c r="E104" s="28"/>
      <c r="F104" s="28"/>
      <c r="G104" s="28"/>
      <c r="H104" s="28">
        <v>290</v>
      </c>
      <c r="I104" s="28">
        <v>1396</v>
      </c>
      <c r="J104" s="28">
        <v>1076</v>
      </c>
      <c r="K104" s="28">
        <v>1367</v>
      </c>
      <c r="L104" s="28">
        <v>631</v>
      </c>
      <c r="M104" s="28">
        <v>827</v>
      </c>
      <c r="N104" s="28"/>
      <c r="O104" s="28"/>
      <c r="P104" s="28"/>
      <c r="Q104" s="28"/>
      <c r="R104" s="28"/>
      <c r="S104" s="28"/>
      <c r="T104" s="28"/>
      <c r="U104" s="28"/>
      <c r="V104" s="28"/>
      <c r="W104" s="36">
        <f t="shared" si="31"/>
        <v>5587</v>
      </c>
      <c r="X104" s="37"/>
    </row>
    <row r="105" spans="1:24">
      <c r="A105" s="33">
        <v>103</v>
      </c>
      <c r="B105" s="57" t="s">
        <v>165</v>
      </c>
      <c r="C105" s="57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>
        <v>663</v>
      </c>
      <c r="O105" s="43">
        <v>917</v>
      </c>
      <c r="P105" s="43">
        <v>673</v>
      </c>
      <c r="Q105" s="43">
        <v>496</v>
      </c>
      <c r="R105" s="43">
        <v>312</v>
      </c>
      <c r="S105" s="43">
        <v>409</v>
      </c>
      <c r="T105" s="43">
        <v>246</v>
      </c>
      <c r="U105" s="43">
        <v>310</v>
      </c>
      <c r="V105" s="43"/>
      <c r="W105" s="36">
        <f t="shared" si="31"/>
        <v>4026</v>
      </c>
      <c r="X105" s="37"/>
    </row>
    <row r="106" spans="1:24">
      <c r="A106" s="33">
        <v>104</v>
      </c>
      <c r="B106" s="57" t="s">
        <v>166</v>
      </c>
      <c r="C106" s="57"/>
      <c r="D106" s="42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36">
        <f t="shared" si="31"/>
        <v>0</v>
      </c>
      <c r="X106" s="37"/>
    </row>
    <row r="107" spans="1:24">
      <c r="A107" s="33">
        <v>105</v>
      </c>
      <c r="B107" s="34" t="s">
        <v>168</v>
      </c>
      <c r="C107" s="34"/>
      <c r="D107" s="46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36">
        <f t="shared" si="31"/>
        <v>0</v>
      </c>
      <c r="X107" s="37"/>
    </row>
    <row r="108" spans="1:24">
      <c r="A108" s="33">
        <v>106</v>
      </c>
      <c r="B108" s="34" t="s">
        <v>169</v>
      </c>
      <c r="C108" s="34"/>
      <c r="D108" s="35"/>
      <c r="E108" s="28">
        <v>62</v>
      </c>
      <c r="F108" s="28">
        <v>67</v>
      </c>
      <c r="G108" s="28"/>
      <c r="H108" s="28"/>
      <c r="I108" s="28">
        <v>101</v>
      </c>
      <c r="J108" s="28">
        <v>106</v>
      </c>
      <c r="K108" s="28"/>
      <c r="L108" s="28"/>
      <c r="M108" s="28"/>
      <c r="N108" s="28">
        <v>25</v>
      </c>
      <c r="O108" s="28">
        <v>24</v>
      </c>
      <c r="P108" s="28"/>
      <c r="Q108" s="28"/>
      <c r="R108" s="28"/>
      <c r="S108" s="28"/>
      <c r="T108" s="28"/>
      <c r="U108" s="28"/>
      <c r="V108" s="28">
        <v>18</v>
      </c>
      <c r="W108" s="36">
        <f t="shared" si="31"/>
        <v>403</v>
      </c>
      <c r="X108" s="37"/>
    </row>
    <row r="109" spans="1:24">
      <c r="A109" s="33">
        <v>107</v>
      </c>
      <c r="B109" s="57" t="s">
        <v>170</v>
      </c>
      <c r="C109" s="57"/>
      <c r="D109" s="46"/>
      <c r="E109" s="28">
        <v>17063</v>
      </c>
      <c r="F109" s="28">
        <v>11923</v>
      </c>
      <c r="G109" s="28">
        <v>12788.7</v>
      </c>
      <c r="H109" s="28">
        <v>47723.69</v>
      </c>
      <c r="I109" s="28">
        <v>23546.35</v>
      </c>
      <c r="J109" s="28">
        <v>15720.46</v>
      </c>
      <c r="K109" s="28">
        <v>21871.439999999999</v>
      </c>
      <c r="L109" s="28">
        <v>16648.97</v>
      </c>
      <c r="M109" s="28">
        <v>11914.29</v>
      </c>
      <c r="N109" s="28">
        <v>7654.77</v>
      </c>
      <c r="O109" s="28">
        <v>12113.78</v>
      </c>
      <c r="P109" s="28">
        <f>[1]Sheet1!$G$20</f>
        <v>10438.119999999999</v>
      </c>
      <c r="Q109" s="28">
        <v>13520</v>
      </c>
      <c r="R109" s="28">
        <v>5747.79</v>
      </c>
      <c r="S109" s="28">
        <v>11286</v>
      </c>
      <c r="T109" s="28">
        <v>6080</v>
      </c>
      <c r="U109" s="28">
        <v>11939.6</v>
      </c>
      <c r="V109" s="28">
        <v>5648</v>
      </c>
      <c r="W109" s="36">
        <f t="shared" si="31"/>
        <v>263627.95999999996</v>
      </c>
      <c r="X109" s="37"/>
    </row>
    <row r="110" spans="1:24">
      <c r="A110" s="33">
        <v>108</v>
      </c>
      <c r="B110" s="57" t="s">
        <v>171</v>
      </c>
      <c r="C110" s="57"/>
      <c r="D110" s="46"/>
      <c r="E110" s="28">
        <v>15829</v>
      </c>
      <c r="F110" s="28">
        <v>10360</v>
      </c>
      <c r="G110" s="28">
        <v>10179</v>
      </c>
      <c r="H110" s="28">
        <v>16263</v>
      </c>
      <c r="I110" s="28">
        <v>19712</v>
      </c>
      <c r="J110" s="28">
        <v>11160</v>
      </c>
      <c r="K110" s="28">
        <v>15700</v>
      </c>
      <c r="L110" s="28">
        <v>11125</v>
      </c>
      <c r="M110" s="28">
        <v>8447.1</v>
      </c>
      <c r="N110" s="28">
        <v>5134</v>
      </c>
      <c r="O110" s="28">
        <v>4330</v>
      </c>
      <c r="P110" s="28">
        <f>[1]Sheet1!$I$20</f>
        <v>4266</v>
      </c>
      <c r="Q110" s="28">
        <v>5045</v>
      </c>
      <c r="R110" s="28">
        <v>2519</v>
      </c>
      <c r="S110" s="28">
        <v>4627.34</v>
      </c>
      <c r="T110" s="28">
        <v>2500</v>
      </c>
      <c r="U110" s="28">
        <v>4999</v>
      </c>
      <c r="V110" s="28">
        <v>2320</v>
      </c>
      <c r="W110" s="36">
        <f t="shared" si="31"/>
        <v>154515.44</v>
      </c>
      <c r="X110" s="37"/>
    </row>
  </sheetData>
  <protectedRanges>
    <protectedRange password="E9C1" sqref="B32:D110 B13:D28 A13:A110 D30 W23:X110 X22 A2:D12 X2 W3:X21" name="区域1_1"/>
    <protectedRange password="E9C1" sqref="B29:C31" name="区域1_1_1_1"/>
    <protectedRange password="E9C1" sqref="D29" name="区域1"/>
    <protectedRange password="E9C1" sqref="D31" name="区域1_2"/>
    <protectedRange password="E9C1" sqref="W2" name="区域1_1_2"/>
    <protectedRange password="E9C1" sqref="V2:V3" name="区域1_1_21"/>
    <protectedRange password="E9C1" sqref="R2:R3" name="区域1_1_5"/>
    <protectedRange password="E9C1" sqref="H2:H3" name="区域1_1_14"/>
    <protectedRange password="E9C1" sqref="F2:F3" name="区域1_1_15"/>
    <protectedRange password="E9C1" sqref="M2:M3" name="区域1_1_8"/>
    <protectedRange password="E9C1" sqref="N2:N3" name="区域1_1_3"/>
    <protectedRange password="E9C1" sqref="U2:U3" name="区域1_1_6_1_1"/>
    <protectedRange password="E9C1" sqref="I2:I3" name="区域1_1_10"/>
    <protectedRange password="E9C1" sqref="P2:P3" name="区域1_1_6"/>
    <protectedRange password="E9C1" sqref="E2:E3" name="区域1_1_11_1_1"/>
    <protectedRange password="E9C1" sqref="G2:G3" name="区域1_1_25_1"/>
    <protectedRange password="E9C1" sqref="T2:T3" name="区域1_1_7"/>
    <protectedRange password="E9C1" sqref="K2:K3" name="区域1_1_13_1_1"/>
    <protectedRange password="E9C1" sqref="L2:L3" name="区域1_1_11"/>
    <protectedRange password="E9C1" sqref="J2:J3" name="区域1_1_9_1_1"/>
    <protectedRange password="E9C1" sqref="S2:S3" name="区域1_1_12"/>
    <protectedRange password="E9C1" sqref="Q2:Q3" name="区域1_1_13"/>
    <protectedRange password="E9C1" sqref="O2:O3" name="区域1_1_16"/>
  </protectedRanges>
  <mergeCells count="1">
    <mergeCell ref="A1:X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浦江镇</vt:lpstr>
      <vt:lpstr>社区教育</vt:lpstr>
      <vt:lpstr>志愿者联盟</vt:lpstr>
      <vt:lpstr>保安经费</vt:lpstr>
      <vt:lpstr>浦江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2021-12-21T06:38:59Z</cp:lastPrinted>
  <dcterms:created xsi:type="dcterms:W3CDTF">2019-11-08T06:57:41Z</dcterms:created>
  <dcterms:modified xsi:type="dcterms:W3CDTF">2021-12-21T06:39:04Z</dcterms:modified>
</cp:coreProperties>
</file>