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375" windowWidth="24120" windowHeight="12045"/>
  </bookViews>
  <sheets>
    <sheet name="七宝镇" sheetId="93" r:id="rId1"/>
    <sheet name="基本支出汇总" sheetId="30" state="hidden" r:id="rId2"/>
    <sheet name="社区教育" sheetId="2" state="hidden" r:id="rId3"/>
    <sheet name="志愿者联盟" sheetId="3" state="hidden" r:id="rId4"/>
    <sheet name="2021年绩效预估" sheetId="17" state="hidden" r:id="rId5"/>
    <sheet name="保安经费" sheetId="32" state="hidden" r:id="rId6"/>
    <sheet name="莘庄" sheetId="22" state="hidden" r:id="rId7"/>
    <sheet name="吴泾" sheetId="21" state="hidden" r:id="rId8"/>
    <sheet name="七宝" sheetId="20" state="hidden" r:id="rId9"/>
    <sheet name="浦江" sheetId="31" state="hidden" r:id="rId10"/>
    <sheet name="梅陇" sheetId="25" state="hidden" r:id="rId11"/>
    <sheet name="马桥" sheetId="19" state="hidden" r:id="rId12"/>
    <sheet name="华漕" sheetId="24" state="hidden" r:id="rId13"/>
    <sheet name="颛桥" sheetId="26" state="hidden" r:id="rId14"/>
    <sheet name="虹桥" sheetId="23" state="hidden" r:id="rId15"/>
    <sheet name="信息中心" sheetId="33" state="hidden" r:id="rId16"/>
    <sheet name="学前科" sheetId="34" state="hidden" r:id="rId17"/>
    <sheet name="普教一科" sheetId="35" state="hidden" r:id="rId18"/>
    <sheet name="普教二科" sheetId="36" state="hidden" r:id="rId19"/>
    <sheet name="考试中心" sheetId="37" state="hidden" r:id="rId20"/>
    <sheet name="教育学院" sheetId="38" state="hidden" r:id="rId21"/>
    <sheet name="莘庄维修" sheetId="39" state="hidden" r:id="rId22"/>
    <sheet name="吴泾维修" sheetId="40" state="hidden" r:id="rId23"/>
    <sheet name="七宝维修" sheetId="41" state="hidden" r:id="rId24"/>
    <sheet name="浦江维修" sheetId="42" state="hidden" r:id="rId25"/>
    <sheet name="梅陇维修" sheetId="43" state="hidden" r:id="rId26"/>
    <sheet name="马桥维修" sheetId="44" state="hidden" r:id="rId27"/>
    <sheet name="华漕维修" sheetId="45" state="hidden" r:id="rId28"/>
    <sheet name="颛桥维修" sheetId="46" state="hidden" r:id="rId29"/>
    <sheet name="虹桥维修" sheetId="47" state="hidden" r:id="rId30"/>
    <sheet name="空气检测" sheetId="48" state="hidden" r:id="rId31"/>
    <sheet name="尾款" sheetId="49" state="hidden" r:id="rId32"/>
    <sheet name="理化实验室信息化部分" sheetId="50" state="hidden" r:id="rId33"/>
    <sheet name="教育学院培训专项" sheetId="61" state="hidden" r:id="rId34"/>
    <sheet name="莘庄镇设备" sheetId="51" state="hidden" r:id="rId35"/>
    <sheet name="吴泾镇设备" sheetId="52" state="hidden" r:id="rId36"/>
    <sheet name="七宝镇设备" sheetId="53" state="hidden" r:id="rId37"/>
    <sheet name="浦江镇设备" sheetId="54" state="hidden" r:id="rId38"/>
    <sheet name="梅陇镇设备" sheetId="55" state="hidden" r:id="rId39"/>
    <sheet name="马桥镇设备" sheetId="56" state="hidden" r:id="rId40"/>
    <sheet name="华漕镇设备" sheetId="57" state="hidden" r:id="rId41"/>
    <sheet name="颛桥镇设备" sheetId="58" state="hidden" r:id="rId42"/>
    <sheet name="虹桥镇设备" sheetId="59" state="hidden" r:id="rId43"/>
    <sheet name="维修尾款" sheetId="62" state="hidden" r:id="rId44"/>
    <sheet name="维修新增" sheetId="63" state="hidden" r:id="rId45"/>
    <sheet name="扩班设备" sheetId="64" state="hidden" r:id="rId46"/>
    <sheet name="学前科补充项目" sheetId="66" state="hidden" r:id="rId47"/>
    <sheet name="2021年绩效清算" sheetId="94" state="hidden" r:id="rId48"/>
  </sheets>
  <externalReferences>
    <externalReference r:id="rId49"/>
    <externalReference r:id="rId50"/>
    <externalReference r:id="rId51"/>
    <externalReference r:id="rId52"/>
  </externalReferences>
  <definedNames>
    <definedName name="_xlnm._FilterDatabase" localSheetId="40" hidden="1">华漕镇设备!$A$2:$M$21</definedName>
    <definedName name="_xlnm._FilterDatabase" localSheetId="39" hidden="1">马桥镇设备!$A$2:$M$28</definedName>
    <definedName name="_xlnm._FilterDatabase" localSheetId="38" hidden="1">梅陇镇设备!$A$2:$O$33</definedName>
    <definedName name="_xlnm._FilterDatabase" localSheetId="37" hidden="1">浦江镇设备!$A$2:$M$43</definedName>
    <definedName name="_xlnm._FilterDatabase" localSheetId="17" hidden="1">普教一科!$A$2:$K$141</definedName>
    <definedName name="_xlnm._FilterDatabase" localSheetId="36" hidden="1">七宝镇设备!$A$2:$O$94</definedName>
    <definedName name="_xlnm._FilterDatabase" localSheetId="41" hidden="1">颛桥镇设备!$A$2:$M$42</definedName>
    <definedName name="_xlnm.Print_Area" localSheetId="29">虹桥维修!$A$1:$J$39</definedName>
    <definedName name="_xlnm.Print_Area" localSheetId="42">虹桥镇设备!$A$1:$N$17</definedName>
    <definedName name="_xlnm.Print_Area" localSheetId="40">华漕镇设备!$A$1:$N$21</definedName>
    <definedName name="_xlnm.Print_Area" localSheetId="20">教育学院!$A$1:$F$30</definedName>
    <definedName name="_xlnm.Print_Area" localSheetId="19">考试中心!$A$1:$H$23</definedName>
    <definedName name="_xlnm.Print_Area" localSheetId="45">扩班设备!$A$1:$J$431</definedName>
    <definedName name="_xlnm.Print_Area" localSheetId="26">马桥维修!$A$1:$J$38</definedName>
    <definedName name="_xlnm.Print_Area" localSheetId="39">马桥镇设备!$A$1:$N$28</definedName>
    <definedName name="_xlnm.Print_Area" localSheetId="25">梅陇维修!$A$1:$J$44</definedName>
    <definedName name="_xlnm.Print_Area" localSheetId="38">梅陇镇设备!$A$1:$N$33</definedName>
    <definedName name="_xlnm.Print_Area" localSheetId="24">浦江维修!$A$1:$J$90</definedName>
    <definedName name="_xlnm.Print_Area" localSheetId="37">浦江镇设备!$A$1:$N$43</definedName>
    <definedName name="_xlnm.Print_Area" localSheetId="18">普教二科!$A$1:$H$78</definedName>
    <definedName name="_xlnm.Print_Area" localSheetId="17">普教一科!$A$1:$G$141</definedName>
    <definedName name="_xlnm.Print_Area" localSheetId="23">七宝维修!$A$1:$J$49</definedName>
    <definedName name="_xlnm.Print_Area" localSheetId="36">七宝镇设备!$A$1:$O$94</definedName>
    <definedName name="_xlnm.Print_Area" localSheetId="21">莘庄维修!$A$1:$J$41</definedName>
    <definedName name="_xlnm.Print_Area" localSheetId="34">莘庄镇设备!$A$1:$N$12</definedName>
    <definedName name="_xlnm.Print_Area" localSheetId="44">维修新增!$A$1:$K$106</definedName>
    <definedName name="_xlnm.Print_Area" localSheetId="31">尾款!#REF!</definedName>
    <definedName name="_xlnm.Print_Area" localSheetId="22">吴泾维修!$A$1:$J$51</definedName>
    <definedName name="_xlnm.Print_Area" localSheetId="35">吴泾镇设备!$A$1:$N$20</definedName>
    <definedName name="_xlnm.Print_Area" localSheetId="16">学前科!$A$1:$H$160</definedName>
    <definedName name="_xlnm.Print_Area" localSheetId="28">颛桥维修!$A$1:$J$79</definedName>
    <definedName name="_xlnm.Print_Area" localSheetId="41">颛桥镇设备!$A$1:$N$42</definedName>
    <definedName name="_xlnm.Print_Titles" localSheetId="29">虹桥维修!$1:$2</definedName>
    <definedName name="_xlnm.Print_Titles" localSheetId="19">考试中心!$1:$2</definedName>
    <definedName name="_xlnm.Print_Titles" localSheetId="45">扩班设备!$1:$2</definedName>
    <definedName name="_xlnm.Print_Titles" localSheetId="32">理化实验室信息化部分!$1:$2</definedName>
    <definedName name="_xlnm.Print_Titles" localSheetId="26">马桥维修!$1:$2</definedName>
    <definedName name="_xlnm.Print_Titles" localSheetId="38">梅陇镇设备!$1:$2</definedName>
    <definedName name="_xlnm.Print_Titles" localSheetId="24">浦江维修!$1:$2</definedName>
    <definedName name="_xlnm.Print_Titles" localSheetId="37">浦江镇设备!$1:$2</definedName>
    <definedName name="_xlnm.Print_Titles" localSheetId="18">普教二科!$1:$2</definedName>
    <definedName name="_xlnm.Print_Titles" localSheetId="17">普教一科!$1:$2</definedName>
    <definedName name="_xlnm.Print_Titles" localSheetId="23">七宝维修!$1:$2</definedName>
    <definedName name="_xlnm.Print_Titles" localSheetId="36">七宝镇设备!$1:$2</definedName>
    <definedName name="_xlnm.Print_Titles" localSheetId="21">莘庄维修!$1:$2</definedName>
    <definedName name="_xlnm.Print_Titles" localSheetId="44">维修新增!$1:$2</definedName>
    <definedName name="_xlnm.Print_Titles" localSheetId="31">尾款!#REF!</definedName>
    <definedName name="_xlnm.Print_Titles" localSheetId="22">吴泾维修!$1:$2</definedName>
    <definedName name="_xlnm.Print_Titles" localSheetId="16">学前科!$1:$2</definedName>
    <definedName name="_xlnm.Print_Titles" localSheetId="28">颛桥维修!$1:$2</definedName>
    <definedName name="_xlnm.Print_Titles" localSheetId="41">颛桥镇设备!$1:$2</definedName>
  </definedNames>
  <calcPr calcId="145621"/>
</workbook>
</file>

<file path=xl/calcChain.xml><?xml version="1.0" encoding="utf-8"?>
<calcChain xmlns="http://schemas.openxmlformats.org/spreadsheetml/2006/main">
  <c r="H23" i="94" l="1"/>
  <c r="G23" i="94"/>
  <c r="F23" i="94"/>
  <c r="E23" i="94"/>
  <c r="D23" i="94"/>
  <c r="I22" i="94"/>
  <c r="J22" i="94" s="1"/>
  <c r="I21" i="94"/>
  <c r="J21" i="94" s="1"/>
  <c r="I20" i="94"/>
  <c r="J20" i="94" s="1"/>
  <c r="I19" i="94"/>
  <c r="J19" i="94" s="1"/>
  <c r="I18" i="94"/>
  <c r="J18" i="94" s="1"/>
  <c r="J17" i="94"/>
  <c r="I17" i="94"/>
  <c r="I16" i="94"/>
  <c r="J16" i="94" s="1"/>
  <c r="I15" i="94"/>
  <c r="J15" i="94" s="1"/>
  <c r="I14" i="94"/>
  <c r="J14" i="94" s="1"/>
  <c r="I13" i="94"/>
  <c r="J13" i="94" s="1"/>
  <c r="I12" i="94"/>
  <c r="J12" i="94" s="1"/>
  <c r="I11" i="94"/>
  <c r="J11" i="94" s="1"/>
  <c r="I10" i="94"/>
  <c r="J10" i="94" s="1"/>
  <c r="I9" i="94"/>
  <c r="J9" i="94" s="1"/>
  <c r="I8" i="94"/>
  <c r="J8" i="94" s="1"/>
  <c r="I7" i="94"/>
  <c r="J7" i="94" s="1"/>
  <c r="I6" i="94"/>
  <c r="J6" i="94" s="1"/>
  <c r="I5" i="94"/>
  <c r="J5" i="94" s="1"/>
  <c r="I4" i="94"/>
  <c r="J4" i="94" s="1"/>
  <c r="J23" i="94" l="1"/>
  <c r="C4" i="93" s="1"/>
  <c r="I23" i="94"/>
  <c r="C5" i="93" l="1"/>
  <c r="I3" i="64" l="1"/>
  <c r="I4" i="64"/>
  <c r="I5" i="64"/>
  <c r="I8" i="64" s="1"/>
  <c r="I6" i="64"/>
  <c r="I7" i="64"/>
  <c r="I9" i="64"/>
  <c r="I10" i="64"/>
  <c r="I11" i="64"/>
  <c r="I12" i="64"/>
  <c r="I13" i="64"/>
  <c r="I14" i="64"/>
  <c r="I15" i="64"/>
  <c r="I16" i="64"/>
  <c r="I17" i="64"/>
  <c r="I18" i="64"/>
  <c r="I19" i="64"/>
  <c r="I20" i="64"/>
  <c r="I21" i="64"/>
  <c r="I23" i="64"/>
  <c r="I37" i="64" s="1"/>
  <c r="I24" i="64"/>
  <c r="I25" i="64"/>
  <c r="I26" i="64"/>
  <c r="I27" i="64"/>
  <c r="I28" i="64"/>
  <c r="I29" i="64"/>
  <c r="I30" i="64"/>
  <c r="I31" i="64"/>
  <c r="I32" i="64"/>
  <c r="I33" i="64"/>
  <c r="I34" i="64"/>
  <c r="I35" i="64"/>
  <c r="I36" i="64"/>
  <c r="I39" i="64"/>
  <c r="I40" i="64"/>
  <c r="I41" i="64"/>
  <c r="I42" i="64"/>
  <c r="I43" i="64"/>
  <c r="I45" i="64"/>
  <c r="I46" i="64"/>
  <c r="I47" i="64"/>
  <c r="I48" i="64"/>
  <c r="I49" i="64"/>
  <c r="I50" i="64"/>
  <c r="I51" i="64"/>
  <c r="I52" i="64"/>
  <c r="I53" i="64"/>
  <c r="I54" i="64"/>
  <c r="I56" i="64"/>
  <c r="I57" i="64"/>
  <c r="I58" i="64"/>
  <c r="I59" i="64"/>
  <c r="I60" i="64"/>
  <c r="I62" i="64"/>
  <c r="I63" i="64"/>
  <c r="I64" i="64"/>
  <c r="I65" i="64"/>
  <c r="I66" i="64"/>
  <c r="I68" i="64"/>
  <c r="I69" i="64"/>
  <c r="I70" i="64"/>
  <c r="I71" i="64"/>
  <c r="I72" i="64"/>
  <c r="I74" i="64"/>
  <c r="I75" i="64"/>
  <c r="I76" i="64"/>
  <c r="I77" i="64"/>
  <c r="I78" i="64"/>
  <c r="I80" i="64"/>
  <c r="I81" i="64"/>
  <c r="I82" i="64"/>
  <c r="I83" i="64"/>
  <c r="I84" i="64"/>
  <c r="I85" i="64"/>
  <c r="I86" i="64"/>
  <c r="I87" i="64"/>
  <c r="I88" i="64"/>
  <c r="I89" i="64"/>
  <c r="I90" i="64"/>
  <c r="I91" i="64"/>
  <c r="I92" i="64"/>
  <c r="I93" i="64"/>
  <c r="I94" i="64"/>
  <c r="I95" i="64"/>
  <c r="I98" i="64"/>
  <c r="I99" i="64"/>
  <c r="I100" i="64"/>
  <c r="I101" i="64"/>
  <c r="I102" i="64"/>
  <c r="I103" i="64"/>
  <c r="I104" i="64"/>
  <c r="I105" i="64"/>
  <c r="I107" i="64"/>
  <c r="I108" i="64"/>
  <c r="I109" i="64"/>
  <c r="I110" i="64"/>
  <c r="I111" i="64"/>
  <c r="I113" i="64"/>
  <c r="I114" i="64"/>
  <c r="I115" i="64"/>
  <c r="I116" i="64"/>
  <c r="I117" i="64"/>
  <c r="I119" i="64"/>
  <c r="I120" i="64"/>
  <c r="I121" i="64"/>
  <c r="I122" i="64"/>
  <c r="I123" i="64"/>
  <c r="I125" i="64"/>
  <c r="I126" i="64"/>
  <c r="I127" i="64"/>
  <c r="I128" i="64"/>
  <c r="I129" i="64"/>
  <c r="I131" i="64"/>
  <c r="I132" i="64"/>
  <c r="I133" i="64"/>
  <c r="I134" i="64"/>
  <c r="I135" i="64"/>
  <c r="I136" i="64"/>
  <c r="I137" i="64"/>
  <c r="I138" i="64"/>
  <c r="I139" i="64"/>
  <c r="I140" i="64"/>
  <c r="I141" i="64"/>
  <c r="I143" i="64"/>
  <c r="I144" i="64"/>
  <c r="I145" i="64"/>
  <c r="I146" i="64"/>
  <c r="I147" i="64"/>
  <c r="I148" i="64"/>
  <c r="I149" i="64"/>
  <c r="I150" i="64"/>
  <c r="I151" i="64"/>
  <c r="I152" i="64"/>
  <c r="I153" i="64"/>
  <c r="I154" i="64"/>
  <c r="I155" i="64"/>
  <c r="I156" i="64"/>
  <c r="I157" i="64"/>
  <c r="I160" i="64"/>
  <c r="I161" i="64"/>
  <c r="I162" i="64"/>
  <c r="I163" i="64"/>
  <c r="I164" i="64"/>
  <c r="I165" i="64"/>
  <c r="I166" i="64"/>
  <c r="I167" i="64"/>
  <c r="I169" i="64"/>
  <c r="I170" i="64"/>
  <c r="I171" i="64"/>
  <c r="I172" i="64"/>
  <c r="I173" i="64"/>
  <c r="I175" i="64"/>
  <c r="I176" i="64"/>
  <c r="I177" i="64"/>
  <c r="I179" i="64"/>
  <c r="I180" i="64"/>
  <c r="I181" i="64"/>
  <c r="I182" i="64"/>
  <c r="I184" i="64"/>
  <c r="I185" i="64"/>
  <c r="I186" i="64"/>
  <c r="I187" i="64"/>
  <c r="I188" i="64"/>
  <c r="I189" i="64"/>
  <c r="I190" i="64"/>
  <c r="I191" i="64"/>
  <c r="I192" i="64"/>
  <c r="I193" i="64"/>
  <c r="I194" i="64"/>
  <c r="I195" i="64"/>
  <c r="I196" i="64"/>
  <c r="I197" i="64"/>
  <c r="I199" i="64"/>
  <c r="I200" i="64"/>
  <c r="I201" i="64"/>
  <c r="I202" i="64"/>
  <c r="I203" i="64"/>
  <c r="I204" i="64"/>
  <c r="I205" i="64"/>
  <c r="I206" i="64"/>
  <c r="I207" i="64"/>
  <c r="I208" i="64"/>
  <c r="I209" i="64"/>
  <c r="I210" i="64"/>
  <c r="I211" i="64"/>
  <c r="I212" i="64"/>
  <c r="I213" i="64"/>
  <c r="I214" i="64"/>
  <c r="I217" i="64"/>
  <c r="I218" i="64"/>
  <c r="I219" i="64"/>
  <c r="I220" i="64"/>
  <c r="I221" i="64"/>
  <c r="I223" i="64"/>
  <c r="I224" i="64"/>
  <c r="I225" i="64"/>
  <c r="I226" i="64"/>
  <c r="I227" i="64"/>
  <c r="I229" i="64"/>
  <c r="I230" i="64"/>
  <c r="I231" i="64"/>
  <c r="I232" i="64"/>
  <c r="I233" i="64"/>
  <c r="I235" i="64"/>
  <c r="I236" i="64"/>
  <c r="I237" i="64"/>
  <c r="I238" i="64"/>
  <c r="I239" i="64"/>
  <c r="I241" i="64"/>
  <c r="I242" i="64"/>
  <c r="I243" i="64"/>
  <c r="I244" i="64"/>
  <c r="I245" i="64"/>
  <c r="I246" i="64"/>
  <c r="I247" i="64"/>
  <c r="I248" i="64"/>
  <c r="I250" i="64"/>
  <c r="I251" i="64"/>
  <c r="I252" i="64"/>
  <c r="I253" i="64"/>
  <c r="I254" i="64"/>
  <c r="I255" i="64"/>
  <c r="I256" i="64"/>
  <c r="I257" i="64"/>
  <c r="I259" i="64"/>
  <c r="I260" i="64"/>
  <c r="I261" i="64"/>
  <c r="I262" i="64"/>
  <c r="I263" i="64"/>
  <c r="I265" i="64"/>
  <c r="I266" i="64"/>
  <c r="I267" i="64"/>
  <c r="I268" i="64"/>
  <c r="I269" i="64"/>
  <c r="I270" i="64"/>
  <c r="I271" i="64"/>
  <c r="I272" i="64"/>
  <c r="I273" i="64"/>
  <c r="I274" i="64"/>
  <c r="I275" i="64"/>
  <c r="I276" i="64"/>
  <c r="I277" i="64"/>
  <c r="I279" i="64"/>
  <c r="I280" i="64"/>
  <c r="I281" i="64"/>
  <c r="I282" i="64"/>
  <c r="I283" i="64"/>
  <c r="I284" i="64"/>
  <c r="I285" i="64"/>
  <c r="I286" i="64"/>
  <c r="I287" i="64"/>
  <c r="I288" i="64"/>
  <c r="I289" i="64"/>
  <c r="I290" i="64"/>
  <c r="I291" i="64"/>
  <c r="I292" i="64"/>
  <c r="I293" i="64"/>
  <c r="I294" i="64"/>
  <c r="I296" i="64"/>
  <c r="I297" i="64"/>
  <c r="I298" i="64"/>
  <c r="I299" i="64"/>
  <c r="I300" i="64"/>
  <c r="I301" i="64"/>
  <c r="I302" i="64"/>
  <c r="I303" i="64"/>
  <c r="I304" i="64"/>
  <c r="I305" i="64"/>
  <c r="I306" i="64"/>
  <c r="I307" i="64"/>
  <c r="I308" i="64"/>
  <c r="I309" i="64"/>
  <c r="I310" i="64"/>
  <c r="I311" i="64"/>
  <c r="I313" i="64"/>
  <c r="I314" i="64"/>
  <c r="I315" i="64"/>
  <c r="I316" i="64"/>
  <c r="I317" i="64"/>
  <c r="I318" i="64"/>
  <c r="I319" i="64"/>
  <c r="I320" i="64"/>
  <c r="I321" i="64"/>
  <c r="I322" i="64"/>
  <c r="I323" i="64"/>
  <c r="I324" i="64"/>
  <c r="I325" i="64"/>
  <c r="I326" i="64"/>
  <c r="I329" i="64"/>
  <c r="I330" i="64"/>
  <c r="I331" i="64"/>
  <c r="I332" i="64"/>
  <c r="I333" i="64"/>
  <c r="I334" i="64"/>
  <c r="I335" i="64"/>
  <c r="I336" i="64"/>
  <c r="I338" i="64"/>
  <c r="I339" i="64"/>
  <c r="I340" i="64"/>
  <c r="I341" i="64"/>
  <c r="I342" i="64"/>
  <c r="I344" i="64"/>
  <c r="I345" i="64"/>
  <c r="I346" i="64"/>
  <c r="I347" i="64"/>
  <c r="I348" i="64"/>
  <c r="I349" i="64"/>
  <c r="I350" i="64"/>
  <c r="I351" i="64"/>
  <c r="I352" i="64"/>
  <c r="I353" i="64"/>
  <c r="I354" i="64"/>
  <c r="I355" i="64"/>
  <c r="I356" i="64"/>
  <c r="I357" i="64"/>
  <c r="I358" i="64"/>
  <c r="I359" i="64"/>
  <c r="I362" i="64"/>
  <c r="I363" i="64"/>
  <c r="I364" i="64"/>
  <c r="I365" i="64"/>
  <c r="I366" i="64"/>
  <c r="I367" i="64"/>
  <c r="I368" i="64"/>
  <c r="I369" i="64"/>
  <c r="I371" i="64"/>
  <c r="I372" i="64"/>
  <c r="I373" i="64"/>
  <c r="I374" i="64"/>
  <c r="I375" i="64"/>
  <c r="I376" i="64"/>
  <c r="I377" i="64"/>
  <c r="I378" i="64"/>
  <c r="I379" i="64"/>
  <c r="I380" i="64"/>
  <c r="I381" i="64"/>
  <c r="I382" i="64"/>
  <c r="I383" i="64"/>
  <c r="I384" i="64"/>
  <c r="I385" i="64"/>
  <c r="I386" i="64"/>
  <c r="I387" i="64"/>
  <c r="I389" i="64"/>
  <c r="I390" i="64"/>
  <c r="I405" i="64" s="1"/>
  <c r="I391" i="64"/>
  <c r="I392" i="64"/>
  <c r="I393" i="64"/>
  <c r="I394" i="64"/>
  <c r="I395" i="64"/>
  <c r="I396" i="64"/>
  <c r="I397" i="64"/>
  <c r="I398" i="64"/>
  <c r="I399" i="64"/>
  <c r="I400" i="64"/>
  <c r="I401" i="64"/>
  <c r="I402" i="64"/>
  <c r="I403" i="64"/>
  <c r="I404" i="64"/>
  <c r="I407" i="64"/>
  <c r="I408" i="64"/>
  <c r="I409" i="64"/>
  <c r="I410" i="64"/>
  <c r="I413" i="64"/>
  <c r="I414" i="64"/>
  <c r="I415" i="64"/>
  <c r="I416" i="64"/>
  <c r="I417" i="64"/>
  <c r="I418" i="64"/>
  <c r="I419" i="64"/>
  <c r="I420" i="64"/>
  <c r="I421" i="64"/>
  <c r="I422" i="64"/>
  <c r="I423" i="64"/>
  <c r="I424" i="64"/>
  <c r="I425" i="64"/>
  <c r="I426" i="64"/>
  <c r="I427" i="64"/>
  <c r="I428" i="64"/>
  <c r="I178" i="64" l="1"/>
  <c r="I370" i="64"/>
  <c r="I240" i="64"/>
  <c r="I360" i="64"/>
  <c r="I264" i="64"/>
  <c r="I124" i="64"/>
  <c r="I61" i="64"/>
  <c r="I388" i="64"/>
  <c r="I312" i="64"/>
  <c r="I228" i="64"/>
  <c r="I96" i="64"/>
  <c r="I97" i="64" s="1"/>
  <c r="I44" i="64"/>
  <c r="I429" i="64"/>
  <c r="I430" i="64" s="1"/>
  <c r="I73" i="64"/>
  <c r="I411" i="64"/>
  <c r="I412" i="64" s="1"/>
  <c r="I343" i="64"/>
  <c r="I327" i="64"/>
  <c r="I174" i="64"/>
  <c r="I337" i="64"/>
  <c r="I234" i="64"/>
  <c r="I183" i="64"/>
  <c r="I168" i="64"/>
  <c r="I130" i="64"/>
  <c r="I67" i="64"/>
  <c r="I55" i="64"/>
  <c r="I278" i="64"/>
  <c r="I258" i="64"/>
  <c r="I222" i="64"/>
  <c r="I158" i="64"/>
  <c r="I249" i="64"/>
  <c r="I215" i="64"/>
  <c r="I216" i="64" s="1"/>
  <c r="I142" i="64"/>
  <c r="I118" i="64"/>
  <c r="I22" i="64"/>
  <c r="I38" i="64" s="1"/>
  <c r="I406" i="64"/>
  <c r="I295" i="64"/>
  <c r="I328" i="64" s="1"/>
  <c r="I198" i="64"/>
  <c r="I112" i="64"/>
  <c r="I106" i="64"/>
  <c r="I79" i="64"/>
  <c r="I361" i="64" l="1"/>
  <c r="I159" i="64"/>
  <c r="I431" i="64" s="1"/>
  <c r="I6" i="62" l="1"/>
  <c r="J6" i="62"/>
  <c r="K6" i="62"/>
  <c r="J101" i="63"/>
  <c r="J100" i="63"/>
  <c r="J99" i="63"/>
  <c r="J98" i="63"/>
  <c r="J97" i="63"/>
  <c r="J96" i="63"/>
  <c r="J95" i="63"/>
  <c r="J94" i="63"/>
  <c r="J93" i="63"/>
  <c r="J92" i="63"/>
  <c r="J91" i="63"/>
  <c r="J90" i="63"/>
  <c r="J89" i="63"/>
  <c r="J88" i="63"/>
  <c r="J87" i="63"/>
  <c r="J86" i="63"/>
  <c r="J85" i="63"/>
  <c r="I84" i="63"/>
  <c r="J84" i="63" s="1"/>
  <c r="J83" i="63"/>
  <c r="J82" i="63"/>
  <c r="J81" i="63"/>
  <c r="J80" i="63"/>
  <c r="J79" i="63"/>
  <c r="J78" i="63"/>
  <c r="J77" i="63"/>
  <c r="J76" i="63"/>
  <c r="J75" i="63"/>
  <c r="J74" i="63"/>
  <c r="J73" i="63"/>
  <c r="J72" i="63"/>
  <c r="J71" i="63"/>
  <c r="J70" i="63"/>
  <c r="J69" i="63"/>
  <c r="J68" i="63"/>
  <c r="J67" i="63"/>
  <c r="J66" i="63"/>
  <c r="J65" i="63"/>
  <c r="J64" i="63"/>
  <c r="J63" i="63"/>
  <c r="J62" i="63"/>
  <c r="J61" i="63"/>
  <c r="J60" i="63"/>
  <c r="J59" i="63"/>
  <c r="J58" i="63"/>
  <c r="J57" i="63"/>
  <c r="J56" i="63"/>
  <c r="J55" i="63"/>
  <c r="J54" i="63"/>
  <c r="J53" i="63"/>
  <c r="J52" i="63"/>
  <c r="J51" i="63"/>
  <c r="J50" i="63"/>
  <c r="J49" i="63"/>
  <c r="J48" i="63"/>
  <c r="J47" i="63"/>
  <c r="J42" i="63"/>
  <c r="J41" i="63"/>
  <c r="J40" i="63"/>
  <c r="J39" i="63"/>
  <c r="J38" i="63"/>
  <c r="J37" i="63"/>
  <c r="J36" i="63"/>
  <c r="J35" i="63"/>
  <c r="J34" i="63"/>
  <c r="J43" i="63" s="1"/>
  <c r="J29" i="63"/>
  <c r="J30" i="63" s="1"/>
  <c r="J31" i="63" s="1"/>
  <c r="J28" i="63"/>
  <c r="J23" i="63"/>
  <c r="J24" i="63" s="1"/>
  <c r="J21" i="63"/>
  <c r="J17" i="63"/>
  <c r="J16" i="63"/>
  <c r="J15" i="63"/>
  <c r="J14" i="63"/>
  <c r="J13" i="63"/>
  <c r="J12" i="63"/>
  <c r="J11" i="63"/>
  <c r="J18" i="63" s="1"/>
  <c r="J6" i="63"/>
  <c r="J5" i="63"/>
  <c r="J4" i="63"/>
  <c r="J3" i="63"/>
  <c r="I3" i="61"/>
  <c r="G418" i="53"/>
  <c r="G417" i="53"/>
  <c r="G416" i="53"/>
  <c r="G415" i="53"/>
  <c r="G412" i="53"/>
  <c r="G411" i="53"/>
  <c r="G410" i="53"/>
  <c r="G409" i="53"/>
  <c r="G408" i="53"/>
  <c r="G407" i="53"/>
  <c r="G404" i="53"/>
  <c r="G403" i="53"/>
  <c r="G402" i="53"/>
  <c r="G399" i="53"/>
  <c r="G400" i="53" s="1"/>
  <c r="G396" i="53"/>
  <c r="G397" i="53" s="1"/>
  <c r="G393" i="53"/>
  <c r="G394" i="53" s="1"/>
  <c r="G390" i="53"/>
  <c r="G391" i="53" s="1"/>
  <c r="G387" i="53"/>
  <c r="G386" i="53"/>
  <c r="G385" i="53"/>
  <c r="G384" i="53"/>
  <c r="G388" i="53" s="1"/>
  <c r="G383" i="53"/>
  <c r="G382" i="53"/>
  <c r="G379" i="53"/>
  <c r="G378" i="53"/>
  <c r="G377" i="53"/>
  <c r="G380" i="53" s="1"/>
  <c r="G374" i="53"/>
  <c r="G373" i="53"/>
  <c r="G375" i="53" s="1"/>
  <c r="G370" i="53"/>
  <c r="G371" i="53" s="1"/>
  <c r="G367" i="53"/>
  <c r="G366" i="53"/>
  <c r="G365" i="53"/>
  <c r="G362" i="53"/>
  <c r="G361" i="53"/>
  <c r="G360" i="53"/>
  <c r="G363" i="53" s="1"/>
  <c r="G357" i="53"/>
  <c r="G356" i="53"/>
  <c r="G355" i="53"/>
  <c r="G354" i="53"/>
  <c r="G353" i="53"/>
  <c r="G350" i="53"/>
  <c r="G349" i="53"/>
  <c r="G348" i="53"/>
  <c r="G347" i="53"/>
  <c r="G346" i="53"/>
  <c r="G343" i="53"/>
  <c r="G342" i="53"/>
  <c r="G341" i="53"/>
  <c r="G340" i="53"/>
  <c r="G337" i="53"/>
  <c r="G336" i="53"/>
  <c r="G335" i="53"/>
  <c r="G334" i="53"/>
  <c r="G333" i="53"/>
  <c r="G332" i="53"/>
  <c r="G331" i="53"/>
  <c r="G338" i="53" s="1"/>
  <c r="G328" i="53"/>
  <c r="G327" i="53"/>
  <c r="G326" i="53"/>
  <c r="G325" i="53"/>
  <c r="G329" i="53" s="1"/>
  <c r="G324" i="53"/>
  <c r="G319" i="53"/>
  <c r="G318" i="53"/>
  <c r="G317" i="53"/>
  <c r="G320" i="53" s="1"/>
  <c r="G314" i="53"/>
  <c r="G313" i="53"/>
  <c r="G312" i="53"/>
  <c r="G311" i="53"/>
  <c r="G308" i="53"/>
  <c r="G307" i="53"/>
  <c r="G306" i="53"/>
  <c r="G305" i="53"/>
  <c r="G304" i="53"/>
  <c r="G301" i="53"/>
  <c r="G302" i="53" s="1"/>
  <c r="G299" i="53"/>
  <c r="G298" i="53"/>
  <c r="G295" i="53"/>
  <c r="G296" i="53" s="1"/>
  <c r="G292" i="53"/>
  <c r="G291" i="53"/>
  <c r="G290" i="53"/>
  <c r="G289" i="53"/>
  <c r="G288" i="53"/>
  <c r="G287" i="53"/>
  <c r="G286" i="53"/>
  <c r="G285" i="53"/>
  <c r="G284" i="53"/>
  <c r="G283" i="53"/>
  <c r="G282" i="53"/>
  <c r="G277" i="53"/>
  <c r="G276" i="53"/>
  <c r="G275" i="53"/>
  <c r="G274" i="53"/>
  <c r="G264" i="53"/>
  <c r="G263" i="53"/>
  <c r="G262" i="53"/>
  <c r="G261" i="53"/>
  <c r="G258" i="53"/>
  <c r="G257" i="53"/>
  <c r="G256" i="53"/>
  <c r="G255" i="53"/>
  <c r="G254" i="53"/>
  <c r="G251" i="53"/>
  <c r="G250" i="53"/>
  <c r="G252" i="53" s="1"/>
  <c r="G249" i="53"/>
  <c r="G246" i="53"/>
  <c r="G247" i="53" s="1"/>
  <c r="G244" i="53"/>
  <c r="G243" i="53"/>
  <c r="G241" i="53"/>
  <c r="G238" i="53"/>
  <c r="G237" i="53"/>
  <c r="G234" i="53"/>
  <c r="G233" i="53"/>
  <c r="G232" i="53"/>
  <c r="G231" i="53"/>
  <c r="G230" i="53"/>
  <c r="G229" i="53"/>
  <c r="G226" i="53"/>
  <c r="G225" i="53"/>
  <c r="G224" i="53"/>
  <c r="G221" i="53"/>
  <c r="G220" i="53"/>
  <c r="G222" i="53" s="1"/>
  <c r="G218" i="53"/>
  <c r="G217" i="53"/>
  <c r="G214" i="53"/>
  <c r="G213" i="53"/>
  <c r="G212" i="53"/>
  <c r="G211" i="53"/>
  <c r="G208" i="53"/>
  <c r="G207" i="53"/>
  <c r="G206" i="53"/>
  <c r="G205" i="53"/>
  <c r="G202" i="53"/>
  <c r="G201" i="53"/>
  <c r="G200" i="53"/>
  <c r="G199" i="53"/>
  <c r="G198" i="53"/>
  <c r="G195" i="53"/>
  <c r="G194" i="53"/>
  <c r="G193" i="53"/>
  <c r="G192" i="53"/>
  <c r="G191" i="53"/>
  <c r="G196" i="53" s="1"/>
  <c r="G188" i="53"/>
  <c r="G187" i="53"/>
  <c r="G186" i="53"/>
  <c r="G185" i="53"/>
  <c r="G189" i="53" s="1"/>
  <c r="G182" i="53"/>
  <c r="G181" i="53"/>
  <c r="G180" i="53"/>
  <c r="G179" i="53"/>
  <c r="G178" i="53"/>
  <c r="G177" i="53"/>
  <c r="G176" i="53"/>
  <c r="G173" i="53"/>
  <c r="G172" i="53"/>
  <c r="G171" i="53"/>
  <c r="G170" i="53"/>
  <c r="G169" i="53"/>
  <c r="G164" i="53"/>
  <c r="G163" i="53"/>
  <c r="G162" i="53"/>
  <c r="G161" i="53"/>
  <c r="G165" i="53" s="1"/>
  <c r="G158" i="53"/>
  <c r="G157" i="53"/>
  <c r="G156" i="53"/>
  <c r="G155" i="53"/>
  <c r="G159" i="53" s="1"/>
  <c r="G154" i="53"/>
  <c r="G151" i="53"/>
  <c r="G150" i="53"/>
  <c r="G149" i="53"/>
  <c r="G148" i="53"/>
  <c r="G147" i="53"/>
  <c r="G144" i="53"/>
  <c r="G145" i="53" s="1"/>
  <c r="G141" i="53"/>
  <c r="G142" i="53" s="1"/>
  <c r="G138" i="53"/>
  <c r="G137" i="53"/>
  <c r="G139" i="53" s="1"/>
  <c r="G134" i="53"/>
  <c r="G133" i="53"/>
  <c r="G132" i="53"/>
  <c r="G131" i="53"/>
  <c r="G130" i="53"/>
  <c r="G129" i="53"/>
  <c r="G128" i="53"/>
  <c r="G127" i="53"/>
  <c r="G126" i="53"/>
  <c r="G125" i="53"/>
  <c r="G124" i="53"/>
  <c r="G123" i="53"/>
  <c r="G135" i="53" s="1"/>
  <c r="G118" i="53"/>
  <c r="G117" i="53"/>
  <c r="G116" i="53"/>
  <c r="G115" i="53"/>
  <c r="G119" i="53" s="1"/>
  <c r="G212" i="55"/>
  <c r="G211" i="55"/>
  <c r="G210" i="55"/>
  <c r="G209" i="55"/>
  <c r="G206" i="55"/>
  <c r="G205" i="55"/>
  <c r="G204" i="55"/>
  <c r="G203" i="55"/>
  <c r="G207" i="55" s="1"/>
  <c r="G202" i="55"/>
  <c r="G201" i="55"/>
  <c r="G200" i="55"/>
  <c r="G198" i="55"/>
  <c r="G197" i="55"/>
  <c r="G194" i="55"/>
  <c r="G193" i="55"/>
  <c r="G192" i="55"/>
  <c r="G195" i="55" s="1"/>
  <c r="G189" i="55"/>
  <c r="G188" i="55"/>
  <c r="G187" i="55"/>
  <c r="G186" i="55"/>
  <c r="G185" i="55"/>
  <c r="G182" i="55"/>
  <c r="G181" i="55"/>
  <c r="G180" i="55"/>
  <c r="G183" i="55" s="1"/>
  <c r="G177" i="55"/>
  <c r="G176" i="55"/>
  <c r="G175" i="55"/>
  <c r="G174" i="55"/>
  <c r="G173" i="55"/>
  <c r="G170" i="55"/>
  <c r="G169" i="55"/>
  <c r="G168" i="55"/>
  <c r="G167" i="55"/>
  <c r="G164" i="55"/>
  <c r="G163" i="55"/>
  <c r="G162" i="55"/>
  <c r="G161" i="55"/>
  <c r="G157" i="55"/>
  <c r="G158" i="55" s="1"/>
  <c r="G154" i="55"/>
  <c r="G155" i="55" s="1"/>
  <c r="G151" i="55"/>
  <c r="G150" i="55"/>
  <c r="G149" i="55"/>
  <c r="G148" i="55"/>
  <c r="G152" i="55" s="1"/>
  <c r="G147" i="55"/>
  <c r="G144" i="55"/>
  <c r="G143" i="55"/>
  <c r="G142" i="55"/>
  <c r="G141" i="55"/>
  <c r="G138" i="55"/>
  <c r="G137" i="55"/>
  <c r="G134" i="55"/>
  <c r="G133" i="55"/>
  <c r="G132" i="55"/>
  <c r="G128" i="55"/>
  <c r="G127" i="55"/>
  <c r="G126" i="55"/>
  <c r="G125" i="55"/>
  <c r="G124" i="55"/>
  <c r="G123" i="55"/>
  <c r="G129" i="55" s="1"/>
  <c r="G120" i="55"/>
  <c r="G119" i="55"/>
  <c r="G118" i="55"/>
  <c r="G117" i="55"/>
  <c r="G121" i="55" s="1"/>
  <c r="G116" i="55"/>
  <c r="G113" i="55"/>
  <c r="G112" i="55"/>
  <c r="G111" i="55"/>
  <c r="G110" i="55"/>
  <c r="G109" i="55"/>
  <c r="G108" i="55"/>
  <c r="G105" i="55"/>
  <c r="G104" i="55"/>
  <c r="G103" i="55"/>
  <c r="G102" i="55"/>
  <c r="G99" i="55"/>
  <c r="G98" i="55"/>
  <c r="G97" i="55"/>
  <c r="G96" i="55"/>
  <c r="G95" i="55"/>
  <c r="G100" i="55" s="1"/>
  <c r="G92" i="55"/>
  <c r="G91" i="55"/>
  <c r="G90" i="55"/>
  <c r="G89" i="55"/>
  <c r="G88" i="55"/>
  <c r="G87" i="55"/>
  <c r="G86" i="55"/>
  <c r="G83" i="55"/>
  <c r="G82" i="55"/>
  <c r="G81" i="55"/>
  <c r="G80" i="55"/>
  <c r="G77" i="55"/>
  <c r="G76" i="55"/>
  <c r="G75" i="55"/>
  <c r="G74" i="55"/>
  <c r="G73" i="55"/>
  <c r="G72" i="55"/>
  <c r="G69" i="55"/>
  <c r="G68" i="55"/>
  <c r="G67" i="55"/>
  <c r="G66" i="55"/>
  <c r="G65" i="55"/>
  <c r="G64" i="55"/>
  <c r="G63" i="55"/>
  <c r="G70" i="55" s="1"/>
  <c r="G62" i="55"/>
  <c r="G61" i="55"/>
  <c r="G58" i="55"/>
  <c r="G59" i="55" s="1"/>
  <c r="G57" i="55"/>
  <c r="G56" i="55"/>
  <c r="G53" i="55"/>
  <c r="G54" i="55" s="1"/>
  <c r="G52" i="55"/>
  <c r="G51" i="55"/>
  <c r="G48" i="55"/>
  <c r="G49" i="55" s="1"/>
  <c r="G47" i="55"/>
  <c r="G46" i="55"/>
  <c r="G42" i="55"/>
  <c r="G43" i="55" s="1"/>
  <c r="G41" i="55"/>
  <c r="K15" i="59"/>
  <c r="G198" i="58"/>
  <c r="G197" i="58"/>
  <c r="G196" i="58"/>
  <c r="G195" i="58"/>
  <c r="G200" i="58" s="1"/>
  <c r="G194" i="58"/>
  <c r="G191" i="58"/>
  <c r="G190" i="58"/>
  <c r="G189" i="58"/>
  <c r="G188" i="58"/>
  <c r="G187" i="58"/>
  <c r="G184" i="58"/>
  <c r="G183" i="58"/>
  <c r="G182" i="58"/>
  <c r="G179" i="58"/>
  <c r="G180" i="58" s="1"/>
  <c r="G176" i="58"/>
  <c r="G177" i="58" s="1"/>
  <c r="G173" i="58"/>
  <c r="G174" i="58" s="1"/>
  <c r="G170" i="58"/>
  <c r="G171" i="58" s="1"/>
  <c r="G167" i="58"/>
  <c r="G166" i="58"/>
  <c r="G165" i="58"/>
  <c r="G164" i="58"/>
  <c r="G163" i="58"/>
  <c r="G162" i="58"/>
  <c r="G159" i="58"/>
  <c r="G158" i="58"/>
  <c r="G160" i="58" s="1"/>
  <c r="G157" i="58"/>
  <c r="G154" i="58"/>
  <c r="G153" i="58"/>
  <c r="G155" i="58" s="1"/>
  <c r="G150" i="58"/>
  <c r="G151" i="58" s="1"/>
  <c r="G147" i="58"/>
  <c r="G146" i="58"/>
  <c r="G145" i="58"/>
  <c r="G144" i="58"/>
  <c r="G141" i="58"/>
  <c r="G140" i="58"/>
  <c r="G139" i="58"/>
  <c r="G138" i="58"/>
  <c r="G135" i="58"/>
  <c r="G134" i="58"/>
  <c r="G133" i="58"/>
  <c r="G132" i="58"/>
  <c r="G131" i="58"/>
  <c r="G128" i="58"/>
  <c r="G127" i="58"/>
  <c r="G126" i="58"/>
  <c r="G125" i="58"/>
  <c r="G124" i="58"/>
  <c r="G121" i="58"/>
  <c r="G120" i="58"/>
  <c r="G119" i="58"/>
  <c r="G118" i="58"/>
  <c r="G122" i="58" s="1"/>
  <c r="G115" i="58"/>
  <c r="G114" i="58"/>
  <c r="G113" i="58"/>
  <c r="G112" i="58"/>
  <c r="G116" i="58" s="1"/>
  <c r="G111" i="58"/>
  <c r="G110" i="58"/>
  <c r="G109" i="58"/>
  <c r="G106" i="58"/>
  <c r="G105" i="58"/>
  <c r="G104" i="58"/>
  <c r="G103" i="58"/>
  <c r="G107" i="58" s="1"/>
  <c r="G102" i="58"/>
  <c r="G97" i="58"/>
  <c r="G96" i="58"/>
  <c r="G95" i="58"/>
  <c r="G94" i="58"/>
  <c r="G91" i="58"/>
  <c r="G90" i="58"/>
  <c r="G89" i="58"/>
  <c r="G88" i="58"/>
  <c r="G87" i="58"/>
  <c r="G84" i="58"/>
  <c r="G83" i="58"/>
  <c r="G82" i="58"/>
  <c r="G81" i="58"/>
  <c r="G80" i="58"/>
  <c r="G77" i="58"/>
  <c r="G78" i="58" s="1"/>
  <c r="G75" i="58"/>
  <c r="G74" i="58"/>
  <c r="G71" i="58"/>
  <c r="G70" i="58"/>
  <c r="G72" i="58" s="1"/>
  <c r="G67" i="58"/>
  <c r="G66" i="58"/>
  <c r="G65" i="58"/>
  <c r="G64" i="58"/>
  <c r="G63" i="58"/>
  <c r="G62" i="58"/>
  <c r="G61" i="58"/>
  <c r="G60" i="58"/>
  <c r="G59" i="58"/>
  <c r="G58" i="58"/>
  <c r="G57" i="58"/>
  <c r="G56" i="58"/>
  <c r="G68" i="58" s="1"/>
  <c r="G51" i="58"/>
  <c r="G50" i="58"/>
  <c r="G49" i="58"/>
  <c r="G48" i="58"/>
  <c r="G52" i="58" s="1"/>
  <c r="G85" i="58" l="1"/>
  <c r="G92" i="58"/>
  <c r="G142" i="58"/>
  <c r="G148" i="58"/>
  <c r="G185" i="58"/>
  <c r="G78" i="55"/>
  <c r="G145" i="55"/>
  <c r="G165" i="55"/>
  <c r="G171" i="55"/>
  <c r="G152" i="53"/>
  <c r="G203" i="53"/>
  <c r="G209" i="53"/>
  <c r="G215" i="53"/>
  <c r="G227" i="53"/>
  <c r="G413" i="53"/>
  <c r="G98" i="58"/>
  <c r="G178" i="55"/>
  <c r="G190" i="55"/>
  <c r="G259" i="53"/>
  <c r="G266" i="53"/>
  <c r="G278" i="53"/>
  <c r="G293" i="53"/>
  <c r="G309" i="53"/>
  <c r="G315" i="53"/>
  <c r="G344" i="53"/>
  <c r="G351" i="53"/>
  <c r="G405" i="53"/>
  <c r="J7" i="63"/>
  <c r="J9" i="63" s="1"/>
  <c r="G168" i="58"/>
  <c r="G84" i="55"/>
  <c r="G93" i="55"/>
  <c r="G106" i="55"/>
  <c r="G368" i="53"/>
  <c r="G420" i="53"/>
  <c r="G129" i="58"/>
  <c r="G136" i="58"/>
  <c r="G192" i="58"/>
  <c r="G114" i="55"/>
  <c r="G135" i="55"/>
  <c r="G139" i="55"/>
  <c r="G174" i="53"/>
  <c r="G183" i="53"/>
  <c r="G235" i="53"/>
  <c r="G358" i="53"/>
  <c r="J8" i="63"/>
  <c r="J19" i="63"/>
  <c r="J20" i="63" s="1"/>
  <c r="J22" i="63" s="1"/>
  <c r="K11" i="63" s="1"/>
  <c r="J25" i="63"/>
  <c r="J45" i="63"/>
  <c r="J46" i="63" s="1"/>
  <c r="K34" i="63" s="1"/>
  <c r="J44" i="63"/>
  <c r="J102" i="63"/>
  <c r="J32" i="63"/>
  <c r="J33" i="63" s="1"/>
  <c r="K28" i="63" s="1"/>
  <c r="G421" i="53"/>
  <c r="G422" i="53" s="1"/>
  <c r="G267" i="53"/>
  <c r="G268" i="53" s="1"/>
  <c r="G213" i="55"/>
  <c r="G214" i="55" s="1"/>
  <c r="G201" i="58"/>
  <c r="G202" i="58" s="1"/>
  <c r="J10" i="63" l="1"/>
  <c r="K3" i="63" s="1"/>
  <c r="J103" i="63"/>
  <c r="J26" i="63"/>
  <c r="J27" i="63" s="1"/>
  <c r="K23" i="63" s="1"/>
  <c r="K38" i="58"/>
  <c r="K36" i="58"/>
  <c r="L36" i="58" s="1"/>
  <c r="K23" i="58"/>
  <c r="L23" i="58" s="1"/>
  <c r="K22" i="58"/>
  <c r="L22" i="58" s="1"/>
  <c r="K8" i="58"/>
  <c r="L8" i="58" s="1"/>
  <c r="K6" i="58"/>
  <c r="L6" i="58" s="1"/>
  <c r="K3" i="58"/>
  <c r="L3" i="58" s="1"/>
  <c r="G233" i="56"/>
  <c r="G232" i="56"/>
  <c r="G231" i="56"/>
  <c r="G228" i="56"/>
  <c r="G227" i="56"/>
  <c r="G226" i="56"/>
  <c r="G223" i="56"/>
  <c r="G222" i="56"/>
  <c r="G224" i="56" s="1"/>
  <c r="G219" i="56"/>
  <c r="G218" i="56"/>
  <c r="G217" i="56"/>
  <c r="G216" i="56"/>
  <c r="G213" i="56"/>
  <c r="G212" i="56"/>
  <c r="G211" i="56"/>
  <c r="G210" i="56"/>
  <c r="G209" i="56"/>
  <c r="G208" i="56"/>
  <c r="G205" i="56"/>
  <c r="G204" i="56"/>
  <c r="G203" i="56"/>
  <c r="G202" i="56"/>
  <c r="G201" i="56"/>
  <c r="G198" i="56"/>
  <c r="G197" i="56"/>
  <c r="G196" i="56"/>
  <c r="G195" i="56"/>
  <c r="G194" i="56"/>
  <c r="G193" i="56"/>
  <c r="G192" i="56"/>
  <c r="G191" i="56"/>
  <c r="G190" i="56"/>
  <c r="G189" i="56"/>
  <c r="G188" i="56"/>
  <c r="G187" i="56"/>
  <c r="G184" i="56"/>
  <c r="G183" i="56"/>
  <c r="G182" i="56"/>
  <c r="G181" i="56"/>
  <c r="G180" i="56"/>
  <c r="G176" i="56"/>
  <c r="G175" i="56"/>
  <c r="G174" i="56"/>
  <c r="G173" i="56"/>
  <c r="G172" i="56"/>
  <c r="G171" i="56"/>
  <c r="G170" i="56"/>
  <c r="G169" i="56"/>
  <c r="G168" i="56"/>
  <c r="G177" i="56" s="1"/>
  <c r="G165" i="56"/>
  <c r="G164" i="56"/>
  <c r="G163" i="56"/>
  <c r="G162" i="56"/>
  <c r="G161" i="56"/>
  <c r="G160" i="56"/>
  <c r="G159" i="56"/>
  <c r="G158" i="56"/>
  <c r="G166" i="56" s="1"/>
  <c r="G157" i="56"/>
  <c r="G154" i="56"/>
  <c r="G153" i="56"/>
  <c r="G152" i="56"/>
  <c r="G151" i="56"/>
  <c r="G150" i="56"/>
  <c r="G149" i="56"/>
  <c r="G148" i="56"/>
  <c r="G147" i="56"/>
  <c r="G146" i="56"/>
  <c r="G142" i="56"/>
  <c r="G141" i="56"/>
  <c r="G140" i="56"/>
  <c r="G139" i="56"/>
  <c r="G138" i="56"/>
  <c r="G131" i="56"/>
  <c r="G129" i="56"/>
  <c r="G128" i="56"/>
  <c r="G127" i="56"/>
  <c r="G126" i="56"/>
  <c r="G130" i="56" s="1"/>
  <c r="G125" i="56"/>
  <c r="G122" i="56"/>
  <c r="G118" i="56"/>
  <c r="G117" i="56"/>
  <c r="G116" i="56"/>
  <c r="G115" i="56"/>
  <c r="G111" i="56"/>
  <c r="G112" i="56" s="1"/>
  <c r="G108" i="56"/>
  <c r="G107" i="56"/>
  <c r="G106" i="56"/>
  <c r="G105" i="56"/>
  <c r="G104" i="56"/>
  <c r="G103" i="56"/>
  <c r="G102" i="56"/>
  <c r="G99" i="56"/>
  <c r="G98" i="56"/>
  <c r="G97" i="56"/>
  <c r="G96" i="56"/>
  <c r="G95" i="56"/>
  <c r="G94" i="56"/>
  <c r="G93" i="56"/>
  <c r="G90" i="56"/>
  <c r="G89" i="56"/>
  <c r="G88" i="56"/>
  <c r="G87" i="56"/>
  <c r="G86" i="56"/>
  <c r="G85" i="56"/>
  <c r="G84" i="56"/>
  <c r="G81" i="56"/>
  <c r="G80" i="56"/>
  <c r="G79" i="56"/>
  <c r="G78" i="56"/>
  <c r="G77" i="56"/>
  <c r="G76" i="56"/>
  <c r="G75" i="56"/>
  <c r="G74" i="56"/>
  <c r="G73" i="56"/>
  <c r="G70" i="56"/>
  <c r="G69" i="56"/>
  <c r="G68" i="56"/>
  <c r="G67" i="56"/>
  <c r="G66" i="56"/>
  <c r="G71" i="56" s="1"/>
  <c r="G63" i="56"/>
  <c r="G62" i="56"/>
  <c r="G61" i="56"/>
  <c r="G60" i="56"/>
  <c r="G59" i="56"/>
  <c r="G58" i="56"/>
  <c r="G57" i="56"/>
  <c r="G56" i="56"/>
  <c r="G64" i="56" s="1"/>
  <c r="G55" i="56"/>
  <c r="G52" i="56"/>
  <c r="G51" i="56"/>
  <c r="G50" i="56"/>
  <c r="G49" i="56"/>
  <c r="G48" i="56"/>
  <c r="G47" i="56"/>
  <c r="G46" i="56"/>
  <c r="G45" i="56"/>
  <c r="G44" i="56"/>
  <c r="G43" i="56"/>
  <c r="G42" i="56"/>
  <c r="G39" i="56"/>
  <c r="G38" i="56"/>
  <c r="G37" i="56"/>
  <c r="G36" i="56"/>
  <c r="G35" i="56"/>
  <c r="G53" i="56" l="1"/>
  <c r="G143" i="56"/>
  <c r="G206" i="56"/>
  <c r="G214" i="56"/>
  <c r="G229" i="56"/>
  <c r="G220" i="56"/>
  <c r="G237" i="56" s="1"/>
  <c r="G155" i="56"/>
  <c r="G185" i="56"/>
  <c r="G199" i="56"/>
  <c r="J104" i="63"/>
  <c r="J105" i="63" s="1"/>
  <c r="G40" i="56"/>
  <c r="G82" i="56"/>
  <c r="G91" i="56"/>
  <c r="G100" i="56"/>
  <c r="G119" i="56"/>
  <c r="G109" i="56"/>
  <c r="K47" i="63" l="1"/>
  <c r="K106" i="63" s="1"/>
  <c r="J106" i="63"/>
  <c r="K22" i="56"/>
  <c r="K10" i="56"/>
  <c r="L10" i="56" s="1"/>
  <c r="K8" i="56"/>
  <c r="L8" i="56" s="1"/>
  <c r="K5" i="56"/>
  <c r="L5" i="56" s="1"/>
  <c r="K3" i="56"/>
  <c r="L3" i="56" s="1"/>
  <c r="K29" i="55" l="1"/>
  <c r="L29" i="55" s="1"/>
  <c r="K27" i="55"/>
  <c r="L27" i="55" s="1"/>
  <c r="K13" i="55"/>
  <c r="L13" i="55" s="1"/>
  <c r="K11" i="55"/>
  <c r="L11" i="55" s="1"/>
  <c r="K7" i="55"/>
  <c r="L7" i="55" s="1"/>
  <c r="K5" i="55"/>
  <c r="L5" i="55" s="1"/>
  <c r="K3" i="55"/>
  <c r="L3" i="55" s="1"/>
  <c r="G165" i="51"/>
  <c r="G164" i="51"/>
  <c r="G163" i="51"/>
  <c r="G162" i="51"/>
  <c r="G167" i="51" s="1"/>
  <c r="G161" i="51"/>
  <c r="G158" i="51"/>
  <c r="G157" i="51"/>
  <c r="G156" i="51"/>
  <c r="G155" i="51"/>
  <c r="G154" i="51"/>
  <c r="G153" i="51"/>
  <c r="G152" i="51"/>
  <c r="G159" i="51" s="1"/>
  <c r="G149" i="51"/>
  <c r="G148" i="51"/>
  <c r="G147" i="51"/>
  <c r="G144" i="51"/>
  <c r="G145" i="51" s="1"/>
  <c r="G141" i="51"/>
  <c r="G142" i="51" s="1"/>
  <c r="G138" i="51"/>
  <c r="G139" i="51" s="1"/>
  <c r="G136" i="51"/>
  <c r="G135" i="51"/>
  <c r="G132" i="51"/>
  <c r="G131" i="51"/>
  <c r="G130" i="51"/>
  <c r="G129" i="51"/>
  <c r="G128" i="51"/>
  <c r="G127" i="51"/>
  <c r="G124" i="51"/>
  <c r="G123" i="51"/>
  <c r="G122" i="51"/>
  <c r="G119" i="51"/>
  <c r="G118" i="51"/>
  <c r="G120" i="51" s="1"/>
  <c r="G115" i="51"/>
  <c r="G116" i="51" s="1"/>
  <c r="G112" i="51"/>
  <c r="G111" i="51"/>
  <c r="G110" i="51"/>
  <c r="G109" i="51"/>
  <c r="G106" i="51"/>
  <c r="G105" i="51"/>
  <c r="G104" i="51"/>
  <c r="G103" i="51"/>
  <c r="G100" i="51"/>
  <c r="G101" i="51" s="1"/>
  <c r="G99" i="51"/>
  <c r="G96" i="51"/>
  <c r="G95" i="51"/>
  <c r="G94" i="51"/>
  <c r="G93" i="51"/>
  <c r="G92" i="51"/>
  <c r="G89" i="51"/>
  <c r="G88" i="51"/>
  <c r="G87" i="51"/>
  <c r="G86" i="51"/>
  <c r="G83" i="51"/>
  <c r="G82" i="51"/>
  <c r="G81" i="51"/>
  <c r="G80" i="51"/>
  <c r="G79" i="51"/>
  <c r="G76" i="51"/>
  <c r="G75" i="51"/>
  <c r="G74" i="51"/>
  <c r="G73" i="51"/>
  <c r="G77" i="51" s="1"/>
  <c r="G68" i="51"/>
  <c r="G67" i="51"/>
  <c r="G66" i="51"/>
  <c r="G65" i="51"/>
  <c r="G69" i="51" s="1"/>
  <c r="G62" i="51"/>
  <c r="G61" i="51"/>
  <c r="G60" i="51"/>
  <c r="G58" i="51"/>
  <c r="G63" i="51" s="1"/>
  <c r="G55" i="51"/>
  <c r="G54" i="51"/>
  <c r="G53" i="51"/>
  <c r="G52" i="51"/>
  <c r="G56" i="51" s="1"/>
  <c r="G51" i="51"/>
  <c r="G48" i="51"/>
  <c r="G49" i="51" s="1"/>
  <c r="G46" i="51"/>
  <c r="G45" i="51"/>
  <c r="G42" i="51"/>
  <c r="G41" i="51"/>
  <c r="G43" i="51" s="1"/>
  <c r="G38" i="51"/>
  <c r="G37" i="51"/>
  <c r="G36" i="51"/>
  <c r="G35" i="51"/>
  <c r="G34" i="51"/>
  <c r="G33" i="51"/>
  <c r="G32" i="51"/>
  <c r="G31" i="51"/>
  <c r="G30" i="51"/>
  <c r="G29" i="51"/>
  <c r="G28" i="51"/>
  <c r="G27" i="51"/>
  <c r="G39" i="51" s="1"/>
  <c r="G22" i="51"/>
  <c r="G21" i="51"/>
  <c r="G20" i="51"/>
  <c r="G19" i="51"/>
  <c r="G23" i="51" l="1"/>
  <c r="G97" i="51"/>
  <c r="G84" i="51"/>
  <c r="G133" i="51"/>
  <c r="G150" i="51"/>
  <c r="G90" i="51"/>
  <c r="G107" i="51"/>
  <c r="G113" i="51"/>
  <c r="G125" i="51"/>
  <c r="G168" i="51"/>
  <c r="G169" i="51" s="1"/>
  <c r="K39" i="54" l="1"/>
  <c r="K37" i="54"/>
  <c r="K18" i="54"/>
  <c r="L18" i="54" s="1"/>
  <c r="K12" i="54"/>
  <c r="L12" i="54" s="1"/>
  <c r="K10" i="54"/>
  <c r="L10" i="54" s="1"/>
  <c r="K8" i="54"/>
  <c r="K5" i="54"/>
  <c r="L5" i="54" s="1"/>
  <c r="K3" i="54"/>
  <c r="L3" i="54" s="1"/>
  <c r="G201" i="54"/>
  <c r="G200" i="54"/>
  <c r="G198" i="54"/>
  <c r="G197" i="54"/>
  <c r="G196" i="54"/>
  <c r="G195" i="54"/>
  <c r="G194" i="54"/>
  <c r="G191" i="54"/>
  <c r="G190" i="54"/>
  <c r="G189" i="54"/>
  <c r="G188" i="54"/>
  <c r="G192" i="54" s="1"/>
  <c r="G185" i="54"/>
  <c r="G184" i="54"/>
  <c r="G183" i="54"/>
  <c r="G180" i="54"/>
  <c r="G181" i="54" s="1"/>
  <c r="G177" i="54"/>
  <c r="G178" i="54" s="1"/>
  <c r="G174" i="54"/>
  <c r="G175" i="54" s="1"/>
  <c r="G171" i="54"/>
  <c r="G172" i="54" s="1"/>
  <c r="G168" i="54"/>
  <c r="G167" i="54"/>
  <c r="G166" i="54"/>
  <c r="G165" i="54"/>
  <c r="G164" i="54"/>
  <c r="G169" i="54" s="1"/>
  <c r="G163" i="54"/>
  <c r="G160" i="54"/>
  <c r="G159" i="54"/>
  <c r="G158" i="54"/>
  <c r="G155" i="54"/>
  <c r="G154" i="54"/>
  <c r="G151" i="54"/>
  <c r="G152" i="54" s="1"/>
  <c r="G148" i="54"/>
  <c r="G147" i="54"/>
  <c r="G146" i="54"/>
  <c r="G145" i="54"/>
  <c r="G142" i="54"/>
  <c r="G141" i="54"/>
  <c r="G140" i="54"/>
  <c r="G139" i="54"/>
  <c r="G143" i="54" s="1"/>
  <c r="G136" i="54"/>
  <c r="G135" i="54"/>
  <c r="G134" i="54"/>
  <c r="G133" i="54"/>
  <c r="G132" i="54"/>
  <c r="G137" i="54" s="1"/>
  <c r="G129" i="54"/>
  <c r="G128" i="54"/>
  <c r="G127" i="54"/>
  <c r="G126" i="54"/>
  <c r="G125" i="54"/>
  <c r="G122" i="54"/>
  <c r="G121" i="54"/>
  <c r="G120" i="54"/>
  <c r="G119" i="54"/>
  <c r="G116" i="54"/>
  <c r="G115" i="54"/>
  <c r="G114" i="54"/>
  <c r="G113" i="54"/>
  <c r="G112" i="54"/>
  <c r="G111" i="54"/>
  <c r="G110" i="54"/>
  <c r="G107" i="54"/>
  <c r="G106" i="54"/>
  <c r="G105" i="54"/>
  <c r="G104" i="54"/>
  <c r="G103" i="54"/>
  <c r="G98" i="54"/>
  <c r="G97" i="54"/>
  <c r="G96" i="54"/>
  <c r="G95" i="54"/>
  <c r="G92" i="54"/>
  <c r="G91" i="54"/>
  <c r="G90" i="54"/>
  <c r="G89" i="54"/>
  <c r="G88" i="54"/>
  <c r="G85" i="54"/>
  <c r="G84" i="54"/>
  <c r="G83" i="54"/>
  <c r="G82" i="54"/>
  <c r="G81" i="54"/>
  <c r="G86" i="54" s="1"/>
  <c r="G78" i="54"/>
  <c r="G79" i="54" s="1"/>
  <c r="G75" i="54"/>
  <c r="G76" i="54" s="1"/>
  <c r="G72" i="54"/>
  <c r="G71" i="54"/>
  <c r="G73" i="54" s="1"/>
  <c r="G68" i="54"/>
  <c r="G67" i="54"/>
  <c r="G66" i="54"/>
  <c r="G65" i="54"/>
  <c r="G64" i="54"/>
  <c r="G63" i="54"/>
  <c r="G62" i="54"/>
  <c r="G61" i="54"/>
  <c r="G60" i="54"/>
  <c r="G59" i="54"/>
  <c r="G58" i="54"/>
  <c r="G57" i="54"/>
  <c r="G52" i="54"/>
  <c r="G51" i="54"/>
  <c r="G50" i="54"/>
  <c r="G49" i="54"/>
  <c r="G69" i="54" l="1"/>
  <c r="G99" i="54"/>
  <c r="G108" i="54"/>
  <c r="G123" i="54"/>
  <c r="G130" i="54"/>
  <c r="G117" i="54"/>
  <c r="G149" i="54"/>
  <c r="G161" i="54"/>
  <c r="G186" i="54"/>
  <c r="G202" i="54"/>
  <c r="L8" i="54"/>
  <c r="M8" i="54"/>
  <c r="G53" i="54"/>
  <c r="G93" i="54"/>
  <c r="G156" i="54"/>
  <c r="G203" i="54"/>
  <c r="G204" i="54" s="1"/>
  <c r="J108" i="53" l="1"/>
  <c r="J107" i="53"/>
  <c r="J106" i="53"/>
  <c r="J105" i="53"/>
  <c r="J104" i="53"/>
  <c r="J103" i="53"/>
  <c r="J102" i="53"/>
  <c r="J101" i="53"/>
  <c r="J100" i="53"/>
  <c r="J99" i="53"/>
  <c r="J109" i="53" l="1"/>
  <c r="K90" i="53" l="1"/>
  <c r="K64" i="53"/>
  <c r="L64" i="53" s="1"/>
  <c r="K58" i="53"/>
  <c r="L58" i="53" s="1"/>
  <c r="K53" i="53"/>
  <c r="L53" i="53" s="1"/>
  <c r="K48" i="53"/>
  <c r="L48" i="53" s="1"/>
  <c r="K47" i="53"/>
  <c r="L47" i="53" s="1"/>
  <c r="K39" i="53"/>
  <c r="K37" i="53"/>
  <c r="L37" i="53" s="1"/>
  <c r="K36" i="53"/>
  <c r="L36" i="53" s="1"/>
  <c r="K3" i="53"/>
  <c r="L3" i="53" s="1"/>
  <c r="K17" i="52"/>
  <c r="K18" i="52"/>
  <c r="M39" i="58" l="1"/>
  <c r="L41" i="58"/>
  <c r="L37" i="58"/>
  <c r="M35" i="58"/>
  <c r="M33" i="58"/>
  <c r="M31" i="58"/>
  <c r="M28" i="58"/>
  <c r="M26" i="58"/>
  <c r="M18" i="58"/>
  <c r="M15" i="58"/>
  <c r="L4" i="58"/>
  <c r="L42" i="54"/>
  <c r="L40" i="54"/>
  <c r="L38" i="54"/>
  <c r="M30" i="54"/>
  <c r="M26" i="54"/>
  <c r="M24" i="54"/>
  <c r="L13" i="54"/>
  <c r="L11" i="54"/>
  <c r="L9" i="54"/>
  <c r="L4" i="54"/>
  <c r="L7" i="53"/>
  <c r="L8" i="53"/>
  <c r="M93" i="53"/>
  <c r="N93" i="53"/>
  <c r="L91" i="53"/>
  <c r="N91" i="53"/>
  <c r="L89" i="53"/>
  <c r="M89" i="53"/>
  <c r="L87" i="53"/>
  <c r="M87" i="53"/>
  <c r="L85" i="53"/>
  <c r="M85" i="53"/>
  <c r="M83" i="53"/>
  <c r="M69" i="53"/>
  <c r="N69" i="53"/>
  <c r="N66" i="53"/>
  <c r="N60" i="53"/>
  <c r="N55" i="53"/>
  <c r="N50" i="53"/>
  <c r="N41" i="53"/>
  <c r="N38" i="53"/>
  <c r="N35" i="53"/>
  <c r="N4" i="53"/>
  <c r="L11" i="51"/>
  <c r="L9" i="51"/>
  <c r="M9" i="51"/>
  <c r="L6" i="51"/>
  <c r="M6" i="51"/>
  <c r="L4" i="51"/>
  <c r="M4" i="51"/>
  <c r="L11" i="59"/>
  <c r="L12" i="59" s="1"/>
  <c r="L15" i="59"/>
  <c r="L16" i="59" s="1"/>
  <c r="L32" i="55"/>
  <c r="L30" i="55"/>
  <c r="L28" i="55"/>
  <c r="L26" i="55"/>
  <c r="L24" i="55"/>
  <c r="L22" i="55"/>
  <c r="L18" i="55"/>
  <c r="L16" i="55"/>
  <c r="L12" i="55"/>
  <c r="L8" i="55"/>
  <c r="L6" i="55"/>
  <c r="L4" i="55"/>
  <c r="L27" i="56"/>
  <c r="L25" i="56"/>
  <c r="L23" i="56"/>
  <c r="L21" i="56"/>
  <c r="L18" i="56"/>
  <c r="M18" i="56"/>
  <c r="L15" i="56"/>
  <c r="M15" i="56"/>
  <c r="L13" i="56"/>
  <c r="M13" i="56"/>
  <c r="L11" i="56"/>
  <c r="L9" i="56"/>
  <c r="L6" i="56"/>
  <c r="L4" i="56"/>
  <c r="L19" i="52"/>
  <c r="M10" i="52"/>
  <c r="M7" i="52"/>
  <c r="K16" i="59"/>
  <c r="K13" i="59"/>
  <c r="L13" i="59" s="1"/>
  <c r="L14" i="59" s="1"/>
  <c r="K12" i="59"/>
  <c r="K9" i="59"/>
  <c r="L9" i="59" s="1"/>
  <c r="K8" i="59"/>
  <c r="K7" i="59"/>
  <c r="K5" i="59"/>
  <c r="K6" i="59" s="1"/>
  <c r="K3" i="59"/>
  <c r="M11" i="59" l="1"/>
  <c r="M12" i="59" s="1"/>
  <c r="M9" i="59"/>
  <c r="K14" i="59"/>
  <c r="L3" i="59"/>
  <c r="M3" i="59" s="1"/>
  <c r="M15" i="59"/>
  <c r="M16" i="59" s="1"/>
  <c r="L8" i="59"/>
  <c r="M8" i="59" s="1"/>
  <c r="K10" i="59"/>
  <c r="L5" i="59"/>
  <c r="M13" i="59"/>
  <c r="M14" i="59" s="1"/>
  <c r="L7" i="59"/>
  <c r="M7" i="59" s="1"/>
  <c r="L33" i="55"/>
  <c r="L12" i="51"/>
  <c r="L28" i="56"/>
  <c r="K17" i="59"/>
  <c r="K4" i="59"/>
  <c r="L4" i="59" l="1"/>
  <c r="M4" i="59"/>
  <c r="L6" i="59"/>
  <c r="M5" i="59"/>
  <c r="M6" i="59" s="1"/>
  <c r="M10" i="59"/>
  <c r="L10" i="59"/>
  <c r="M37" i="58"/>
  <c r="K34" i="58"/>
  <c r="K32" i="58"/>
  <c r="L32" i="58" s="1"/>
  <c r="L33" i="58" s="1"/>
  <c r="K30" i="58"/>
  <c r="L30" i="58" s="1"/>
  <c r="K29" i="58"/>
  <c r="K27" i="58"/>
  <c r="L27" i="58" s="1"/>
  <c r="L28" i="58" s="1"/>
  <c r="K25" i="58"/>
  <c r="L25" i="58" s="1"/>
  <c r="L26" i="58" s="1"/>
  <c r="K21" i="58"/>
  <c r="L21" i="58" s="1"/>
  <c r="K20" i="58"/>
  <c r="K19" i="58"/>
  <c r="L19" i="58" s="1"/>
  <c r="K17" i="58"/>
  <c r="L17" i="58" s="1"/>
  <c r="K16" i="58"/>
  <c r="L16" i="58" s="1"/>
  <c r="K14" i="58"/>
  <c r="L14" i="58" s="1"/>
  <c r="K13" i="58"/>
  <c r="L13" i="58" s="1"/>
  <c r="K12" i="58"/>
  <c r="L12" i="58" s="1"/>
  <c r="K11" i="58"/>
  <c r="K9" i="58"/>
  <c r="L9" i="58" s="1"/>
  <c r="L10" i="58" s="1"/>
  <c r="M10" i="58"/>
  <c r="M7" i="58"/>
  <c r="K5" i="58"/>
  <c r="M4" i="58"/>
  <c r="M17" i="59" l="1"/>
  <c r="K37" i="58"/>
  <c r="K18" i="58"/>
  <c r="K39" i="58"/>
  <c r="L38" i="58"/>
  <c r="L39" i="58" s="1"/>
  <c r="L17" i="59"/>
  <c r="M40" i="58"/>
  <c r="M41" i="58" s="1"/>
  <c r="K41" i="58"/>
  <c r="K26" i="58"/>
  <c r="K4" i="58"/>
  <c r="K10" i="58"/>
  <c r="K28" i="58"/>
  <c r="K33" i="58"/>
  <c r="K7" i="58"/>
  <c r="L5" i="58"/>
  <c r="L7" i="58" s="1"/>
  <c r="K15" i="58"/>
  <c r="L11" i="58"/>
  <c r="L15" i="58" s="1"/>
  <c r="K24" i="58"/>
  <c r="L20" i="58"/>
  <c r="L24" i="58" s="1"/>
  <c r="K31" i="58"/>
  <c r="L29" i="58"/>
  <c r="L31" i="58" s="1"/>
  <c r="K35" i="58"/>
  <c r="L34" i="58"/>
  <c r="L35" i="58" s="1"/>
  <c r="M24" i="58"/>
  <c r="L18" i="58"/>
  <c r="K42" i="58" l="1"/>
  <c r="M42" i="58"/>
  <c r="L42" i="58"/>
  <c r="M18" i="52"/>
  <c r="K15" i="52"/>
  <c r="M15" i="52" s="1"/>
  <c r="K14" i="52"/>
  <c r="M14" i="52" s="1"/>
  <c r="K13" i="52"/>
  <c r="K12" i="52"/>
  <c r="L12" i="52" s="1"/>
  <c r="K11" i="52"/>
  <c r="L11" i="52" s="1"/>
  <c r="K9" i="52"/>
  <c r="L9" i="52" s="1"/>
  <c r="K8" i="52"/>
  <c r="K6" i="52"/>
  <c r="L6" i="52" s="1"/>
  <c r="K5" i="52"/>
  <c r="L5" i="52" s="1"/>
  <c r="K4" i="52"/>
  <c r="L4" i="52" s="1"/>
  <c r="K3" i="52"/>
  <c r="L3" i="52" s="1"/>
  <c r="K19" i="52" l="1"/>
  <c r="M17" i="52"/>
  <c r="M19" i="52" s="1"/>
  <c r="M16" i="52"/>
  <c r="L7" i="52"/>
  <c r="L20" i="52" s="1"/>
  <c r="K10" i="52"/>
  <c r="L8" i="52"/>
  <c r="L10" i="52" s="1"/>
  <c r="L16" i="52"/>
  <c r="K16" i="52"/>
  <c r="K7" i="52"/>
  <c r="M20" i="52" l="1"/>
  <c r="K20" i="52"/>
  <c r="K92" i="53"/>
  <c r="L92" i="53" s="1"/>
  <c r="L93" i="53" s="1"/>
  <c r="I88" i="53"/>
  <c r="K88" i="53" s="1"/>
  <c r="K86" i="53"/>
  <c r="K84" i="53"/>
  <c r="K82" i="53"/>
  <c r="N82" i="53" s="1"/>
  <c r="N83" i="53" s="1"/>
  <c r="K81" i="53"/>
  <c r="K80" i="53"/>
  <c r="K79" i="53"/>
  <c r="K78" i="53"/>
  <c r="K77" i="53"/>
  <c r="K76" i="53"/>
  <c r="K75" i="53"/>
  <c r="K74" i="53"/>
  <c r="K73" i="53"/>
  <c r="K72" i="53"/>
  <c r="K71" i="53"/>
  <c r="K70" i="53"/>
  <c r="K68" i="53"/>
  <c r="K67" i="53"/>
  <c r="K65" i="53"/>
  <c r="L65" i="53" s="1"/>
  <c r="M66" i="53"/>
  <c r="K63" i="53"/>
  <c r="L63" i="53" s="1"/>
  <c r="K62" i="53"/>
  <c r="K61" i="53"/>
  <c r="L61" i="53" s="1"/>
  <c r="K59" i="53"/>
  <c r="L59" i="53" s="1"/>
  <c r="M60" i="53"/>
  <c r="K57" i="53"/>
  <c r="L57" i="53" s="1"/>
  <c r="K56" i="53"/>
  <c r="K54" i="53"/>
  <c r="L54" i="53" s="1"/>
  <c r="M55" i="53"/>
  <c r="K52" i="53"/>
  <c r="L52" i="53" s="1"/>
  <c r="K51" i="53"/>
  <c r="K49" i="53"/>
  <c r="L49" i="53" s="1"/>
  <c r="K46" i="53"/>
  <c r="L46" i="53" s="1"/>
  <c r="K45" i="53"/>
  <c r="L45" i="53" s="1"/>
  <c r="K44" i="53"/>
  <c r="L44" i="53" s="1"/>
  <c r="K43" i="53"/>
  <c r="L43" i="53" s="1"/>
  <c r="K42" i="53"/>
  <c r="K40" i="53"/>
  <c r="M41" i="53"/>
  <c r="K34" i="53"/>
  <c r="M34" i="53" s="1"/>
  <c r="M35" i="53" s="1"/>
  <c r="K33" i="53"/>
  <c r="L33" i="53" s="1"/>
  <c r="K32" i="53"/>
  <c r="L32" i="53" s="1"/>
  <c r="K31" i="53"/>
  <c r="L31" i="53" s="1"/>
  <c r="K30" i="53"/>
  <c r="L30" i="53" s="1"/>
  <c r="K29" i="53"/>
  <c r="L29" i="53" s="1"/>
  <c r="K28" i="53"/>
  <c r="L28" i="53" s="1"/>
  <c r="K27" i="53"/>
  <c r="L27" i="53" s="1"/>
  <c r="K26" i="53"/>
  <c r="L26" i="53" s="1"/>
  <c r="K25" i="53"/>
  <c r="L25" i="53" s="1"/>
  <c r="K24" i="53"/>
  <c r="L24" i="53" s="1"/>
  <c r="K23" i="53"/>
  <c r="L23" i="53" s="1"/>
  <c r="K22" i="53"/>
  <c r="L22" i="53" s="1"/>
  <c r="K21" i="53"/>
  <c r="L21" i="53" s="1"/>
  <c r="K20" i="53"/>
  <c r="L20" i="53" s="1"/>
  <c r="K19" i="53"/>
  <c r="L19" i="53" s="1"/>
  <c r="K18" i="53"/>
  <c r="L18" i="53" s="1"/>
  <c r="K17" i="53"/>
  <c r="L17" i="53" s="1"/>
  <c r="K16" i="53"/>
  <c r="L16" i="53" s="1"/>
  <c r="K15" i="53"/>
  <c r="L15" i="53" s="1"/>
  <c r="K14" i="53"/>
  <c r="L14" i="53" s="1"/>
  <c r="K13" i="53"/>
  <c r="L13" i="53" s="1"/>
  <c r="K12" i="53"/>
  <c r="L12" i="53" s="1"/>
  <c r="K11" i="53"/>
  <c r="L11" i="53" s="1"/>
  <c r="K10" i="53"/>
  <c r="L10" i="53" s="1"/>
  <c r="K9" i="53"/>
  <c r="L9" i="53" s="1"/>
  <c r="K6" i="53"/>
  <c r="L6" i="53" s="1"/>
  <c r="K5" i="53"/>
  <c r="K87" i="53" l="1"/>
  <c r="N86" i="53"/>
  <c r="N87" i="53" s="1"/>
  <c r="K85" i="53"/>
  <c r="N84" i="53"/>
  <c r="K89" i="53"/>
  <c r="N88" i="53"/>
  <c r="N89" i="53" s="1"/>
  <c r="K91" i="53"/>
  <c r="M91" i="53"/>
  <c r="M38" i="53"/>
  <c r="K4" i="53"/>
  <c r="M4" i="53"/>
  <c r="M50" i="53"/>
  <c r="K38" i="53"/>
  <c r="L38" i="53"/>
  <c r="L4" i="53"/>
  <c r="L41" i="53"/>
  <c r="K69" i="53"/>
  <c r="L69" i="53"/>
  <c r="K35" i="53"/>
  <c r="L5" i="53"/>
  <c r="L35" i="53" s="1"/>
  <c r="K83" i="53"/>
  <c r="L83" i="53"/>
  <c r="K93" i="53"/>
  <c r="K41" i="53"/>
  <c r="K50" i="53"/>
  <c r="L42" i="53"/>
  <c r="L50" i="53" s="1"/>
  <c r="K66" i="53"/>
  <c r="L62" i="53"/>
  <c r="L66" i="53" s="1"/>
  <c r="K55" i="53"/>
  <c r="L51" i="53"/>
  <c r="L55" i="53" s="1"/>
  <c r="K60" i="53"/>
  <c r="L56" i="53"/>
  <c r="L60" i="53" s="1"/>
  <c r="N85" i="53" l="1"/>
  <c r="N94" i="53"/>
  <c r="M94" i="53"/>
  <c r="K94" i="53"/>
  <c r="L94" i="53"/>
  <c r="K41" i="54"/>
  <c r="M41" i="54" s="1"/>
  <c r="M42" i="54" s="1"/>
  <c r="M37" i="54"/>
  <c r="M38" i="54" s="1"/>
  <c r="K35" i="54"/>
  <c r="M35" i="54" s="1"/>
  <c r="M36" i="54" s="1"/>
  <c r="K33" i="54"/>
  <c r="K31" i="54"/>
  <c r="M31" i="54" s="1"/>
  <c r="M32" i="54" s="1"/>
  <c r="K29" i="54"/>
  <c r="L29" i="54" s="1"/>
  <c r="K28" i="54"/>
  <c r="L28" i="54" s="1"/>
  <c r="K27" i="54"/>
  <c r="K25" i="54"/>
  <c r="L25" i="54" s="1"/>
  <c r="L26" i="54" s="1"/>
  <c r="K23" i="54"/>
  <c r="L23" i="54" s="1"/>
  <c r="K22" i="54"/>
  <c r="L22" i="54" s="1"/>
  <c r="K21" i="54"/>
  <c r="K19" i="54"/>
  <c r="L19" i="54" s="1"/>
  <c r="M20" i="54"/>
  <c r="K17" i="54"/>
  <c r="L17" i="54" s="1"/>
  <c r="K16" i="54"/>
  <c r="L16" i="54" s="1"/>
  <c r="K15" i="54"/>
  <c r="L15" i="54" s="1"/>
  <c r="K14" i="54"/>
  <c r="K6" i="54"/>
  <c r="L6" i="54" s="1"/>
  <c r="L7" i="54" s="1"/>
  <c r="M7" i="54"/>
  <c r="L34" i="54" l="1"/>
  <c r="M33" i="54"/>
  <c r="M34" i="54" s="1"/>
  <c r="K13" i="54"/>
  <c r="M13" i="54"/>
  <c r="K4" i="54"/>
  <c r="M4" i="54"/>
  <c r="K11" i="54"/>
  <c r="M11" i="54"/>
  <c r="K40" i="54"/>
  <c r="M39" i="54"/>
  <c r="M40" i="54" s="1"/>
  <c r="K9" i="54"/>
  <c r="M9" i="54"/>
  <c r="K38" i="54"/>
  <c r="K42" i="54"/>
  <c r="K7" i="54"/>
  <c r="K34" i="54"/>
  <c r="K26" i="54"/>
  <c r="K20" i="54"/>
  <c r="L14" i="54"/>
  <c r="L20" i="54" s="1"/>
  <c r="K30" i="54"/>
  <c r="L27" i="54"/>
  <c r="L30" i="54" s="1"/>
  <c r="K24" i="54"/>
  <c r="L21" i="54"/>
  <c r="L24" i="54" s="1"/>
  <c r="K32" i="54"/>
  <c r="L32" i="54"/>
  <c r="K36" i="54"/>
  <c r="L36" i="54"/>
  <c r="L43" i="54" l="1"/>
  <c r="M43" i="54"/>
  <c r="K43" i="54"/>
  <c r="K31" i="55"/>
  <c r="M27" i="55"/>
  <c r="M28" i="55" s="1"/>
  <c r="K25" i="55"/>
  <c r="K23" i="55"/>
  <c r="M23" i="55" s="1"/>
  <c r="M24" i="55" s="1"/>
  <c r="K21" i="55"/>
  <c r="M21" i="55" s="1"/>
  <c r="K20" i="55"/>
  <c r="M20" i="55" s="1"/>
  <c r="K19" i="55"/>
  <c r="K17" i="55"/>
  <c r="K15" i="55"/>
  <c r="M15" i="55" s="1"/>
  <c r="K14" i="55"/>
  <c r="M14" i="55" s="1"/>
  <c r="M11" i="55"/>
  <c r="K10" i="55"/>
  <c r="M10" i="55" s="1"/>
  <c r="K9" i="55"/>
  <c r="M7" i="55"/>
  <c r="M8" i="55" s="1"/>
  <c r="M3" i="55"/>
  <c r="M4" i="55" s="1"/>
  <c r="K24" i="55" l="1"/>
  <c r="K4" i="55"/>
  <c r="M31" i="55"/>
  <c r="M32" i="55" s="1"/>
  <c r="K32" i="55"/>
  <c r="K12" i="55"/>
  <c r="M9" i="55"/>
  <c r="M12" i="55" s="1"/>
  <c r="K26" i="55"/>
  <c r="M25" i="55"/>
  <c r="M26" i="55" s="1"/>
  <c r="K16" i="55"/>
  <c r="M13" i="55"/>
  <c r="M16" i="55" s="1"/>
  <c r="K22" i="55"/>
  <c r="M19" i="55"/>
  <c r="M22" i="55" s="1"/>
  <c r="K30" i="55"/>
  <c r="M29" i="55"/>
  <c r="M30" i="55" s="1"/>
  <c r="K8" i="55"/>
  <c r="K18" i="55"/>
  <c r="M17" i="55"/>
  <c r="M18" i="55" s="1"/>
  <c r="K28" i="55"/>
  <c r="K6" i="55"/>
  <c r="M5" i="55"/>
  <c r="M6" i="55" s="1"/>
  <c r="K33" i="55" l="1"/>
  <c r="M33" i="55"/>
  <c r="I26" i="56"/>
  <c r="K26" i="56" s="1"/>
  <c r="M26" i="56" s="1"/>
  <c r="M27" i="56" s="1"/>
  <c r="I24" i="56"/>
  <c r="K24" i="56" s="1"/>
  <c r="M23" i="56"/>
  <c r="K20" i="56"/>
  <c r="K19" i="56"/>
  <c r="M19" i="56" s="1"/>
  <c r="M21" i="56" s="1"/>
  <c r="K17" i="56"/>
  <c r="K16" i="56"/>
  <c r="K14" i="56"/>
  <c r="K15" i="56" s="1"/>
  <c r="K12" i="56"/>
  <c r="K13" i="56" s="1"/>
  <c r="M11" i="56"/>
  <c r="M9" i="56"/>
  <c r="K7" i="56"/>
  <c r="M4" i="56"/>
  <c r="K9" i="56" l="1"/>
  <c r="K21" i="56"/>
  <c r="K23" i="56"/>
  <c r="K18" i="56"/>
  <c r="K4" i="56"/>
  <c r="K6" i="56"/>
  <c r="M6" i="56"/>
  <c r="K25" i="56"/>
  <c r="M24" i="56"/>
  <c r="M25" i="56" s="1"/>
  <c r="K11" i="56"/>
  <c r="K27" i="56"/>
  <c r="K28" i="56" l="1"/>
  <c r="M28" i="56"/>
  <c r="K19" i="57"/>
  <c r="K18" i="57"/>
  <c r="K17" i="57"/>
  <c r="K16" i="57"/>
  <c r="K15" i="57"/>
  <c r="K14" i="57"/>
  <c r="K12" i="57"/>
  <c r="K10" i="57"/>
  <c r="K11" i="57" s="1"/>
  <c r="K8" i="57"/>
  <c r="K7" i="57"/>
  <c r="K5" i="57"/>
  <c r="K4" i="57"/>
  <c r="K3" i="57"/>
  <c r="K20" i="57" l="1"/>
  <c r="L16" i="57"/>
  <c r="M16" i="57" s="1"/>
  <c r="L4" i="57"/>
  <c r="M4" i="57" s="1"/>
  <c r="L19" i="57"/>
  <c r="M19" i="57" s="1"/>
  <c r="L10" i="57"/>
  <c r="L11" i="57" s="1"/>
  <c r="K6" i="57"/>
  <c r="L3" i="57"/>
  <c r="M3" i="57" s="1"/>
  <c r="L18" i="57"/>
  <c r="M18" i="57" s="1"/>
  <c r="L5" i="57"/>
  <c r="M5" i="57" s="1"/>
  <c r="L8" i="57"/>
  <c r="M8" i="57" s="1"/>
  <c r="L14" i="57"/>
  <c r="L15" i="57" s="1"/>
  <c r="K9" i="57"/>
  <c r="L7" i="57"/>
  <c r="M7" i="57" s="1"/>
  <c r="K13" i="57"/>
  <c r="L12" i="57"/>
  <c r="L13" i="57" s="1"/>
  <c r="L17" i="57"/>
  <c r="M17" i="57" s="1"/>
  <c r="K21" i="57" l="1"/>
  <c r="M12" i="57"/>
  <c r="M13" i="57" s="1"/>
  <c r="M14" i="57"/>
  <c r="M15" i="57" s="1"/>
  <c r="M9" i="57"/>
  <c r="M20" i="57"/>
  <c r="L9" i="57"/>
  <c r="M6" i="57"/>
  <c r="L20" i="57"/>
  <c r="L6" i="57"/>
  <c r="M10" i="57"/>
  <c r="M11" i="57" s="1"/>
  <c r="K10" i="51"/>
  <c r="K8" i="51"/>
  <c r="K7" i="51"/>
  <c r="K5" i="51"/>
  <c r="K6" i="51" s="1"/>
  <c r="K3" i="51"/>
  <c r="K4" i="51" s="1"/>
  <c r="L21" i="57" l="1"/>
  <c r="M21" i="57"/>
  <c r="K11" i="51"/>
  <c r="M10" i="51"/>
  <c r="M11" i="51" s="1"/>
  <c r="M12" i="51" s="1"/>
  <c r="K9" i="51"/>
  <c r="K12" i="51" l="1"/>
  <c r="I85" i="50" l="1"/>
  <c r="I84" i="50"/>
  <c r="I83" i="50"/>
  <c r="I80" i="50"/>
  <c r="I79" i="50"/>
  <c r="I78" i="50"/>
  <c r="I76" i="50"/>
  <c r="I75" i="50"/>
  <c r="I74" i="50"/>
  <c r="I72" i="50"/>
  <c r="I71" i="50"/>
  <c r="I70" i="50"/>
  <c r="I67" i="50"/>
  <c r="I66" i="50"/>
  <c r="I65" i="50"/>
  <c r="I62" i="50"/>
  <c r="I61" i="50"/>
  <c r="I60" i="50"/>
  <c r="I58" i="50"/>
  <c r="I57" i="50"/>
  <c r="I56" i="50"/>
  <c r="I54" i="50"/>
  <c r="I53" i="50"/>
  <c r="I52" i="50"/>
  <c r="I50" i="50"/>
  <c r="I49" i="50"/>
  <c r="I48" i="50"/>
  <c r="I46" i="50"/>
  <c r="I45" i="50"/>
  <c r="I44" i="50"/>
  <c r="I41" i="50"/>
  <c r="I40" i="50"/>
  <c r="I39" i="50"/>
  <c r="I37" i="50"/>
  <c r="I36" i="50"/>
  <c r="I35" i="50"/>
  <c r="I32" i="50"/>
  <c r="I31" i="50"/>
  <c r="I30" i="50"/>
  <c r="I28" i="50"/>
  <c r="I27" i="50"/>
  <c r="I26" i="50"/>
  <c r="I24" i="50"/>
  <c r="I23" i="50"/>
  <c r="I22" i="50"/>
  <c r="I19" i="50"/>
  <c r="I18" i="50"/>
  <c r="I17" i="50"/>
  <c r="I14" i="50"/>
  <c r="I13" i="50"/>
  <c r="I12" i="50"/>
  <c r="I9" i="50"/>
  <c r="I8" i="50"/>
  <c r="I7" i="50"/>
  <c r="I5" i="50"/>
  <c r="I4" i="50"/>
  <c r="I3" i="50"/>
  <c r="I6" i="50" l="1"/>
  <c r="I15" i="50"/>
  <c r="I16" i="50" s="1"/>
  <c r="I20" i="50"/>
  <c r="I21" i="50" s="1"/>
  <c r="I25" i="50"/>
  <c r="I33" i="50"/>
  <c r="I38" i="50"/>
  <c r="I42" i="50"/>
  <c r="I47" i="50"/>
  <c r="I51" i="50"/>
  <c r="I55" i="50"/>
  <c r="I59" i="50"/>
  <c r="I63" i="50"/>
  <c r="I68" i="50"/>
  <c r="I69" i="50" s="1"/>
  <c r="I73" i="50"/>
  <c r="I77" i="50"/>
  <c r="I86" i="50"/>
  <c r="I87" i="50" s="1"/>
  <c r="I10" i="50"/>
  <c r="I81" i="50"/>
  <c r="I29" i="50"/>
  <c r="I43" i="50" l="1"/>
  <c r="I82" i="50"/>
  <c r="I64" i="50"/>
  <c r="I34" i="50"/>
  <c r="I11" i="50"/>
  <c r="I88" i="50" l="1"/>
  <c r="H77" i="36"/>
  <c r="H65" i="36"/>
  <c r="H59" i="36"/>
  <c r="H51" i="36"/>
  <c r="H46" i="36"/>
  <c r="H32" i="36"/>
  <c r="H24" i="36"/>
  <c r="H20" i="36"/>
  <c r="H8" i="36"/>
  <c r="G140" i="35"/>
  <c r="G118" i="35"/>
  <c r="G107" i="35"/>
  <c r="G100" i="35"/>
  <c r="G71" i="35"/>
  <c r="G55" i="35"/>
  <c r="G39" i="35"/>
  <c r="G13" i="35"/>
  <c r="G141" i="35" s="1"/>
  <c r="K20" i="49"/>
  <c r="K24" i="49" s="1"/>
  <c r="K48" i="49"/>
  <c r="J48" i="49"/>
  <c r="I48" i="49"/>
  <c r="K44" i="49"/>
  <c r="J44" i="49"/>
  <c r="I44" i="49"/>
  <c r="K38" i="49"/>
  <c r="J38" i="49"/>
  <c r="I38" i="49"/>
  <c r="K30" i="49"/>
  <c r="J30" i="49"/>
  <c r="I30" i="49"/>
  <c r="J24" i="49"/>
  <c r="I24" i="49"/>
  <c r="K13" i="49"/>
  <c r="J13" i="49"/>
  <c r="I13" i="49"/>
  <c r="K9" i="49"/>
  <c r="J9" i="49"/>
  <c r="I9" i="49"/>
  <c r="K7" i="49"/>
  <c r="J7" i="49"/>
  <c r="I7" i="49"/>
  <c r="I49" i="49" s="1"/>
  <c r="H78" i="36" l="1"/>
  <c r="J49" i="49"/>
  <c r="K49" i="49"/>
  <c r="E15" i="48" l="1"/>
  <c r="E12" i="48"/>
  <c r="E9" i="48"/>
  <c r="E5" i="48"/>
  <c r="E16" i="48" s="1"/>
  <c r="I34" i="47"/>
  <c r="J34" i="47" s="1"/>
  <c r="I33" i="47"/>
  <c r="J33" i="47" s="1"/>
  <c r="J32" i="47"/>
  <c r="I32" i="47"/>
  <c r="I31" i="47"/>
  <c r="J31" i="47" s="1"/>
  <c r="I30" i="47"/>
  <c r="J30" i="47" s="1"/>
  <c r="I29" i="47"/>
  <c r="J29" i="47" s="1"/>
  <c r="I28" i="47"/>
  <c r="J28" i="47" s="1"/>
  <c r="I27" i="47"/>
  <c r="I35" i="47" s="1"/>
  <c r="I26" i="47"/>
  <c r="J26" i="47" s="1"/>
  <c r="I24" i="47"/>
  <c r="J24" i="47" s="1"/>
  <c r="G20" i="47"/>
  <c r="I20" i="47" s="1"/>
  <c r="J20" i="47" s="1"/>
  <c r="I19" i="47"/>
  <c r="J19" i="47" s="1"/>
  <c r="I18" i="47"/>
  <c r="J18" i="47" s="1"/>
  <c r="I17" i="47"/>
  <c r="J17" i="47" s="1"/>
  <c r="G17" i="47"/>
  <c r="I16" i="47"/>
  <c r="I15" i="47"/>
  <c r="J15" i="47" s="1"/>
  <c r="I10" i="47"/>
  <c r="J10" i="47" s="1"/>
  <c r="I9" i="47"/>
  <c r="I11" i="47" s="1"/>
  <c r="G4" i="47"/>
  <c r="I4" i="47" s="1"/>
  <c r="J3" i="47"/>
  <c r="I3" i="47"/>
  <c r="I74" i="46"/>
  <c r="J74" i="46" s="1"/>
  <c r="I73" i="46"/>
  <c r="J73" i="46" s="1"/>
  <c r="I72" i="46"/>
  <c r="J72" i="46" s="1"/>
  <c r="I71" i="46"/>
  <c r="I75" i="46" s="1"/>
  <c r="J66" i="46"/>
  <c r="I66" i="46"/>
  <c r="I65" i="46"/>
  <c r="J65" i="46" s="1"/>
  <c r="I64" i="46"/>
  <c r="J64" i="46" s="1"/>
  <c r="I63" i="46"/>
  <c r="J62" i="46"/>
  <c r="I62" i="46"/>
  <c r="I57" i="46"/>
  <c r="J57" i="46" s="1"/>
  <c r="I56" i="46"/>
  <c r="J56" i="46" s="1"/>
  <c r="I55" i="46"/>
  <c r="I51" i="46"/>
  <c r="I50" i="46"/>
  <c r="J50" i="46" s="1"/>
  <c r="I48" i="46"/>
  <c r="J48" i="46" s="1"/>
  <c r="I44" i="46"/>
  <c r="J44" i="46" s="1"/>
  <c r="G44" i="46"/>
  <c r="I43" i="46"/>
  <c r="I45" i="46" s="1"/>
  <c r="I38" i="46"/>
  <c r="J38" i="46" s="1"/>
  <c r="I37" i="46"/>
  <c r="J37" i="46" s="1"/>
  <c r="J36" i="46"/>
  <c r="I36" i="46"/>
  <c r="G35" i="46"/>
  <c r="I35" i="46" s="1"/>
  <c r="I39" i="46" s="1"/>
  <c r="I34" i="46"/>
  <c r="J34" i="46" s="1"/>
  <c r="I29" i="46"/>
  <c r="J29" i="46" s="1"/>
  <c r="G28" i="46"/>
  <c r="I28" i="46" s="1"/>
  <c r="J28" i="46" s="1"/>
  <c r="J27" i="46"/>
  <c r="I27" i="46"/>
  <c r="I26" i="46"/>
  <c r="I24" i="46"/>
  <c r="J24" i="46" s="1"/>
  <c r="I20" i="46"/>
  <c r="J20" i="46" s="1"/>
  <c r="G20" i="46"/>
  <c r="I19" i="46"/>
  <c r="J19" i="46" s="1"/>
  <c r="I18" i="46"/>
  <c r="J18" i="46" s="1"/>
  <c r="G18" i="46"/>
  <c r="I17" i="46"/>
  <c r="J17" i="46" s="1"/>
  <c r="I12" i="46"/>
  <c r="J12" i="46" s="1"/>
  <c r="G11" i="46"/>
  <c r="I11" i="46" s="1"/>
  <c r="I13" i="46" s="1"/>
  <c r="I10" i="46"/>
  <c r="J10" i="46" s="1"/>
  <c r="J9" i="46"/>
  <c r="I9" i="46"/>
  <c r="I4" i="46"/>
  <c r="J4" i="46" s="1"/>
  <c r="I3" i="46"/>
  <c r="I5" i="46" s="1"/>
  <c r="I18" i="45"/>
  <c r="J18" i="45" s="1"/>
  <c r="I17" i="45"/>
  <c r="I19" i="45" s="1"/>
  <c r="I12" i="45"/>
  <c r="J12" i="45" s="1"/>
  <c r="I11" i="45"/>
  <c r="I13" i="45" s="1"/>
  <c r="I10" i="45"/>
  <c r="J10" i="45" s="1"/>
  <c r="I5" i="45"/>
  <c r="J5" i="45" s="1"/>
  <c r="I4" i="45"/>
  <c r="J4" i="45" s="1"/>
  <c r="I3" i="45"/>
  <c r="I6" i="45" s="1"/>
  <c r="I36" i="44"/>
  <c r="J36" i="44" s="1"/>
  <c r="G32" i="44"/>
  <c r="I32" i="44" s="1"/>
  <c r="I31" i="44"/>
  <c r="J31" i="44" s="1"/>
  <c r="I26" i="44"/>
  <c r="J26" i="44" s="1"/>
  <c r="J25" i="44"/>
  <c r="I25" i="44"/>
  <c r="I24" i="44"/>
  <c r="J24" i="44" s="1"/>
  <c r="I23" i="44"/>
  <c r="J23" i="44" s="1"/>
  <c r="I22" i="44"/>
  <c r="J22" i="44" s="1"/>
  <c r="J21" i="44"/>
  <c r="I21" i="44"/>
  <c r="I20" i="44"/>
  <c r="J20" i="44" s="1"/>
  <c r="I19" i="44"/>
  <c r="J19" i="44" s="1"/>
  <c r="I18" i="44"/>
  <c r="J18" i="44" s="1"/>
  <c r="G13" i="44"/>
  <c r="I13" i="44" s="1"/>
  <c r="J13" i="44" s="1"/>
  <c r="I12" i="44"/>
  <c r="I10" i="44"/>
  <c r="J10" i="44" s="1"/>
  <c r="G6" i="44"/>
  <c r="I6" i="44" s="1"/>
  <c r="J6" i="44" s="1"/>
  <c r="I5" i="44"/>
  <c r="J5" i="44" s="1"/>
  <c r="G4" i="44"/>
  <c r="I4" i="44" s="1"/>
  <c r="J4" i="44" s="1"/>
  <c r="I3" i="44"/>
  <c r="J3" i="44" s="1"/>
  <c r="I39" i="43"/>
  <c r="I40" i="43" s="1"/>
  <c r="I34" i="43"/>
  <c r="J34" i="43" s="1"/>
  <c r="J33" i="43"/>
  <c r="I33" i="43"/>
  <c r="I32" i="43"/>
  <c r="J32" i="43" s="1"/>
  <c r="I31" i="43"/>
  <c r="J31" i="43" s="1"/>
  <c r="G30" i="43"/>
  <c r="I30" i="43" s="1"/>
  <c r="J30" i="43" s="1"/>
  <c r="I29" i="43"/>
  <c r="I27" i="43"/>
  <c r="J27" i="43" s="1"/>
  <c r="I23" i="43"/>
  <c r="J23" i="43" s="1"/>
  <c r="I22" i="43"/>
  <c r="J22" i="43" s="1"/>
  <c r="I21" i="43"/>
  <c r="I24" i="43" s="1"/>
  <c r="J24" i="43" s="1"/>
  <c r="I16" i="43"/>
  <c r="J16" i="43" s="1"/>
  <c r="I15" i="43"/>
  <c r="J15" i="43" s="1"/>
  <c r="I10" i="43"/>
  <c r="J10" i="43" s="1"/>
  <c r="I9" i="43"/>
  <c r="J9" i="43" s="1"/>
  <c r="I4" i="43"/>
  <c r="J4" i="43" s="1"/>
  <c r="G4" i="43"/>
  <c r="I3" i="43"/>
  <c r="I5" i="43" s="1"/>
  <c r="I88" i="42"/>
  <c r="J88" i="42" s="1"/>
  <c r="I84" i="42"/>
  <c r="J84" i="42" s="1"/>
  <c r="G83" i="42"/>
  <c r="I83" i="42" s="1"/>
  <c r="J83" i="42" s="1"/>
  <c r="I82" i="42"/>
  <c r="J82" i="42" s="1"/>
  <c r="J81" i="42"/>
  <c r="I81" i="42"/>
  <c r="I80" i="42"/>
  <c r="J80" i="42" s="1"/>
  <c r="G79" i="42"/>
  <c r="I79" i="42" s="1"/>
  <c r="J79" i="42" s="1"/>
  <c r="I78" i="42"/>
  <c r="J78" i="42" s="1"/>
  <c r="I77" i="42"/>
  <c r="J77" i="42" s="1"/>
  <c r="G76" i="42"/>
  <c r="I76" i="42" s="1"/>
  <c r="J76" i="42" s="1"/>
  <c r="I75" i="42"/>
  <c r="I74" i="42"/>
  <c r="J74" i="42" s="1"/>
  <c r="I69" i="42"/>
  <c r="J69" i="42" s="1"/>
  <c r="G64" i="42"/>
  <c r="I64" i="42" s="1"/>
  <c r="J64" i="42" s="1"/>
  <c r="I63" i="42"/>
  <c r="J63" i="42" s="1"/>
  <c r="I62" i="42"/>
  <c r="J62" i="42" s="1"/>
  <c r="I61" i="42"/>
  <c r="I56" i="42"/>
  <c r="J56" i="42" s="1"/>
  <c r="I55" i="42"/>
  <c r="J55" i="42" s="1"/>
  <c r="I54" i="42"/>
  <c r="J54" i="42" s="1"/>
  <c r="I53" i="42"/>
  <c r="J53" i="42" s="1"/>
  <c r="I52" i="42"/>
  <c r="J52" i="42" s="1"/>
  <c r="I47" i="42"/>
  <c r="J47" i="42" s="1"/>
  <c r="G47" i="42"/>
  <c r="I46" i="42"/>
  <c r="J46" i="42" s="1"/>
  <c r="J41" i="42"/>
  <c r="I41" i="42"/>
  <c r="I40" i="42"/>
  <c r="I42" i="42" s="1"/>
  <c r="G35" i="42"/>
  <c r="I35" i="42" s="1"/>
  <c r="J35" i="42" s="1"/>
  <c r="I34" i="42"/>
  <c r="J34" i="42" s="1"/>
  <c r="I33" i="42"/>
  <c r="I28" i="42"/>
  <c r="J28" i="42" s="1"/>
  <c r="G28" i="42"/>
  <c r="I27" i="42"/>
  <c r="J27" i="42" s="1"/>
  <c r="J26" i="42"/>
  <c r="I26" i="42"/>
  <c r="I25" i="42"/>
  <c r="J25" i="42" s="1"/>
  <c r="J24" i="42"/>
  <c r="I24" i="42"/>
  <c r="I22" i="42"/>
  <c r="J22" i="42" s="1"/>
  <c r="G18" i="42"/>
  <c r="I18" i="42" s="1"/>
  <c r="J18" i="42" s="1"/>
  <c r="I17" i="42"/>
  <c r="J17" i="42" s="1"/>
  <c r="I16" i="42"/>
  <c r="J16" i="42" s="1"/>
  <c r="I15" i="42"/>
  <c r="J15" i="42" s="1"/>
  <c r="I14" i="42"/>
  <c r="I19" i="42" s="1"/>
  <c r="I12" i="42"/>
  <c r="J12" i="42" s="1"/>
  <c r="G8" i="42"/>
  <c r="I8" i="42" s="1"/>
  <c r="J8" i="42" s="1"/>
  <c r="J7" i="42"/>
  <c r="I7" i="42"/>
  <c r="G6" i="42"/>
  <c r="I6" i="42" s="1"/>
  <c r="J6" i="42" s="1"/>
  <c r="I5" i="42"/>
  <c r="J5" i="42" s="1"/>
  <c r="I4" i="42"/>
  <c r="J4" i="42" s="1"/>
  <c r="G4" i="42"/>
  <c r="J3" i="42"/>
  <c r="I3" i="42"/>
  <c r="I45" i="41"/>
  <c r="J44" i="41"/>
  <c r="I44" i="41"/>
  <c r="I43" i="41"/>
  <c r="J43" i="41" s="1"/>
  <c r="J42" i="41"/>
  <c r="I42" i="41"/>
  <c r="I40" i="41"/>
  <c r="J40" i="41" s="1"/>
  <c r="G36" i="41"/>
  <c r="I36" i="41" s="1"/>
  <c r="J35" i="41"/>
  <c r="I35" i="41"/>
  <c r="I30" i="41"/>
  <c r="J30" i="41" s="1"/>
  <c r="J29" i="41"/>
  <c r="I29" i="41"/>
  <c r="I31" i="41" s="1"/>
  <c r="I24" i="41"/>
  <c r="J24" i="41" s="1"/>
  <c r="I23" i="41"/>
  <c r="I25" i="41" s="1"/>
  <c r="I22" i="41"/>
  <c r="J22" i="41" s="1"/>
  <c r="I20" i="41"/>
  <c r="J20" i="41" s="1"/>
  <c r="I16" i="41"/>
  <c r="J16" i="41" s="1"/>
  <c r="J15" i="41"/>
  <c r="I15" i="41"/>
  <c r="G15" i="41"/>
  <c r="I14" i="41"/>
  <c r="J13" i="41"/>
  <c r="I13" i="41"/>
  <c r="I11" i="41"/>
  <c r="J11" i="41" s="1"/>
  <c r="J7" i="41"/>
  <c r="I7" i="41"/>
  <c r="I6" i="41"/>
  <c r="I5" i="41"/>
  <c r="J5" i="41" s="1"/>
  <c r="G5" i="41"/>
  <c r="I4" i="41"/>
  <c r="J4" i="41" s="1"/>
  <c r="J3" i="41"/>
  <c r="I3" i="41"/>
  <c r="I46" i="40"/>
  <c r="J46" i="40" s="1"/>
  <c r="I45" i="40"/>
  <c r="J45" i="40" s="1"/>
  <c r="J44" i="40"/>
  <c r="I44" i="40"/>
  <c r="I43" i="40"/>
  <c r="J43" i="40" s="1"/>
  <c r="J42" i="40"/>
  <c r="I42" i="40"/>
  <c r="I41" i="40"/>
  <c r="J41" i="40" s="1"/>
  <c r="I40" i="40"/>
  <c r="J40" i="40" s="1"/>
  <c r="I39" i="40"/>
  <c r="J39" i="40" s="1"/>
  <c r="J38" i="40"/>
  <c r="I38" i="40"/>
  <c r="I37" i="40"/>
  <c r="J37" i="40" s="1"/>
  <c r="I36" i="40"/>
  <c r="J36" i="40" s="1"/>
  <c r="I35" i="40"/>
  <c r="J35" i="40" s="1"/>
  <c r="J34" i="40"/>
  <c r="I34" i="40"/>
  <c r="I33" i="40"/>
  <c r="J33" i="40" s="1"/>
  <c r="I32" i="40"/>
  <c r="J32" i="40" s="1"/>
  <c r="I31" i="40"/>
  <c r="J30" i="40"/>
  <c r="I30" i="40"/>
  <c r="J28" i="40"/>
  <c r="I28" i="40"/>
  <c r="J24" i="40"/>
  <c r="I24" i="40"/>
  <c r="G23" i="40"/>
  <c r="I23" i="40" s="1"/>
  <c r="J23" i="40" s="1"/>
  <c r="I22" i="40"/>
  <c r="J22" i="40" s="1"/>
  <c r="I21" i="40"/>
  <c r="I19" i="40"/>
  <c r="J19" i="40" s="1"/>
  <c r="I15" i="40"/>
  <c r="J15" i="40" s="1"/>
  <c r="J14" i="40"/>
  <c r="I14" i="40"/>
  <c r="I13" i="40"/>
  <c r="J13" i="40" s="1"/>
  <c r="G12" i="40"/>
  <c r="I12" i="40" s="1"/>
  <c r="J12" i="40" s="1"/>
  <c r="J11" i="40"/>
  <c r="I11" i="40"/>
  <c r="I6" i="40"/>
  <c r="J6" i="40" s="1"/>
  <c r="I5" i="40"/>
  <c r="J5" i="40" s="1"/>
  <c r="G5" i="40"/>
  <c r="I4" i="40"/>
  <c r="J4" i="40" s="1"/>
  <c r="I3" i="40"/>
  <c r="J3" i="40" s="1"/>
  <c r="I36" i="39"/>
  <c r="J36" i="39" s="1"/>
  <c r="I35" i="39"/>
  <c r="I33" i="39"/>
  <c r="J33" i="39" s="1"/>
  <c r="I29" i="39"/>
  <c r="J29" i="39" s="1"/>
  <c r="J28" i="39"/>
  <c r="I28" i="39"/>
  <c r="I27" i="39"/>
  <c r="J27" i="39" s="1"/>
  <c r="G26" i="39"/>
  <c r="I26" i="39" s="1"/>
  <c r="J26" i="39" s="1"/>
  <c r="J25" i="39"/>
  <c r="I25" i="39"/>
  <c r="I24" i="39"/>
  <c r="J24" i="39" s="1"/>
  <c r="I23" i="39"/>
  <c r="J23" i="39" s="1"/>
  <c r="G23" i="39"/>
  <c r="I22" i="39"/>
  <c r="J22" i="39" s="1"/>
  <c r="I21" i="39"/>
  <c r="J21" i="39" s="1"/>
  <c r="I20" i="39"/>
  <c r="J20" i="39" s="1"/>
  <c r="J19" i="39"/>
  <c r="I19" i="39"/>
  <c r="I18" i="39"/>
  <c r="J18" i="39" s="1"/>
  <c r="I17" i="39"/>
  <c r="J17" i="39" s="1"/>
  <c r="I16" i="39"/>
  <c r="J16" i="39" s="1"/>
  <c r="J15" i="39"/>
  <c r="I15" i="39"/>
  <c r="I14" i="39"/>
  <c r="I10" i="39"/>
  <c r="J9" i="39"/>
  <c r="I9" i="39"/>
  <c r="I4" i="39"/>
  <c r="J4" i="39" s="1"/>
  <c r="I3" i="39"/>
  <c r="I5" i="39" s="1"/>
  <c r="H159" i="34"/>
  <c r="H144" i="34"/>
  <c r="H135" i="34"/>
  <c r="H123" i="34"/>
  <c r="H99" i="34"/>
  <c r="H45" i="34"/>
  <c r="H32" i="34"/>
  <c r="H10" i="34"/>
  <c r="H83" i="34"/>
  <c r="I37" i="39" l="1"/>
  <c r="I47" i="40"/>
  <c r="J21" i="43"/>
  <c r="J39" i="43"/>
  <c r="J3" i="46"/>
  <c r="I58" i="46"/>
  <c r="I85" i="42"/>
  <c r="I35" i="43"/>
  <c r="J3" i="39"/>
  <c r="I16" i="40"/>
  <c r="I25" i="40"/>
  <c r="I17" i="41"/>
  <c r="J23" i="41"/>
  <c r="J40" i="42"/>
  <c r="J29" i="43"/>
  <c r="I67" i="46"/>
  <c r="J9" i="47"/>
  <c r="I21" i="47"/>
  <c r="I30" i="39"/>
  <c r="I8" i="41"/>
  <c r="I11" i="43"/>
  <c r="I17" i="43"/>
  <c r="H160" i="34"/>
  <c r="I22" i="47"/>
  <c r="J22" i="47" s="1"/>
  <c r="J21" i="47"/>
  <c r="J11" i="47"/>
  <c r="I12" i="47"/>
  <c r="J12" i="47" s="1"/>
  <c r="I5" i="47"/>
  <c r="J4" i="47"/>
  <c r="I36" i="47"/>
  <c r="J36" i="47" s="1"/>
  <c r="J35" i="47"/>
  <c r="J16" i="47"/>
  <c r="J27" i="47"/>
  <c r="J5" i="46"/>
  <c r="I6" i="46"/>
  <c r="J6" i="46" s="1"/>
  <c r="I46" i="46"/>
  <c r="J46" i="46" s="1"/>
  <c r="I49" i="46"/>
  <c r="J49" i="46" s="1"/>
  <c r="I47" i="46"/>
  <c r="J47" i="46" s="1"/>
  <c r="J45" i="46"/>
  <c r="J13" i="46"/>
  <c r="I14" i="46"/>
  <c r="J14" i="46" s="1"/>
  <c r="I68" i="46"/>
  <c r="J68" i="46" s="1"/>
  <c r="J67" i="46"/>
  <c r="J39" i="46"/>
  <c r="I40" i="46"/>
  <c r="J40" i="46" s="1"/>
  <c r="I30" i="46"/>
  <c r="J58" i="46"/>
  <c r="I59" i="46"/>
  <c r="J59" i="46" s="1"/>
  <c r="I76" i="46"/>
  <c r="J76" i="46" s="1"/>
  <c r="J75" i="46"/>
  <c r="I21" i="46"/>
  <c r="J51" i="46"/>
  <c r="J55" i="46"/>
  <c r="J63" i="46"/>
  <c r="J71" i="46"/>
  <c r="J11" i="46"/>
  <c r="J26" i="46"/>
  <c r="J35" i="46"/>
  <c r="J43" i="46"/>
  <c r="I53" i="46"/>
  <c r="J53" i="46" s="1"/>
  <c r="I52" i="46"/>
  <c r="J52" i="46" s="1"/>
  <c r="I20" i="45"/>
  <c r="J20" i="45" s="1"/>
  <c r="I21" i="45"/>
  <c r="J21" i="45" s="1"/>
  <c r="J19" i="45"/>
  <c r="I14" i="45"/>
  <c r="J14" i="45" s="1"/>
  <c r="J13" i="45"/>
  <c r="J6" i="45"/>
  <c r="I7" i="45"/>
  <c r="J7" i="45" s="1"/>
  <c r="J3" i="45"/>
  <c r="J11" i="45"/>
  <c r="J17" i="45"/>
  <c r="I33" i="44"/>
  <c r="J32" i="44"/>
  <c r="I14" i="44"/>
  <c r="I27" i="44"/>
  <c r="I7" i="44"/>
  <c r="J12" i="44"/>
  <c r="I37" i="43"/>
  <c r="J37" i="43" s="1"/>
  <c r="J35" i="43"/>
  <c r="I36" i="43"/>
  <c r="J36" i="43" s="1"/>
  <c r="I26" i="43"/>
  <c r="J26" i="43" s="1"/>
  <c r="J5" i="43"/>
  <c r="I6" i="43"/>
  <c r="J6" i="43" s="1"/>
  <c r="J11" i="43"/>
  <c r="I12" i="43"/>
  <c r="J12" i="43" s="1"/>
  <c r="J17" i="43"/>
  <c r="I18" i="43"/>
  <c r="J18" i="43" s="1"/>
  <c r="J3" i="43"/>
  <c r="I25" i="43"/>
  <c r="J25" i="43" s="1"/>
  <c r="J40" i="43"/>
  <c r="I42" i="43"/>
  <c r="J42" i="43" s="1"/>
  <c r="I41" i="43"/>
  <c r="J41" i="43" s="1"/>
  <c r="J19" i="42"/>
  <c r="I20" i="42"/>
  <c r="J20" i="42" s="1"/>
  <c r="J42" i="42"/>
  <c r="I43" i="42"/>
  <c r="J43" i="42" s="1"/>
  <c r="I87" i="42"/>
  <c r="J87" i="42" s="1"/>
  <c r="J85" i="42"/>
  <c r="I86" i="42"/>
  <c r="J86" i="42" s="1"/>
  <c r="I36" i="42"/>
  <c r="I65" i="42"/>
  <c r="I9" i="42"/>
  <c r="I57" i="42"/>
  <c r="J14" i="42"/>
  <c r="J33" i="42"/>
  <c r="I70" i="42"/>
  <c r="I29" i="42"/>
  <c r="I48" i="42"/>
  <c r="J75" i="42"/>
  <c r="J61" i="42"/>
  <c r="I9" i="41"/>
  <c r="J9" i="41" s="1"/>
  <c r="J8" i="41"/>
  <c r="J17" i="41"/>
  <c r="I18" i="41"/>
  <c r="J18" i="41" s="1"/>
  <c r="I27" i="41"/>
  <c r="J27" i="41" s="1"/>
  <c r="I26" i="41"/>
  <c r="J26" i="41" s="1"/>
  <c r="J25" i="41"/>
  <c r="J36" i="41"/>
  <c r="I37" i="41"/>
  <c r="J31" i="41"/>
  <c r="I32" i="41"/>
  <c r="J32" i="41" s="1"/>
  <c r="J6" i="41"/>
  <c r="J14" i="41"/>
  <c r="J45" i="41"/>
  <c r="I46" i="41"/>
  <c r="J46" i="41" s="1"/>
  <c r="J16" i="40"/>
  <c r="I17" i="40"/>
  <c r="J17" i="40" s="1"/>
  <c r="J25" i="40"/>
  <c r="I26" i="40"/>
  <c r="J26" i="40" s="1"/>
  <c r="J47" i="40"/>
  <c r="I48" i="40"/>
  <c r="J48" i="40" s="1"/>
  <c r="I7" i="40"/>
  <c r="J31" i="40"/>
  <c r="J21" i="40"/>
  <c r="J5" i="39"/>
  <c r="I6" i="39"/>
  <c r="J6" i="39" s="1"/>
  <c r="I38" i="39"/>
  <c r="J38" i="39" s="1"/>
  <c r="J37" i="39"/>
  <c r="J30" i="39"/>
  <c r="I31" i="39"/>
  <c r="J31" i="39" s="1"/>
  <c r="J10" i="39"/>
  <c r="J14" i="39"/>
  <c r="J35" i="39"/>
  <c r="I11" i="39"/>
  <c r="J11" i="39" s="1"/>
  <c r="W109" i="23"/>
  <c r="W108" i="23"/>
  <c r="W107" i="23"/>
  <c r="W106" i="23"/>
  <c r="W105" i="23"/>
  <c r="W104" i="23"/>
  <c r="W103" i="23"/>
  <c r="W102" i="23"/>
  <c r="V101" i="23"/>
  <c r="S101" i="23"/>
  <c r="R101" i="23"/>
  <c r="Q101" i="23"/>
  <c r="P101" i="23"/>
  <c r="O101" i="23"/>
  <c r="N101" i="23"/>
  <c r="M101" i="23"/>
  <c r="L101" i="23"/>
  <c r="K101" i="23"/>
  <c r="J101" i="23"/>
  <c r="I101" i="23"/>
  <c r="H101" i="23"/>
  <c r="G101" i="23"/>
  <c r="F101" i="23"/>
  <c r="E101" i="23"/>
  <c r="W101" i="23" s="1"/>
  <c r="W100" i="23"/>
  <c r="W99" i="23"/>
  <c r="W98" i="23"/>
  <c r="W97" i="23"/>
  <c r="V96" i="23"/>
  <c r="S96" i="23"/>
  <c r="R96" i="23"/>
  <c r="Q96" i="23"/>
  <c r="P96" i="23"/>
  <c r="O96" i="23"/>
  <c r="N96" i="23"/>
  <c r="M96" i="23"/>
  <c r="L96" i="23"/>
  <c r="K96" i="23"/>
  <c r="J96" i="23"/>
  <c r="I96" i="23"/>
  <c r="H96" i="23"/>
  <c r="G96" i="23"/>
  <c r="F96" i="23"/>
  <c r="E96" i="23"/>
  <c r="W96" i="23" s="1"/>
  <c r="W95" i="23"/>
  <c r="W94" i="23"/>
  <c r="V93" i="23"/>
  <c r="S93" i="23"/>
  <c r="R93" i="23"/>
  <c r="Q93" i="23"/>
  <c r="P93" i="23"/>
  <c r="O93" i="23"/>
  <c r="N93" i="23"/>
  <c r="M93" i="23"/>
  <c r="L93" i="23"/>
  <c r="K93" i="23"/>
  <c r="J93" i="23"/>
  <c r="I93" i="23"/>
  <c r="H93" i="23"/>
  <c r="G93" i="23"/>
  <c r="F93" i="23"/>
  <c r="E93" i="23"/>
  <c r="W92" i="23"/>
  <c r="V91" i="23"/>
  <c r="S91" i="23"/>
  <c r="R91" i="23"/>
  <c r="Q91" i="23"/>
  <c r="P91" i="23"/>
  <c r="O91" i="23"/>
  <c r="N91" i="23"/>
  <c r="M91" i="23"/>
  <c r="L91" i="23"/>
  <c r="K91" i="23"/>
  <c r="J91" i="23"/>
  <c r="I91" i="23"/>
  <c r="H91" i="23"/>
  <c r="G91" i="23"/>
  <c r="F91" i="23"/>
  <c r="E91" i="23"/>
  <c r="V90" i="23"/>
  <c r="S90" i="23"/>
  <c r="S89" i="23" s="1"/>
  <c r="R90" i="23"/>
  <c r="Q90" i="23"/>
  <c r="Q89" i="23" s="1"/>
  <c r="P90" i="23"/>
  <c r="P89" i="23" s="1"/>
  <c r="P85" i="23" s="1"/>
  <c r="O90" i="23"/>
  <c r="O89" i="23" s="1"/>
  <c r="N90" i="23"/>
  <c r="M90" i="23"/>
  <c r="M89" i="23" s="1"/>
  <c r="L90" i="23"/>
  <c r="L89" i="23" s="1"/>
  <c r="L85" i="23" s="1"/>
  <c r="K90" i="23"/>
  <c r="K89" i="23" s="1"/>
  <c r="J90" i="23"/>
  <c r="I90" i="23"/>
  <c r="I89" i="23" s="1"/>
  <c r="H90" i="23"/>
  <c r="H89" i="23" s="1"/>
  <c r="G90" i="23"/>
  <c r="G89" i="23" s="1"/>
  <c r="F90" i="23"/>
  <c r="E90" i="23"/>
  <c r="V89" i="23"/>
  <c r="V85" i="23" s="1"/>
  <c r="W88" i="23"/>
  <c r="W87" i="23"/>
  <c r="V86" i="23"/>
  <c r="S86" i="23"/>
  <c r="S85" i="23" s="1"/>
  <c r="R86" i="23"/>
  <c r="Q86" i="23"/>
  <c r="P86" i="23"/>
  <c r="O86" i="23"/>
  <c r="O85" i="23" s="1"/>
  <c r="N86" i="23"/>
  <c r="M86" i="23"/>
  <c r="L86" i="23"/>
  <c r="K86" i="23"/>
  <c r="K85" i="23" s="1"/>
  <c r="J86" i="23"/>
  <c r="I86" i="23"/>
  <c r="H86" i="23"/>
  <c r="G86" i="23"/>
  <c r="G85" i="23" s="1"/>
  <c r="F86" i="23"/>
  <c r="E86" i="23"/>
  <c r="W84" i="23"/>
  <c r="V83" i="23"/>
  <c r="S83" i="23"/>
  <c r="R83" i="23"/>
  <c r="Q83" i="23"/>
  <c r="P83" i="23"/>
  <c r="O83" i="23"/>
  <c r="N83" i="23"/>
  <c r="M83" i="23"/>
  <c r="L83" i="23"/>
  <c r="K83" i="23"/>
  <c r="J83" i="23"/>
  <c r="I83" i="23"/>
  <c r="H83" i="23"/>
  <c r="G83" i="23"/>
  <c r="F83" i="23"/>
  <c r="E83" i="23"/>
  <c r="V82" i="23"/>
  <c r="S82" i="23"/>
  <c r="S81" i="23" s="1"/>
  <c r="R82" i="23"/>
  <c r="Q82" i="23"/>
  <c r="Q81" i="23" s="1"/>
  <c r="P82" i="23"/>
  <c r="P81" i="23" s="1"/>
  <c r="O82" i="23"/>
  <c r="O81" i="23" s="1"/>
  <c r="N82" i="23"/>
  <c r="M82" i="23"/>
  <c r="M81" i="23" s="1"/>
  <c r="L82" i="23"/>
  <c r="K82" i="23"/>
  <c r="K81" i="23" s="1"/>
  <c r="J82" i="23"/>
  <c r="I82" i="23"/>
  <c r="I81" i="23" s="1"/>
  <c r="H82" i="23"/>
  <c r="H81" i="23" s="1"/>
  <c r="G82" i="23"/>
  <c r="G81" i="23" s="1"/>
  <c r="F82" i="23"/>
  <c r="E82" i="23"/>
  <c r="V81" i="23"/>
  <c r="R81" i="23"/>
  <c r="N81" i="23"/>
  <c r="L81" i="23"/>
  <c r="J81" i="23"/>
  <c r="F81" i="23"/>
  <c r="V80" i="23"/>
  <c r="S80" i="23"/>
  <c r="S79" i="23" s="1"/>
  <c r="R80" i="23"/>
  <c r="Q80" i="23"/>
  <c r="Q79" i="23" s="1"/>
  <c r="P80" i="23"/>
  <c r="P79" i="23" s="1"/>
  <c r="O80" i="23"/>
  <c r="O79" i="23" s="1"/>
  <c r="N80" i="23"/>
  <c r="M80" i="23"/>
  <c r="M79" i="23" s="1"/>
  <c r="L80" i="23"/>
  <c r="K80" i="23"/>
  <c r="K79" i="23" s="1"/>
  <c r="J80" i="23"/>
  <c r="I80" i="23"/>
  <c r="I79" i="23" s="1"/>
  <c r="H80" i="23"/>
  <c r="H79" i="23" s="1"/>
  <c r="G80" i="23"/>
  <c r="G79" i="23" s="1"/>
  <c r="F80" i="23"/>
  <c r="E80" i="23"/>
  <c r="E79" i="23" s="1"/>
  <c r="V79" i="23"/>
  <c r="R79" i="23"/>
  <c r="N79" i="23"/>
  <c r="L79" i="23"/>
  <c r="J79" i="23"/>
  <c r="F79" i="23"/>
  <c r="W78" i="23"/>
  <c r="V77" i="23"/>
  <c r="S77" i="23"/>
  <c r="R77" i="23"/>
  <c r="Q77" i="23"/>
  <c r="P77" i="23"/>
  <c r="O77" i="23"/>
  <c r="N77" i="23"/>
  <c r="M77" i="23"/>
  <c r="L77" i="23"/>
  <c r="K77" i="23"/>
  <c r="J77" i="23"/>
  <c r="I77" i="23"/>
  <c r="H77" i="23"/>
  <c r="G77" i="23"/>
  <c r="F77" i="23"/>
  <c r="E77" i="23"/>
  <c r="V76" i="23"/>
  <c r="S76" i="23"/>
  <c r="S75" i="23" s="1"/>
  <c r="R76" i="23"/>
  <c r="R75" i="23" s="1"/>
  <c r="Q76" i="23"/>
  <c r="Q75" i="23" s="1"/>
  <c r="P76" i="23"/>
  <c r="O76" i="23"/>
  <c r="O75" i="23" s="1"/>
  <c r="N76" i="23"/>
  <c r="M76" i="23"/>
  <c r="M75" i="23" s="1"/>
  <c r="L76" i="23"/>
  <c r="K76" i="23"/>
  <c r="K75" i="23" s="1"/>
  <c r="J76" i="23"/>
  <c r="J75" i="23" s="1"/>
  <c r="I76" i="23"/>
  <c r="I75" i="23" s="1"/>
  <c r="H76" i="23"/>
  <c r="G76" i="23"/>
  <c r="G75" i="23" s="1"/>
  <c r="F76" i="23"/>
  <c r="E76" i="23"/>
  <c r="E75" i="23" s="1"/>
  <c r="V75" i="23"/>
  <c r="P75" i="23"/>
  <c r="N75" i="23"/>
  <c r="L75" i="23"/>
  <c r="H75" i="23"/>
  <c r="F75" i="23"/>
  <c r="V74" i="23"/>
  <c r="S74" i="23"/>
  <c r="S73" i="23" s="1"/>
  <c r="R74" i="23"/>
  <c r="R73" i="23" s="1"/>
  <c r="Q74" i="23"/>
  <c r="Q73" i="23" s="1"/>
  <c r="P74" i="23"/>
  <c r="O74" i="23"/>
  <c r="O73" i="23" s="1"/>
  <c r="N74" i="23"/>
  <c r="M74" i="23"/>
  <c r="M73" i="23" s="1"/>
  <c r="L74" i="23"/>
  <c r="K74" i="23"/>
  <c r="K73" i="23" s="1"/>
  <c r="J74" i="23"/>
  <c r="J73" i="23" s="1"/>
  <c r="I74" i="23"/>
  <c r="I73" i="23" s="1"/>
  <c r="H74" i="23"/>
  <c r="H73" i="23" s="1"/>
  <c r="G74" i="23"/>
  <c r="G73" i="23" s="1"/>
  <c r="F74" i="23"/>
  <c r="E74" i="23"/>
  <c r="W74" i="23" s="1"/>
  <c r="V73" i="23"/>
  <c r="P73" i="23"/>
  <c r="N73" i="23"/>
  <c r="L73" i="23"/>
  <c r="F73" i="23"/>
  <c r="V72" i="23"/>
  <c r="S72" i="23"/>
  <c r="S71" i="23" s="1"/>
  <c r="R72" i="23"/>
  <c r="R71" i="23" s="1"/>
  <c r="Q72" i="23"/>
  <c r="Q71" i="23" s="1"/>
  <c r="P72" i="23"/>
  <c r="O72" i="23"/>
  <c r="O71" i="23" s="1"/>
  <c r="N72" i="23"/>
  <c r="M72" i="23"/>
  <c r="M71" i="23" s="1"/>
  <c r="L72" i="23"/>
  <c r="K72" i="23"/>
  <c r="K71" i="23" s="1"/>
  <c r="J72" i="23"/>
  <c r="J71" i="23" s="1"/>
  <c r="I72" i="23"/>
  <c r="I71" i="23" s="1"/>
  <c r="H72" i="23"/>
  <c r="H71" i="23" s="1"/>
  <c r="G72" i="23"/>
  <c r="G71" i="23" s="1"/>
  <c r="F72" i="23"/>
  <c r="E72" i="23"/>
  <c r="E71" i="23" s="1"/>
  <c r="V71" i="23"/>
  <c r="P71" i="23"/>
  <c r="N71" i="23"/>
  <c r="L71" i="23"/>
  <c r="F71" i="23"/>
  <c r="W70" i="23"/>
  <c r="W69" i="23"/>
  <c r="I68" i="23"/>
  <c r="I53" i="23" s="1"/>
  <c r="H68" i="23"/>
  <c r="W68" i="23" s="1"/>
  <c r="G68" i="23"/>
  <c r="W67" i="23"/>
  <c r="W66" i="23"/>
  <c r="W65" i="23"/>
  <c r="W64" i="23"/>
  <c r="W63" i="23"/>
  <c r="W62" i="23"/>
  <c r="W61" i="23"/>
  <c r="W60" i="23"/>
  <c r="W59" i="23"/>
  <c r="W58" i="23"/>
  <c r="W57" i="23"/>
  <c r="W56" i="23"/>
  <c r="W55" i="23"/>
  <c r="H54" i="23"/>
  <c r="G54" i="23"/>
  <c r="E54" i="23"/>
  <c r="V53" i="23"/>
  <c r="S53" i="23"/>
  <c r="R53" i="23"/>
  <c r="Q53" i="23"/>
  <c r="P53" i="23"/>
  <c r="O53" i="23"/>
  <c r="N53" i="23"/>
  <c r="M53" i="23"/>
  <c r="L53" i="23"/>
  <c r="K53" i="23"/>
  <c r="J53" i="23"/>
  <c r="H53" i="23"/>
  <c r="G53" i="23"/>
  <c r="F53" i="23"/>
  <c r="W51" i="23"/>
  <c r="W50" i="23"/>
  <c r="W49" i="23"/>
  <c r="W48" i="23"/>
  <c r="V47" i="23"/>
  <c r="S47" i="23"/>
  <c r="R47" i="23"/>
  <c r="Q47" i="23"/>
  <c r="P47" i="23"/>
  <c r="O47" i="23"/>
  <c r="N47" i="23"/>
  <c r="M47" i="23"/>
  <c r="L47" i="23"/>
  <c r="K47" i="23"/>
  <c r="J47" i="23"/>
  <c r="I47" i="23"/>
  <c r="H47" i="23"/>
  <c r="G47" i="23"/>
  <c r="F47" i="23"/>
  <c r="E47" i="23"/>
  <c r="W46" i="23"/>
  <c r="V45" i="23"/>
  <c r="S45" i="23"/>
  <c r="R45" i="23"/>
  <c r="Q45" i="23"/>
  <c r="P45" i="23"/>
  <c r="O45" i="23"/>
  <c r="N45" i="23"/>
  <c r="M45" i="23"/>
  <c r="L45" i="23"/>
  <c r="K45" i="23"/>
  <c r="J45" i="23"/>
  <c r="I45" i="23"/>
  <c r="H45" i="23"/>
  <c r="G45" i="23"/>
  <c r="F45" i="23"/>
  <c r="E45" i="23"/>
  <c r="W44" i="23"/>
  <c r="W43" i="23"/>
  <c r="V42" i="23"/>
  <c r="S42" i="23"/>
  <c r="R42" i="23"/>
  <c r="Q42" i="23"/>
  <c r="P42" i="23"/>
  <c r="O42" i="23"/>
  <c r="N42" i="23"/>
  <c r="M42" i="23"/>
  <c r="L42" i="23"/>
  <c r="K42" i="23"/>
  <c r="J42" i="23"/>
  <c r="I42" i="23"/>
  <c r="H42" i="23"/>
  <c r="G42" i="23"/>
  <c r="F42" i="23"/>
  <c r="E42" i="23"/>
  <c r="W42" i="23" s="1"/>
  <c r="W41" i="23"/>
  <c r="V40" i="23"/>
  <c r="S40" i="23"/>
  <c r="S31" i="23" s="1"/>
  <c r="R40" i="23"/>
  <c r="Q40" i="23"/>
  <c r="P40" i="23"/>
  <c r="O40" i="23"/>
  <c r="O31" i="23" s="1"/>
  <c r="N40" i="23"/>
  <c r="M40" i="23"/>
  <c r="L40" i="23"/>
  <c r="K40" i="23"/>
  <c r="K31" i="23" s="1"/>
  <c r="J40" i="23"/>
  <c r="I40" i="23"/>
  <c r="H40" i="23"/>
  <c r="G40" i="23"/>
  <c r="G31" i="23" s="1"/>
  <c r="F40" i="23"/>
  <c r="E40" i="23"/>
  <c r="W39" i="23"/>
  <c r="W38" i="23"/>
  <c r="W37" i="23"/>
  <c r="W36" i="23"/>
  <c r="W35" i="23"/>
  <c r="W34" i="23"/>
  <c r="W33" i="23"/>
  <c r="V32" i="23"/>
  <c r="S32" i="23"/>
  <c r="R32" i="23"/>
  <c r="Q32" i="23"/>
  <c r="P32" i="23"/>
  <c r="O32" i="23"/>
  <c r="N32" i="23"/>
  <c r="M32" i="23"/>
  <c r="L32" i="23"/>
  <c r="K32" i="23"/>
  <c r="J32" i="23"/>
  <c r="I32" i="23"/>
  <c r="H32" i="23"/>
  <c r="G32" i="23"/>
  <c r="F32" i="23"/>
  <c r="E32" i="23"/>
  <c r="W32" i="23" s="1"/>
  <c r="V31" i="23"/>
  <c r="R31" i="23"/>
  <c r="Q31" i="23"/>
  <c r="P31" i="23"/>
  <c r="N31" i="23"/>
  <c r="M31" i="23"/>
  <c r="L31" i="23"/>
  <c r="J31" i="23"/>
  <c r="I31" i="23"/>
  <c r="H31" i="23"/>
  <c r="F31" i="23"/>
  <c r="E31" i="23"/>
  <c r="V30" i="23"/>
  <c r="S30" i="23"/>
  <c r="R30" i="23"/>
  <c r="Q30" i="23"/>
  <c r="P30" i="23"/>
  <c r="O30" i="23"/>
  <c r="N30" i="23"/>
  <c r="M30" i="23"/>
  <c r="L30" i="23"/>
  <c r="K30" i="23"/>
  <c r="J30" i="23"/>
  <c r="I30" i="23"/>
  <c r="H30" i="23"/>
  <c r="G30" i="23"/>
  <c r="F30" i="23"/>
  <c r="E30" i="23"/>
  <c r="W30" i="23" s="1"/>
  <c r="V29" i="23"/>
  <c r="S29" i="23"/>
  <c r="R29" i="23"/>
  <c r="Q29" i="23"/>
  <c r="P29" i="23"/>
  <c r="O29" i="23"/>
  <c r="N29" i="23"/>
  <c r="M29" i="23"/>
  <c r="L29" i="23"/>
  <c r="K29" i="23"/>
  <c r="J29" i="23"/>
  <c r="I29" i="23"/>
  <c r="H29" i="23"/>
  <c r="G29" i="23"/>
  <c r="F29" i="23"/>
  <c r="E29" i="23"/>
  <c r="W29" i="23" s="1"/>
  <c r="V28" i="23"/>
  <c r="S28" i="23"/>
  <c r="R28" i="23"/>
  <c r="Q28" i="23"/>
  <c r="P28" i="23"/>
  <c r="O28" i="23"/>
  <c r="N28" i="23"/>
  <c r="M28" i="23"/>
  <c r="L28" i="23"/>
  <c r="K28" i="23"/>
  <c r="J28" i="23"/>
  <c r="I28" i="23"/>
  <c r="H28" i="23"/>
  <c r="G28" i="23"/>
  <c r="F28" i="23"/>
  <c r="E28" i="23"/>
  <c r="W28" i="23" s="1"/>
  <c r="V27" i="23"/>
  <c r="S27" i="23"/>
  <c r="R27" i="23"/>
  <c r="Q27" i="23"/>
  <c r="P27" i="23"/>
  <c r="O27" i="23"/>
  <c r="N27" i="23"/>
  <c r="M27" i="23"/>
  <c r="L27" i="23"/>
  <c r="K27" i="23"/>
  <c r="J27" i="23"/>
  <c r="I27" i="23"/>
  <c r="H27" i="23"/>
  <c r="G27" i="23"/>
  <c r="F27" i="23"/>
  <c r="E27" i="23"/>
  <c r="W27" i="23" s="1"/>
  <c r="V26" i="23"/>
  <c r="S26" i="23"/>
  <c r="R26" i="23"/>
  <c r="Q26" i="23"/>
  <c r="P26" i="23"/>
  <c r="O26" i="23"/>
  <c r="N26" i="23"/>
  <c r="M26" i="23"/>
  <c r="L26" i="23"/>
  <c r="K26" i="23"/>
  <c r="J26" i="23"/>
  <c r="I26" i="23"/>
  <c r="H26" i="23"/>
  <c r="G26" i="23"/>
  <c r="F26" i="23"/>
  <c r="E26" i="23"/>
  <c r="W26" i="23" s="1"/>
  <c r="V25" i="23"/>
  <c r="S25" i="23"/>
  <c r="R25" i="23"/>
  <c r="Q25" i="23"/>
  <c r="P25" i="23"/>
  <c r="O25" i="23"/>
  <c r="N25" i="23"/>
  <c r="M25" i="23"/>
  <c r="L25" i="23"/>
  <c r="K25" i="23"/>
  <c r="J25" i="23"/>
  <c r="I25" i="23"/>
  <c r="H25" i="23"/>
  <c r="G25" i="23"/>
  <c r="F25" i="23"/>
  <c r="E25" i="23"/>
  <c r="W25" i="23" s="1"/>
  <c r="V24" i="23"/>
  <c r="S24" i="23"/>
  <c r="R24" i="23"/>
  <c r="Q24" i="23"/>
  <c r="P24" i="23"/>
  <c r="O24" i="23"/>
  <c r="N24" i="23"/>
  <c r="M24" i="23"/>
  <c r="L24" i="23"/>
  <c r="K24" i="23"/>
  <c r="J24" i="23"/>
  <c r="I24" i="23"/>
  <c r="H24" i="23"/>
  <c r="G24" i="23"/>
  <c r="F24" i="23"/>
  <c r="E24" i="23"/>
  <c r="W24" i="23" s="1"/>
  <c r="V23" i="23"/>
  <c r="S23" i="23"/>
  <c r="R23" i="23"/>
  <c r="Q23" i="23"/>
  <c r="P23" i="23"/>
  <c r="O23" i="23"/>
  <c r="N23" i="23"/>
  <c r="M23" i="23"/>
  <c r="L23" i="23"/>
  <c r="K23" i="23"/>
  <c r="J23" i="23"/>
  <c r="I23" i="23"/>
  <c r="H23" i="23"/>
  <c r="G23" i="23"/>
  <c r="F23" i="23"/>
  <c r="E23" i="23"/>
  <c r="W23" i="23" s="1"/>
  <c r="V22" i="23"/>
  <c r="S22" i="23"/>
  <c r="R22" i="23"/>
  <c r="Q22" i="23"/>
  <c r="P22" i="23"/>
  <c r="O22" i="23"/>
  <c r="N22" i="23"/>
  <c r="M22" i="23"/>
  <c r="L22" i="23"/>
  <c r="K22" i="23"/>
  <c r="J22" i="23"/>
  <c r="I22" i="23"/>
  <c r="H22" i="23"/>
  <c r="G22" i="23"/>
  <c r="F22" i="23"/>
  <c r="E22" i="23"/>
  <c r="W22" i="23" s="1"/>
  <c r="V21" i="23"/>
  <c r="S21" i="23"/>
  <c r="R21" i="23"/>
  <c r="Q21" i="23"/>
  <c r="P21" i="23"/>
  <c r="O21" i="23"/>
  <c r="N21" i="23"/>
  <c r="M21" i="23"/>
  <c r="L21" i="23"/>
  <c r="K21" i="23"/>
  <c r="J21" i="23"/>
  <c r="I21" i="23"/>
  <c r="H21" i="23"/>
  <c r="G21" i="23"/>
  <c r="F21" i="23"/>
  <c r="E21" i="23"/>
  <c r="W21" i="23" s="1"/>
  <c r="V20" i="23"/>
  <c r="S20" i="23"/>
  <c r="R20" i="23"/>
  <c r="Q20" i="23"/>
  <c r="P20" i="23"/>
  <c r="O20" i="23"/>
  <c r="N20" i="23"/>
  <c r="M20" i="23"/>
  <c r="L20" i="23"/>
  <c r="K20" i="23"/>
  <c r="J20" i="23"/>
  <c r="I20" i="23"/>
  <c r="H20" i="23"/>
  <c r="G20" i="23"/>
  <c r="F20" i="23"/>
  <c r="E20" i="23"/>
  <c r="W20" i="23" s="1"/>
  <c r="W19" i="23"/>
  <c r="W18" i="23"/>
  <c r="V17" i="23"/>
  <c r="S17" i="23"/>
  <c r="R17" i="23"/>
  <c r="Q17" i="23"/>
  <c r="P17" i="23"/>
  <c r="O17" i="23"/>
  <c r="N17" i="23"/>
  <c r="M17" i="23"/>
  <c r="L17" i="23"/>
  <c r="K17" i="23"/>
  <c r="J17" i="23"/>
  <c r="I17" i="23"/>
  <c r="H17" i="23"/>
  <c r="G17" i="23"/>
  <c r="F17" i="23"/>
  <c r="E17" i="23"/>
  <c r="W16" i="23"/>
  <c r="V15" i="23"/>
  <c r="S15" i="23"/>
  <c r="R15" i="23"/>
  <c r="Q15" i="23"/>
  <c r="P15" i="23"/>
  <c r="O15" i="23"/>
  <c r="N15" i="23"/>
  <c r="M15" i="23"/>
  <c r="L15" i="23"/>
  <c r="K15" i="23"/>
  <c r="J15" i="23"/>
  <c r="I15" i="23"/>
  <c r="H15" i="23"/>
  <c r="G15" i="23"/>
  <c r="F15" i="23"/>
  <c r="E15" i="23"/>
  <c r="V14" i="23"/>
  <c r="S14" i="23"/>
  <c r="R14" i="23"/>
  <c r="Q14" i="23"/>
  <c r="P14" i="23"/>
  <c r="O14" i="23"/>
  <c r="N14" i="23"/>
  <c r="M14" i="23"/>
  <c r="L14" i="23"/>
  <c r="K14" i="23"/>
  <c r="J14" i="23"/>
  <c r="I14" i="23"/>
  <c r="H14" i="23"/>
  <c r="G14" i="23"/>
  <c r="F14" i="23"/>
  <c r="E14" i="23"/>
  <c r="V13" i="23"/>
  <c r="S13" i="23"/>
  <c r="R13" i="23"/>
  <c r="Q13" i="23"/>
  <c r="P13" i="23"/>
  <c r="O13" i="23"/>
  <c r="N13" i="23"/>
  <c r="M13" i="23"/>
  <c r="L13" i="23"/>
  <c r="K13" i="23"/>
  <c r="J13" i="23"/>
  <c r="I13" i="23"/>
  <c r="H13" i="23"/>
  <c r="G13" i="23"/>
  <c r="F13" i="23"/>
  <c r="E13" i="23"/>
  <c r="V12" i="23"/>
  <c r="S12" i="23"/>
  <c r="R12" i="23"/>
  <c r="Q12" i="23"/>
  <c r="P12" i="23"/>
  <c r="O12" i="23"/>
  <c r="N12" i="23"/>
  <c r="M12" i="23"/>
  <c r="L12" i="23"/>
  <c r="K12" i="23"/>
  <c r="J12" i="23"/>
  <c r="I12" i="23"/>
  <c r="H12" i="23"/>
  <c r="G12" i="23"/>
  <c r="F12" i="23"/>
  <c r="E12" i="23"/>
  <c r="V11" i="23"/>
  <c r="S11" i="23"/>
  <c r="R11" i="23"/>
  <c r="Q11" i="23"/>
  <c r="P11" i="23"/>
  <c r="O11" i="23"/>
  <c r="N11" i="23"/>
  <c r="M11" i="23"/>
  <c r="L11" i="23"/>
  <c r="K11" i="23"/>
  <c r="J11" i="23"/>
  <c r="I11" i="23"/>
  <c r="H11" i="23"/>
  <c r="G11" i="23"/>
  <c r="F11" i="23"/>
  <c r="E11" i="23"/>
  <c r="V10" i="23"/>
  <c r="V8" i="23" s="1"/>
  <c r="V4" i="23" s="1"/>
  <c r="S10" i="23"/>
  <c r="S8" i="23" s="1"/>
  <c r="S4" i="23" s="1"/>
  <c r="R10" i="23"/>
  <c r="Q10" i="23"/>
  <c r="P10" i="23"/>
  <c r="P8" i="23" s="1"/>
  <c r="P4" i="23" s="1"/>
  <c r="O10" i="23"/>
  <c r="O8" i="23" s="1"/>
  <c r="O4" i="23" s="1"/>
  <c r="N10" i="23"/>
  <c r="M10" i="23"/>
  <c r="L10" i="23"/>
  <c r="L8" i="23" s="1"/>
  <c r="L4" i="23" s="1"/>
  <c r="K10" i="23"/>
  <c r="K8" i="23" s="1"/>
  <c r="K4" i="23" s="1"/>
  <c r="J10" i="23"/>
  <c r="I10" i="23"/>
  <c r="H10" i="23"/>
  <c r="H8" i="23" s="1"/>
  <c r="H4" i="23" s="1"/>
  <c r="G10" i="23"/>
  <c r="G8" i="23" s="1"/>
  <c r="G4" i="23" s="1"/>
  <c r="F10" i="23"/>
  <c r="E10" i="23"/>
  <c r="W9" i="23"/>
  <c r="R8" i="23"/>
  <c r="R4" i="23" s="1"/>
  <c r="Q8" i="23"/>
  <c r="Q4" i="23" s="1"/>
  <c r="N8" i="23"/>
  <c r="N4" i="23" s="1"/>
  <c r="M8" i="23"/>
  <c r="M4" i="23" s="1"/>
  <c r="J8" i="23"/>
  <c r="J4" i="23" s="1"/>
  <c r="I8" i="23"/>
  <c r="I4" i="23" s="1"/>
  <c r="F8" i="23"/>
  <c r="F4" i="23" s="1"/>
  <c r="E8" i="23"/>
  <c r="E4" i="23" s="1"/>
  <c r="W7" i="23"/>
  <c r="W6" i="23"/>
  <c r="V5" i="23"/>
  <c r="S5" i="23"/>
  <c r="R5" i="23"/>
  <c r="Q5" i="23"/>
  <c r="P5" i="23"/>
  <c r="O5" i="23"/>
  <c r="N5" i="23"/>
  <c r="M5" i="23"/>
  <c r="L5" i="23"/>
  <c r="K5" i="23"/>
  <c r="J5" i="23"/>
  <c r="I5" i="23"/>
  <c r="H5" i="23"/>
  <c r="G5" i="23"/>
  <c r="F5" i="23"/>
  <c r="E5" i="23"/>
  <c r="Q109" i="19"/>
  <c r="Q108" i="19"/>
  <c r="Q107" i="19"/>
  <c r="Q106" i="19"/>
  <c r="Q105" i="19"/>
  <c r="Q104" i="19"/>
  <c r="N104" i="19"/>
  <c r="N101" i="19" s="1"/>
  <c r="Q103" i="19"/>
  <c r="Q102" i="19"/>
  <c r="P101" i="19"/>
  <c r="O101" i="19"/>
  <c r="M101" i="19"/>
  <c r="L101" i="19"/>
  <c r="K101" i="19"/>
  <c r="J101" i="19"/>
  <c r="I101" i="19"/>
  <c r="H101" i="19"/>
  <c r="G101" i="19"/>
  <c r="F101" i="19"/>
  <c r="E101" i="19"/>
  <c r="Q100" i="19"/>
  <c r="Q99" i="19"/>
  <c r="Q98" i="19"/>
  <c r="Q97" i="19"/>
  <c r="P96" i="19"/>
  <c r="O96" i="19"/>
  <c r="N96" i="19"/>
  <c r="M96" i="19"/>
  <c r="L96" i="19"/>
  <c r="K96" i="19"/>
  <c r="J96" i="19"/>
  <c r="I96" i="19"/>
  <c r="H96" i="19"/>
  <c r="G96" i="19"/>
  <c r="F96" i="19"/>
  <c r="E96" i="19"/>
  <c r="Q95" i="19"/>
  <c r="Q94" i="19"/>
  <c r="P93" i="19"/>
  <c r="O93" i="19"/>
  <c r="N93" i="19"/>
  <c r="M93" i="19"/>
  <c r="L93" i="19"/>
  <c r="K93" i="19"/>
  <c r="J93" i="19"/>
  <c r="I93" i="19"/>
  <c r="H93" i="19"/>
  <c r="G93" i="19"/>
  <c r="F93" i="19"/>
  <c r="E93" i="19"/>
  <c r="Q92" i="19"/>
  <c r="P91" i="19"/>
  <c r="O91" i="19"/>
  <c r="N91" i="19"/>
  <c r="M91" i="19"/>
  <c r="L91" i="19"/>
  <c r="K91" i="19"/>
  <c r="J91" i="19"/>
  <c r="I91" i="19"/>
  <c r="H91" i="19"/>
  <c r="G91" i="19"/>
  <c r="F91" i="19"/>
  <c r="E91" i="19"/>
  <c r="P90" i="19"/>
  <c r="O90" i="19"/>
  <c r="N90" i="19"/>
  <c r="M90" i="19"/>
  <c r="L90" i="19"/>
  <c r="K90" i="19"/>
  <c r="J90" i="19"/>
  <c r="I90" i="19"/>
  <c r="H90" i="19"/>
  <c r="G90" i="19"/>
  <c r="F90" i="19"/>
  <c r="E90" i="19"/>
  <c r="P89" i="19"/>
  <c r="P85" i="19" s="1"/>
  <c r="O89" i="19"/>
  <c r="O85" i="19" s="1"/>
  <c r="N89" i="19"/>
  <c r="M89" i="19"/>
  <c r="L89" i="19"/>
  <c r="L85" i="19" s="1"/>
  <c r="K89" i="19"/>
  <c r="K85" i="19" s="1"/>
  <c r="J89" i="19"/>
  <c r="I89" i="19"/>
  <c r="H89" i="19"/>
  <c r="H85" i="19" s="1"/>
  <c r="G89" i="19"/>
  <c r="G85" i="19" s="1"/>
  <c r="F89" i="19"/>
  <c r="E89" i="19"/>
  <c r="Q88" i="19"/>
  <c r="Q87" i="19"/>
  <c r="P86" i="19"/>
  <c r="O86" i="19"/>
  <c r="N86" i="19"/>
  <c r="M86" i="19"/>
  <c r="L86" i="19"/>
  <c r="K86" i="19"/>
  <c r="J86" i="19"/>
  <c r="I86" i="19"/>
  <c r="H86" i="19"/>
  <c r="G86" i="19"/>
  <c r="F86" i="19"/>
  <c r="E86" i="19"/>
  <c r="Q86" i="19" s="1"/>
  <c r="N85" i="19"/>
  <c r="M85" i="19"/>
  <c r="J85" i="19"/>
  <c r="I85" i="19"/>
  <c r="F85" i="19"/>
  <c r="E85" i="19"/>
  <c r="Q84" i="19"/>
  <c r="P83" i="19"/>
  <c r="O83" i="19"/>
  <c r="N83" i="19"/>
  <c r="M83" i="19"/>
  <c r="L83" i="19"/>
  <c r="K83" i="19"/>
  <c r="J83" i="19"/>
  <c r="I83" i="19"/>
  <c r="H83" i="19"/>
  <c r="G83" i="19"/>
  <c r="F83" i="19"/>
  <c r="E83" i="19"/>
  <c r="P82" i="19"/>
  <c r="O82" i="19"/>
  <c r="O81" i="19" s="1"/>
  <c r="O52" i="19" s="1"/>
  <c r="N82" i="19"/>
  <c r="N81" i="19" s="1"/>
  <c r="M82" i="19"/>
  <c r="L82" i="19"/>
  <c r="K82" i="19"/>
  <c r="K81" i="19" s="1"/>
  <c r="K52" i="19" s="1"/>
  <c r="J82" i="19"/>
  <c r="J81" i="19" s="1"/>
  <c r="I82" i="19"/>
  <c r="H82" i="19"/>
  <c r="G82" i="19"/>
  <c r="G81" i="19" s="1"/>
  <c r="E82" i="19"/>
  <c r="E81" i="19" s="1"/>
  <c r="P81" i="19"/>
  <c r="M81" i="19"/>
  <c r="L81" i="19"/>
  <c r="I81" i="19"/>
  <c r="H81" i="19"/>
  <c r="P80" i="19"/>
  <c r="O80" i="19"/>
  <c r="N80" i="19"/>
  <c r="M80" i="19"/>
  <c r="L80" i="19"/>
  <c r="K80" i="19"/>
  <c r="J80" i="19"/>
  <c r="I80" i="19"/>
  <c r="H80" i="19"/>
  <c r="G80" i="19"/>
  <c r="F80" i="19"/>
  <c r="E80" i="19"/>
  <c r="P79" i="19"/>
  <c r="P52" i="19" s="1"/>
  <c r="O79" i="19"/>
  <c r="N79" i="19"/>
  <c r="M79" i="19"/>
  <c r="L79" i="19"/>
  <c r="L52" i="19" s="1"/>
  <c r="K79" i="19"/>
  <c r="J79" i="19"/>
  <c r="I79" i="19"/>
  <c r="H79" i="19"/>
  <c r="H52" i="19" s="1"/>
  <c r="G79" i="19"/>
  <c r="F79" i="19"/>
  <c r="E79" i="19"/>
  <c r="Q78" i="19"/>
  <c r="P77" i="19"/>
  <c r="O77" i="19"/>
  <c r="N77" i="19"/>
  <c r="M77" i="19"/>
  <c r="L77" i="19"/>
  <c r="K77" i="19"/>
  <c r="J77" i="19"/>
  <c r="I77" i="19"/>
  <c r="H77" i="19"/>
  <c r="G77" i="19"/>
  <c r="F77" i="19"/>
  <c r="E77" i="19"/>
  <c r="Q77" i="19" s="1"/>
  <c r="P76" i="19"/>
  <c r="O76" i="19"/>
  <c r="N76" i="19"/>
  <c r="M76" i="19"/>
  <c r="L76" i="19"/>
  <c r="K76" i="19"/>
  <c r="J76" i="19"/>
  <c r="I76" i="19"/>
  <c r="H76" i="19"/>
  <c r="G76" i="19"/>
  <c r="F76" i="19"/>
  <c r="E76" i="19"/>
  <c r="Q76" i="19" s="1"/>
  <c r="P75" i="19"/>
  <c r="O75" i="19"/>
  <c r="N75" i="19"/>
  <c r="M75" i="19"/>
  <c r="L75" i="19"/>
  <c r="K75" i="19"/>
  <c r="J75" i="19"/>
  <c r="I75" i="19"/>
  <c r="H75" i="19"/>
  <c r="G75" i="19"/>
  <c r="F75" i="19"/>
  <c r="E75" i="19"/>
  <c r="Q75" i="19" s="1"/>
  <c r="P74" i="19"/>
  <c r="O74" i="19"/>
  <c r="N74" i="19"/>
  <c r="M74" i="19"/>
  <c r="L74" i="19"/>
  <c r="K74" i="19"/>
  <c r="J74" i="19"/>
  <c r="I74" i="19"/>
  <c r="H74" i="19"/>
  <c r="G74" i="19"/>
  <c r="F74" i="19"/>
  <c r="E74" i="19"/>
  <c r="Q74" i="19" s="1"/>
  <c r="P73" i="19"/>
  <c r="O73" i="19"/>
  <c r="N73" i="19"/>
  <c r="M73" i="19"/>
  <c r="L73" i="19"/>
  <c r="K73" i="19"/>
  <c r="J73" i="19"/>
  <c r="I73" i="19"/>
  <c r="H73" i="19"/>
  <c r="G73" i="19"/>
  <c r="F73" i="19"/>
  <c r="E73" i="19"/>
  <c r="Q73" i="19" s="1"/>
  <c r="P72" i="19"/>
  <c r="O72" i="19"/>
  <c r="N72" i="19"/>
  <c r="M72" i="19"/>
  <c r="L72" i="19"/>
  <c r="K72" i="19"/>
  <c r="J72" i="19"/>
  <c r="I72" i="19"/>
  <c r="H72" i="19"/>
  <c r="G72" i="19"/>
  <c r="F72" i="19"/>
  <c r="E72" i="19"/>
  <c r="Q72" i="19" s="1"/>
  <c r="P71" i="19"/>
  <c r="O71" i="19"/>
  <c r="N71" i="19"/>
  <c r="M71" i="19"/>
  <c r="L71" i="19"/>
  <c r="K71" i="19"/>
  <c r="J71" i="19"/>
  <c r="I71" i="19"/>
  <c r="I52" i="19" s="1"/>
  <c r="H71" i="19"/>
  <c r="G71" i="19"/>
  <c r="F71" i="19"/>
  <c r="E71" i="19"/>
  <c r="Q71" i="19" s="1"/>
  <c r="Q70" i="19"/>
  <c r="Q69" i="19"/>
  <c r="Q68" i="19"/>
  <c r="Q67" i="19"/>
  <c r="Q66" i="19"/>
  <c r="Q65" i="19"/>
  <c r="Q64" i="19"/>
  <c r="N63" i="19"/>
  <c r="E63" i="19"/>
  <c r="Q62" i="19"/>
  <c r="Q61" i="19"/>
  <c r="Q60" i="19"/>
  <c r="Q59" i="19"/>
  <c r="Q58" i="19"/>
  <c r="Q57" i="19"/>
  <c r="Q56" i="19"/>
  <c r="Q55" i="19"/>
  <c r="P54" i="19"/>
  <c r="O54" i="19"/>
  <c r="N54" i="19"/>
  <c r="M54" i="19"/>
  <c r="L54" i="19"/>
  <c r="K54" i="19"/>
  <c r="J54" i="19"/>
  <c r="I54" i="19"/>
  <c r="H54" i="19"/>
  <c r="G54" i="19"/>
  <c r="G53" i="19" s="1"/>
  <c r="F54" i="19"/>
  <c r="E54" i="19"/>
  <c r="E53" i="19" s="1"/>
  <c r="P53" i="19"/>
  <c r="O53" i="19"/>
  <c r="N53" i="19"/>
  <c r="N52" i="19" s="1"/>
  <c r="M53" i="19"/>
  <c r="M52" i="19" s="1"/>
  <c r="L53" i="19"/>
  <c r="K53" i="19"/>
  <c r="J53" i="19"/>
  <c r="J52" i="19" s="1"/>
  <c r="Q51" i="19"/>
  <c r="Q50" i="19"/>
  <c r="Q49" i="19"/>
  <c r="Q48" i="19"/>
  <c r="P47" i="19"/>
  <c r="O47" i="19"/>
  <c r="N47" i="19"/>
  <c r="M47" i="19"/>
  <c r="L47" i="19"/>
  <c r="K47" i="19"/>
  <c r="J47" i="19"/>
  <c r="I47" i="19"/>
  <c r="H47" i="19"/>
  <c r="G47" i="19"/>
  <c r="F47" i="19"/>
  <c r="E47" i="19"/>
  <c r="F46" i="19"/>
  <c r="Q46" i="19" s="1"/>
  <c r="P45" i="19"/>
  <c r="O45" i="19"/>
  <c r="N45" i="19"/>
  <c r="M45" i="19"/>
  <c r="L45" i="19"/>
  <c r="K45" i="19"/>
  <c r="J45" i="19"/>
  <c r="I45" i="19"/>
  <c r="H45" i="19"/>
  <c r="G45" i="19"/>
  <c r="E45" i="19"/>
  <c r="Q44" i="19"/>
  <c r="Q43" i="19"/>
  <c r="P42" i="19"/>
  <c r="O42" i="19"/>
  <c r="N42" i="19"/>
  <c r="M42" i="19"/>
  <c r="L42" i="19"/>
  <c r="K42" i="19"/>
  <c r="J42" i="19"/>
  <c r="I42" i="19"/>
  <c r="H42" i="19"/>
  <c r="G42" i="19"/>
  <c r="F42" i="19"/>
  <c r="E42" i="19"/>
  <c r="Q41" i="19"/>
  <c r="P40" i="19"/>
  <c r="P31" i="19" s="1"/>
  <c r="O40" i="19"/>
  <c r="O31" i="19" s="1"/>
  <c r="N40" i="19"/>
  <c r="M40" i="19"/>
  <c r="L40" i="19"/>
  <c r="L31" i="19" s="1"/>
  <c r="K40" i="19"/>
  <c r="K31" i="19" s="1"/>
  <c r="J40" i="19"/>
  <c r="I40" i="19"/>
  <c r="H40" i="19"/>
  <c r="H31" i="19" s="1"/>
  <c r="G40" i="19"/>
  <c r="G31" i="19" s="1"/>
  <c r="F40" i="19"/>
  <c r="E40" i="19"/>
  <c r="Q39" i="19"/>
  <c r="Q38" i="19"/>
  <c r="Q37" i="19"/>
  <c r="Q36" i="19"/>
  <c r="Q35" i="19"/>
  <c r="Q34" i="19"/>
  <c r="Q33" i="19"/>
  <c r="P32" i="19"/>
  <c r="O32" i="19"/>
  <c r="N32" i="19"/>
  <c r="N31" i="19" s="1"/>
  <c r="M32" i="19"/>
  <c r="L32" i="19"/>
  <c r="K32" i="19"/>
  <c r="J32" i="19"/>
  <c r="I32" i="19"/>
  <c r="H32" i="19"/>
  <c r="G32" i="19"/>
  <c r="F32" i="19"/>
  <c r="E32" i="19"/>
  <c r="M31" i="19"/>
  <c r="J31" i="19"/>
  <c r="I31" i="19"/>
  <c r="E31" i="19"/>
  <c r="P30" i="19"/>
  <c r="O30" i="19"/>
  <c r="N30" i="19"/>
  <c r="M30" i="19"/>
  <c r="L30" i="19"/>
  <c r="K30" i="19"/>
  <c r="J30" i="19"/>
  <c r="I30" i="19"/>
  <c r="H30" i="19"/>
  <c r="G30" i="19"/>
  <c r="E30" i="19"/>
  <c r="P29" i="19"/>
  <c r="O29" i="19"/>
  <c r="N29" i="19"/>
  <c r="M29" i="19"/>
  <c r="L29" i="19"/>
  <c r="K29" i="19"/>
  <c r="J29" i="19"/>
  <c r="I29" i="19"/>
  <c r="H29" i="19"/>
  <c r="G29" i="19"/>
  <c r="F29" i="19"/>
  <c r="E29" i="19"/>
  <c r="Q29" i="19" s="1"/>
  <c r="P28" i="19"/>
  <c r="O28" i="19"/>
  <c r="N28" i="19"/>
  <c r="N27" i="19" s="1"/>
  <c r="M28" i="19"/>
  <c r="M27" i="19" s="1"/>
  <c r="L28" i="19"/>
  <c r="K28" i="19"/>
  <c r="J28" i="19"/>
  <c r="J27" i="19" s="1"/>
  <c r="I28" i="19"/>
  <c r="I27" i="19" s="1"/>
  <c r="H28" i="19"/>
  <c r="G28" i="19"/>
  <c r="E28" i="19"/>
  <c r="E27" i="19" s="1"/>
  <c r="P27" i="19"/>
  <c r="O27" i="19"/>
  <c r="L27" i="19"/>
  <c r="K27" i="19"/>
  <c r="H27" i="19"/>
  <c r="G27" i="19"/>
  <c r="P26" i="19"/>
  <c r="P25" i="19" s="1"/>
  <c r="O26" i="19"/>
  <c r="O25" i="19" s="1"/>
  <c r="N26" i="19"/>
  <c r="M26" i="19"/>
  <c r="L26" i="19"/>
  <c r="L25" i="19" s="1"/>
  <c r="K26" i="19"/>
  <c r="K25" i="19" s="1"/>
  <c r="J26" i="19"/>
  <c r="I26" i="19"/>
  <c r="H26" i="19"/>
  <c r="H25" i="19" s="1"/>
  <c r="G26" i="19"/>
  <c r="G25" i="19" s="1"/>
  <c r="E26" i="19"/>
  <c r="N25" i="19"/>
  <c r="M25" i="19"/>
  <c r="J25" i="19"/>
  <c r="I25" i="19"/>
  <c r="E25" i="19"/>
  <c r="P24" i="19"/>
  <c r="O24" i="19"/>
  <c r="N24" i="19"/>
  <c r="M24" i="19"/>
  <c r="L24" i="19"/>
  <c r="K24" i="19"/>
  <c r="J24" i="19"/>
  <c r="I24" i="19"/>
  <c r="H24" i="19"/>
  <c r="G24" i="19"/>
  <c r="E24" i="19"/>
  <c r="P23" i="19"/>
  <c r="P22" i="19" s="1"/>
  <c r="O23" i="19"/>
  <c r="N23" i="19"/>
  <c r="M23" i="19"/>
  <c r="L23" i="19"/>
  <c r="L22" i="19" s="1"/>
  <c r="K23" i="19"/>
  <c r="J23" i="19"/>
  <c r="I23" i="19"/>
  <c r="H23" i="19"/>
  <c r="H22" i="19" s="1"/>
  <c r="G23" i="19"/>
  <c r="E23" i="19"/>
  <c r="O22" i="19"/>
  <c r="N22" i="19"/>
  <c r="K22" i="19"/>
  <c r="J22" i="19"/>
  <c r="G22" i="19"/>
  <c r="E22" i="19"/>
  <c r="P21" i="19"/>
  <c r="O21" i="19"/>
  <c r="O20" i="19" s="1"/>
  <c r="N21" i="19"/>
  <c r="M21" i="19"/>
  <c r="M20" i="19" s="1"/>
  <c r="L21" i="19"/>
  <c r="K21" i="19"/>
  <c r="K20" i="19" s="1"/>
  <c r="J21" i="19"/>
  <c r="I21" i="19"/>
  <c r="H21" i="19"/>
  <c r="G21" i="19"/>
  <c r="G20" i="19" s="1"/>
  <c r="E21" i="19"/>
  <c r="P20" i="19"/>
  <c r="N20" i="19"/>
  <c r="L20" i="19"/>
  <c r="J20" i="19"/>
  <c r="I20" i="19"/>
  <c r="H20" i="19"/>
  <c r="E20" i="19"/>
  <c r="Q19" i="19"/>
  <c r="P18" i="19"/>
  <c r="O18" i="19"/>
  <c r="N18" i="19"/>
  <c r="M18" i="19"/>
  <c r="L18" i="19"/>
  <c r="K18" i="19"/>
  <c r="J18" i="19"/>
  <c r="I18" i="19"/>
  <c r="H18" i="19"/>
  <c r="G18" i="19"/>
  <c r="F18" i="19"/>
  <c r="E18" i="19"/>
  <c r="Q17" i="19"/>
  <c r="F16" i="19"/>
  <c r="F82" i="19" s="1"/>
  <c r="F81" i="19" s="1"/>
  <c r="F52" i="19" s="1"/>
  <c r="P15" i="19"/>
  <c r="O15" i="19"/>
  <c r="N15" i="19"/>
  <c r="M15" i="19"/>
  <c r="L15" i="19"/>
  <c r="K15" i="19"/>
  <c r="J15" i="19"/>
  <c r="I15" i="19"/>
  <c r="H15" i="19"/>
  <c r="G15" i="19"/>
  <c r="F15" i="19"/>
  <c r="E15" i="19"/>
  <c r="P14" i="19"/>
  <c r="O14" i="19"/>
  <c r="N14" i="19"/>
  <c r="M14" i="19"/>
  <c r="L14" i="19"/>
  <c r="K14" i="19"/>
  <c r="J14" i="19"/>
  <c r="I14" i="19"/>
  <c r="H14" i="19"/>
  <c r="G14" i="19"/>
  <c r="G13" i="19" s="1"/>
  <c r="F14" i="19"/>
  <c r="E14" i="19"/>
  <c r="P13" i="19"/>
  <c r="O13" i="19"/>
  <c r="N13" i="19"/>
  <c r="M13" i="19"/>
  <c r="L13" i="19"/>
  <c r="K13" i="19"/>
  <c r="J13" i="19"/>
  <c r="I13" i="19"/>
  <c r="H13" i="19"/>
  <c r="F13" i="19"/>
  <c r="E13" i="19"/>
  <c r="P12" i="19"/>
  <c r="O12" i="19"/>
  <c r="N12" i="19"/>
  <c r="M12" i="19"/>
  <c r="L12" i="19"/>
  <c r="K12" i="19"/>
  <c r="J12" i="19"/>
  <c r="I12" i="19"/>
  <c r="H12" i="19"/>
  <c r="G12" i="19"/>
  <c r="F12" i="19"/>
  <c r="E12" i="19"/>
  <c r="P11" i="19"/>
  <c r="O11" i="19"/>
  <c r="N11" i="19"/>
  <c r="M11" i="19"/>
  <c r="L11" i="19"/>
  <c r="K11" i="19"/>
  <c r="J11" i="19"/>
  <c r="I11" i="19"/>
  <c r="H11" i="19"/>
  <c r="G11" i="19"/>
  <c r="F11" i="19"/>
  <c r="E11" i="19"/>
  <c r="P10" i="19"/>
  <c r="O10" i="19"/>
  <c r="O8" i="19" s="1"/>
  <c r="N10" i="19"/>
  <c r="N8" i="19" s="1"/>
  <c r="N4" i="19" s="1"/>
  <c r="N3" i="19" s="1"/>
  <c r="M10" i="19"/>
  <c r="L10" i="19"/>
  <c r="K10" i="19"/>
  <c r="K8" i="19" s="1"/>
  <c r="J10" i="19"/>
  <c r="I10" i="19"/>
  <c r="H10" i="19"/>
  <c r="G10" i="19"/>
  <c r="G8" i="19" s="1"/>
  <c r="F10" i="19"/>
  <c r="F8" i="19" s="1"/>
  <c r="E10" i="19"/>
  <c r="F9" i="19"/>
  <c r="Q9" i="19" s="1"/>
  <c r="P8" i="19"/>
  <c r="M8" i="19"/>
  <c r="L8" i="19"/>
  <c r="J8" i="19"/>
  <c r="J4" i="19" s="1"/>
  <c r="I8" i="19"/>
  <c r="H8" i="19"/>
  <c r="E8" i="19"/>
  <c r="Q7" i="19"/>
  <c r="F7" i="19"/>
  <c r="F6" i="19"/>
  <c r="P5" i="19"/>
  <c r="P4" i="19" s="1"/>
  <c r="P3" i="19" s="1"/>
  <c r="O5" i="19"/>
  <c r="N5" i="19"/>
  <c r="M5" i="19"/>
  <c r="L5" i="19"/>
  <c r="L4" i="19" s="1"/>
  <c r="L3" i="19" s="1"/>
  <c r="K5" i="19"/>
  <c r="J5" i="19"/>
  <c r="I5" i="19"/>
  <c r="H5" i="19"/>
  <c r="H4" i="19" s="1"/>
  <c r="H3" i="19" s="1"/>
  <c r="G5" i="19"/>
  <c r="E5" i="19"/>
  <c r="O4" i="19"/>
  <c r="O3" i="19" s="1"/>
  <c r="K4" i="19"/>
  <c r="K3" i="19" s="1"/>
  <c r="J3" i="19"/>
  <c r="G4" i="19" l="1"/>
  <c r="G3" i="19" s="1"/>
  <c r="Q6" i="19"/>
  <c r="F5" i="19"/>
  <c r="Q5" i="19"/>
  <c r="E4" i="19"/>
  <c r="E3" i="19" s="1"/>
  <c r="I22" i="19"/>
  <c r="I4" i="19" s="1"/>
  <c r="I3" i="19" s="1"/>
  <c r="M22" i="19"/>
  <c r="M4" i="19" s="1"/>
  <c r="M3" i="19" s="1"/>
  <c r="G52" i="19"/>
  <c r="H85" i="23"/>
  <c r="Q8" i="19"/>
  <c r="Q53" i="19"/>
  <c r="E52" i="19"/>
  <c r="W4" i="23"/>
  <c r="Q18" i="19"/>
  <c r="Q10" i="19"/>
  <c r="Q11" i="19"/>
  <c r="Q12" i="19"/>
  <c r="Q13" i="19"/>
  <c r="Q14" i="19"/>
  <c r="Q15" i="19"/>
  <c r="Q40" i="19"/>
  <c r="F45" i="19"/>
  <c r="F31" i="19" s="1"/>
  <c r="Q31" i="19" s="1"/>
  <c r="Q89" i="19"/>
  <c r="Q90" i="19"/>
  <c r="Q91" i="19"/>
  <c r="W5" i="23"/>
  <c r="W17" i="23"/>
  <c r="W45" i="23"/>
  <c r="W54" i="23"/>
  <c r="W86" i="23"/>
  <c r="I19" i="43"/>
  <c r="J19" i="43" s="1"/>
  <c r="I37" i="47"/>
  <c r="J37" i="47" s="1"/>
  <c r="I13" i="47"/>
  <c r="J13" i="47" s="1"/>
  <c r="Q32" i="19"/>
  <c r="Q42" i="19"/>
  <c r="Q47" i="19"/>
  <c r="Q54" i="19"/>
  <c r="Q63" i="19"/>
  <c r="Q83" i="19"/>
  <c r="Q93" i="19"/>
  <c r="W40" i="23"/>
  <c r="W47" i="23"/>
  <c r="Q85" i="19"/>
  <c r="W8" i="23"/>
  <c r="W31" i="23"/>
  <c r="W75" i="23"/>
  <c r="W77" i="23"/>
  <c r="W90" i="23"/>
  <c r="W91" i="23"/>
  <c r="I39" i="39"/>
  <c r="J39" i="39" s="1"/>
  <c r="I33" i="41"/>
  <c r="I7" i="43"/>
  <c r="J7" i="43" s="1"/>
  <c r="I15" i="45"/>
  <c r="J15" i="45" s="1"/>
  <c r="I54" i="46"/>
  <c r="J54" i="46" s="1"/>
  <c r="I38" i="47"/>
  <c r="J38" i="47" s="1"/>
  <c r="I14" i="47"/>
  <c r="J14" i="47" s="1"/>
  <c r="I23" i="47"/>
  <c r="J23" i="47" s="1"/>
  <c r="Q45" i="19"/>
  <c r="Q79" i="19"/>
  <c r="Q80" i="19"/>
  <c r="Q96" i="19"/>
  <c r="Q101" i="19"/>
  <c r="W10" i="23"/>
  <c r="W11" i="23"/>
  <c r="W12" i="23"/>
  <c r="W13" i="23"/>
  <c r="W14" i="23"/>
  <c r="W15" i="23"/>
  <c r="H52" i="23"/>
  <c r="H3" i="23" s="1"/>
  <c r="L52" i="23"/>
  <c r="L3" i="23" s="1"/>
  <c r="P52" i="23"/>
  <c r="P3" i="23" s="1"/>
  <c r="V52" i="23"/>
  <c r="V3" i="23" s="1"/>
  <c r="W79" i="23"/>
  <c r="W82" i="23"/>
  <c r="W83" i="23"/>
  <c r="F89" i="23"/>
  <c r="F85" i="23" s="1"/>
  <c r="J89" i="23"/>
  <c r="J85" i="23" s="1"/>
  <c r="N89" i="23"/>
  <c r="N85" i="23" s="1"/>
  <c r="R89" i="23"/>
  <c r="R85" i="23" s="1"/>
  <c r="W93" i="23"/>
  <c r="I28" i="43"/>
  <c r="J28" i="43" s="1"/>
  <c r="I13" i="43"/>
  <c r="J13" i="43" s="1"/>
  <c r="I38" i="43"/>
  <c r="J38" i="43" s="1"/>
  <c r="I60" i="46"/>
  <c r="J60" i="46" s="1"/>
  <c r="I25" i="47"/>
  <c r="J25" i="47" s="1"/>
  <c r="J5" i="47"/>
  <c r="I6" i="47"/>
  <c r="J6" i="47" s="1"/>
  <c r="I31" i="46"/>
  <c r="J31" i="46" s="1"/>
  <c r="J30" i="46"/>
  <c r="I41" i="46"/>
  <c r="J41" i="46" s="1"/>
  <c r="I15" i="46"/>
  <c r="I7" i="46"/>
  <c r="J7" i="46" s="1"/>
  <c r="J21" i="46"/>
  <c r="I22" i="46"/>
  <c r="J22" i="46" s="1"/>
  <c r="I42" i="46"/>
  <c r="J42" i="46" s="1"/>
  <c r="I69" i="46"/>
  <c r="J69" i="46" s="1"/>
  <c r="I8" i="46"/>
  <c r="I77" i="46"/>
  <c r="I61" i="46"/>
  <c r="J61" i="46" s="1"/>
  <c r="I8" i="45"/>
  <c r="J8" i="45" s="1"/>
  <c r="I16" i="45"/>
  <c r="J16" i="45" s="1"/>
  <c r="I22" i="45"/>
  <c r="J22" i="45" s="1"/>
  <c r="I9" i="45"/>
  <c r="I9" i="44"/>
  <c r="J9" i="44" s="1"/>
  <c r="J7" i="44"/>
  <c r="I8" i="44"/>
  <c r="J8" i="44" s="1"/>
  <c r="J33" i="44"/>
  <c r="I34" i="44"/>
  <c r="J34" i="44" s="1"/>
  <c r="J14" i="44"/>
  <c r="I15" i="44"/>
  <c r="J15" i="44" s="1"/>
  <c r="I28" i="44"/>
  <c r="J28" i="44" s="1"/>
  <c r="J27" i="44"/>
  <c r="I8" i="43"/>
  <c r="I43" i="43"/>
  <c r="I20" i="43"/>
  <c r="J20" i="43" s="1"/>
  <c r="I14" i="43"/>
  <c r="J14" i="43" s="1"/>
  <c r="J57" i="42"/>
  <c r="I58" i="42"/>
  <c r="J58" i="42" s="1"/>
  <c r="J48" i="42"/>
  <c r="I49" i="42"/>
  <c r="J49" i="42" s="1"/>
  <c r="J36" i="42"/>
  <c r="I37" i="42"/>
  <c r="J37" i="42" s="1"/>
  <c r="I89" i="42"/>
  <c r="J89" i="42" s="1"/>
  <c r="I44" i="42"/>
  <c r="J65" i="42"/>
  <c r="I66" i="42"/>
  <c r="J66" i="42" s="1"/>
  <c r="I21" i="42"/>
  <c r="J21" i="42" s="1"/>
  <c r="J70" i="42"/>
  <c r="I71" i="42"/>
  <c r="J71" i="42" s="1"/>
  <c r="J9" i="42"/>
  <c r="I10" i="42"/>
  <c r="J10" i="42" s="1"/>
  <c r="J29" i="42"/>
  <c r="I30" i="42"/>
  <c r="J30" i="42" s="1"/>
  <c r="I38" i="41"/>
  <c r="J38" i="41" s="1"/>
  <c r="J37" i="41"/>
  <c r="I28" i="41"/>
  <c r="J28" i="41" s="1"/>
  <c r="I19" i="41"/>
  <c r="I10" i="41"/>
  <c r="J10" i="41" s="1"/>
  <c r="I47" i="41"/>
  <c r="J47" i="41" s="1"/>
  <c r="I48" i="41"/>
  <c r="J48" i="41" s="1"/>
  <c r="J7" i="40"/>
  <c r="I8" i="40"/>
  <c r="J8" i="40" s="1"/>
  <c r="I49" i="40"/>
  <c r="I27" i="40"/>
  <c r="J27" i="40" s="1"/>
  <c r="I18" i="40"/>
  <c r="J18" i="40" s="1"/>
  <c r="I12" i="39"/>
  <c r="J12" i="39" s="1"/>
  <c r="I13" i="39"/>
  <c r="I40" i="39"/>
  <c r="J40" i="39" s="1"/>
  <c r="I7" i="39"/>
  <c r="I32" i="39"/>
  <c r="J32" i="39" s="1"/>
  <c r="W71" i="23"/>
  <c r="I52" i="23"/>
  <c r="I3" i="23" s="1"/>
  <c r="M52" i="23"/>
  <c r="M3" i="23" s="1"/>
  <c r="G52" i="23"/>
  <c r="G3" i="23" s="1"/>
  <c r="K52" i="23"/>
  <c r="K3" i="23" s="1"/>
  <c r="O52" i="23"/>
  <c r="O3" i="23" s="1"/>
  <c r="S52" i="23"/>
  <c r="S3" i="23" s="1"/>
  <c r="I85" i="23"/>
  <c r="M85" i="23"/>
  <c r="Q85" i="23"/>
  <c r="Q52" i="23" s="1"/>
  <c r="Q3" i="23" s="1"/>
  <c r="F52" i="23"/>
  <c r="F3" i="23" s="1"/>
  <c r="J52" i="23"/>
  <c r="J3" i="23" s="1"/>
  <c r="N52" i="23"/>
  <c r="N3" i="23" s="1"/>
  <c r="R52" i="23"/>
  <c r="R3" i="23" s="1"/>
  <c r="E73" i="23"/>
  <c r="W73" i="23" s="1"/>
  <c r="E81" i="23"/>
  <c r="W81" i="23" s="1"/>
  <c r="E89" i="23"/>
  <c r="W89" i="23" s="1"/>
  <c r="W72" i="23"/>
  <c r="W76" i="23"/>
  <c r="W80" i="23"/>
  <c r="E53" i="23"/>
  <c r="Q81" i="19"/>
  <c r="Q82" i="19"/>
  <c r="Q26" i="19"/>
  <c r="Q52" i="19"/>
  <c r="F21" i="19"/>
  <c r="F20" i="19" s="1"/>
  <c r="F24" i="19"/>
  <c r="Q24" i="19" s="1"/>
  <c r="F28" i="19"/>
  <c r="F27" i="19" s="1"/>
  <c r="Q27" i="19" s="1"/>
  <c r="Q16" i="19"/>
  <c r="F23" i="19"/>
  <c r="F22" i="19" s="1"/>
  <c r="Q22" i="19" s="1"/>
  <c r="F26" i="19"/>
  <c r="F25" i="19" s="1"/>
  <c r="Q25" i="19" s="1"/>
  <c r="F30" i="19"/>
  <c r="Q30" i="19" s="1"/>
  <c r="I20" i="40" l="1"/>
  <c r="J20" i="40" s="1"/>
  <c r="E85" i="23"/>
  <c r="W85" i="23" s="1"/>
  <c r="I35" i="44"/>
  <c r="J35" i="44" s="1"/>
  <c r="J33" i="41"/>
  <c r="I34" i="41"/>
  <c r="J34" i="41" s="1"/>
  <c r="I29" i="40"/>
  <c r="I12" i="41"/>
  <c r="I72" i="42"/>
  <c r="I67" i="42"/>
  <c r="I7" i="47"/>
  <c r="J15" i="46"/>
  <c r="I16" i="46"/>
  <c r="J16" i="46" s="1"/>
  <c r="I70" i="46"/>
  <c r="J70" i="46" s="1"/>
  <c r="I32" i="46"/>
  <c r="J32" i="46" s="1"/>
  <c r="J77" i="46"/>
  <c r="I78" i="46"/>
  <c r="J78" i="46" s="1"/>
  <c r="I23" i="46"/>
  <c r="J23" i="46" s="1"/>
  <c r="J9" i="45"/>
  <c r="I23" i="45"/>
  <c r="J23" i="45" s="1"/>
  <c r="I29" i="44"/>
  <c r="J29" i="44" s="1"/>
  <c r="I16" i="44"/>
  <c r="I37" i="44"/>
  <c r="I11" i="44"/>
  <c r="I44" i="43"/>
  <c r="J44" i="43" s="1"/>
  <c r="J8" i="43"/>
  <c r="I31" i="42"/>
  <c r="J31" i="42" s="1"/>
  <c r="I38" i="42"/>
  <c r="J38" i="42" s="1"/>
  <c r="I50" i="42"/>
  <c r="J44" i="42"/>
  <c r="I45" i="42"/>
  <c r="J45" i="42" s="1"/>
  <c r="I32" i="42"/>
  <c r="J32" i="42" s="1"/>
  <c r="I23" i="42"/>
  <c r="J23" i="42" s="1"/>
  <c r="I11" i="42"/>
  <c r="J11" i="42" s="1"/>
  <c r="I59" i="42"/>
  <c r="J12" i="41"/>
  <c r="J19" i="41"/>
  <c r="I21" i="41"/>
  <c r="J21" i="41" s="1"/>
  <c r="I39" i="41"/>
  <c r="J49" i="40"/>
  <c r="I50" i="40"/>
  <c r="J50" i="40" s="1"/>
  <c r="I9" i="40"/>
  <c r="J7" i="39"/>
  <c r="I8" i="39"/>
  <c r="I34" i="39"/>
  <c r="J34" i="39" s="1"/>
  <c r="E52" i="23"/>
  <c r="W53" i="23"/>
  <c r="F4" i="19"/>
  <c r="Q28" i="19"/>
  <c r="Q23" i="19"/>
  <c r="Q21" i="19"/>
  <c r="Q20" i="19"/>
  <c r="J72" i="42" l="1"/>
  <c r="I73" i="42"/>
  <c r="J73" i="42" s="1"/>
  <c r="I30" i="44"/>
  <c r="J30" i="44" s="1"/>
  <c r="J67" i="42"/>
  <c r="I68" i="42"/>
  <c r="J68" i="42" s="1"/>
  <c r="J7" i="47"/>
  <c r="I8" i="47"/>
  <c r="I25" i="46"/>
  <c r="J25" i="46" s="1"/>
  <c r="I33" i="46"/>
  <c r="J33" i="46" s="1"/>
  <c r="J16" i="44"/>
  <c r="I17" i="44"/>
  <c r="J17" i="44" s="1"/>
  <c r="J11" i="44"/>
  <c r="J59" i="42"/>
  <c r="I60" i="42"/>
  <c r="J60" i="42" s="1"/>
  <c r="J50" i="42"/>
  <c r="I51" i="42"/>
  <c r="J51" i="42" s="1"/>
  <c r="I13" i="42"/>
  <c r="I39" i="42"/>
  <c r="J39" i="42" s="1"/>
  <c r="J39" i="41"/>
  <c r="I41" i="41"/>
  <c r="J9" i="40"/>
  <c r="I10" i="40"/>
  <c r="I41" i="39"/>
  <c r="J41" i="39" s="1"/>
  <c r="W52" i="23"/>
  <c r="E3" i="23"/>
  <c r="W3" i="23" s="1"/>
  <c r="F3" i="19"/>
  <c r="Q3" i="19" s="1"/>
  <c r="Q4" i="19"/>
  <c r="M109" i="24"/>
  <c r="M108" i="24"/>
  <c r="M107" i="24"/>
  <c r="M106" i="24"/>
  <c r="M105" i="24"/>
  <c r="M104" i="24"/>
  <c r="M103" i="24"/>
  <c r="M102" i="24"/>
  <c r="L101" i="24"/>
  <c r="K101" i="24"/>
  <c r="J101" i="24"/>
  <c r="I101" i="24"/>
  <c r="H101" i="24"/>
  <c r="G101" i="24"/>
  <c r="F101" i="24"/>
  <c r="E101" i="24"/>
  <c r="M101" i="24" s="1"/>
  <c r="M100" i="24"/>
  <c r="M99" i="24"/>
  <c r="M98" i="24"/>
  <c r="M97" i="24"/>
  <c r="L96" i="24"/>
  <c r="K96" i="24"/>
  <c r="J96" i="24"/>
  <c r="I96" i="24"/>
  <c r="H96" i="24"/>
  <c r="G96" i="24"/>
  <c r="F96" i="24"/>
  <c r="E96" i="24"/>
  <c r="M96" i="24" s="1"/>
  <c r="M95" i="24"/>
  <c r="M94" i="24"/>
  <c r="L93" i="24"/>
  <c r="K93" i="24"/>
  <c r="J93" i="24"/>
  <c r="I93" i="24"/>
  <c r="H93" i="24"/>
  <c r="G93" i="24"/>
  <c r="F93" i="24"/>
  <c r="E93" i="24"/>
  <c r="M92" i="24"/>
  <c r="L91" i="24"/>
  <c r="K91" i="24"/>
  <c r="J91" i="24"/>
  <c r="I91" i="24"/>
  <c r="H91" i="24"/>
  <c r="G91" i="24"/>
  <c r="F91" i="24"/>
  <c r="E91" i="24"/>
  <c r="L90" i="24"/>
  <c r="K90" i="24"/>
  <c r="J90" i="24"/>
  <c r="I90" i="24"/>
  <c r="I89" i="24" s="1"/>
  <c r="H90" i="24"/>
  <c r="G90" i="24"/>
  <c r="F90" i="24"/>
  <c r="E90" i="24"/>
  <c r="K89" i="24"/>
  <c r="J89" i="24"/>
  <c r="G89" i="24"/>
  <c r="F89" i="24"/>
  <c r="M88" i="24"/>
  <c r="M87" i="24"/>
  <c r="L86" i="24"/>
  <c r="K86" i="24"/>
  <c r="K85" i="24" s="1"/>
  <c r="J86" i="24"/>
  <c r="J85" i="24" s="1"/>
  <c r="I86" i="24"/>
  <c r="H86" i="24"/>
  <c r="G86" i="24"/>
  <c r="F86" i="24"/>
  <c r="F85" i="24" s="1"/>
  <c r="E86" i="24"/>
  <c r="G85" i="24"/>
  <c r="M84" i="24"/>
  <c r="L83" i="24"/>
  <c r="K83" i="24"/>
  <c r="J83" i="24"/>
  <c r="I83" i="24"/>
  <c r="H83" i="24"/>
  <c r="G83" i="24"/>
  <c r="F83" i="24"/>
  <c r="E83" i="24"/>
  <c r="L82" i="24"/>
  <c r="K82" i="24"/>
  <c r="J82" i="24"/>
  <c r="I82" i="24"/>
  <c r="I81" i="24" s="1"/>
  <c r="H82" i="24"/>
  <c r="G82" i="24"/>
  <c r="G81" i="24" s="1"/>
  <c r="F82" i="24"/>
  <c r="E82" i="24"/>
  <c r="L81" i="24"/>
  <c r="K81" i="24"/>
  <c r="J81" i="24"/>
  <c r="H81" i="24"/>
  <c r="F81" i="24"/>
  <c r="L80" i="24"/>
  <c r="K80" i="24"/>
  <c r="K79" i="24" s="1"/>
  <c r="J80" i="24"/>
  <c r="I80" i="24"/>
  <c r="I79" i="24" s="1"/>
  <c r="H80" i="24"/>
  <c r="G80" i="24"/>
  <c r="G79" i="24" s="1"/>
  <c r="F80" i="24"/>
  <c r="E80" i="24"/>
  <c r="M80" i="24" s="1"/>
  <c r="L79" i="24"/>
  <c r="J79" i="24"/>
  <c r="H79" i="24"/>
  <c r="F79" i="24"/>
  <c r="E79" i="24"/>
  <c r="M78" i="24"/>
  <c r="L77" i="24"/>
  <c r="K77" i="24"/>
  <c r="J77" i="24"/>
  <c r="I77" i="24"/>
  <c r="H77" i="24"/>
  <c r="G77" i="24"/>
  <c r="F77" i="24"/>
  <c r="E77" i="24"/>
  <c r="L76" i="24"/>
  <c r="K76" i="24"/>
  <c r="K75" i="24" s="1"/>
  <c r="J76" i="24"/>
  <c r="J75" i="24" s="1"/>
  <c r="I76" i="24"/>
  <c r="H76" i="24"/>
  <c r="G76" i="24"/>
  <c r="G75" i="24" s="1"/>
  <c r="F76" i="24"/>
  <c r="E76" i="24"/>
  <c r="E75" i="24" s="1"/>
  <c r="L75" i="24"/>
  <c r="I75" i="24"/>
  <c r="H75" i="24"/>
  <c r="F75" i="24"/>
  <c r="L74" i="24"/>
  <c r="K74" i="24"/>
  <c r="J74" i="24"/>
  <c r="I74" i="24"/>
  <c r="I73" i="24" s="1"/>
  <c r="H74" i="24"/>
  <c r="H73" i="24" s="1"/>
  <c r="G74" i="24"/>
  <c r="F74" i="24"/>
  <c r="E74" i="24"/>
  <c r="L73" i="24"/>
  <c r="K73" i="24"/>
  <c r="J73" i="24"/>
  <c r="G73" i="24"/>
  <c r="F73" i="24"/>
  <c r="L72" i="24"/>
  <c r="K72" i="24"/>
  <c r="K71" i="24" s="1"/>
  <c r="J72" i="24"/>
  <c r="J71" i="24" s="1"/>
  <c r="J52" i="24" s="1"/>
  <c r="I72" i="24"/>
  <c r="H72" i="24"/>
  <c r="G72" i="24"/>
  <c r="G71" i="24" s="1"/>
  <c r="F72" i="24"/>
  <c r="E72" i="24"/>
  <c r="M72" i="24" s="1"/>
  <c r="L71" i="24"/>
  <c r="I71" i="24"/>
  <c r="H71" i="24"/>
  <c r="F71" i="24"/>
  <c r="M70" i="24"/>
  <c r="H69" i="24"/>
  <c r="G69" i="24"/>
  <c r="E69" i="24"/>
  <c r="H68" i="24"/>
  <c r="G68" i="24"/>
  <c r="E68" i="24"/>
  <c r="M68" i="24" s="1"/>
  <c r="H67" i="24"/>
  <c r="G67" i="24"/>
  <c r="M67" i="24" s="1"/>
  <c r="M66" i="24"/>
  <c r="H66" i="24"/>
  <c r="G66" i="24"/>
  <c r="E66" i="24"/>
  <c r="M65" i="24"/>
  <c r="H65" i="24"/>
  <c r="G65" i="24"/>
  <c r="E65" i="24"/>
  <c r="M64" i="24"/>
  <c r="H64" i="24"/>
  <c r="G64" i="24"/>
  <c r="E64" i="24"/>
  <c r="M63" i="24"/>
  <c r="G63" i="24"/>
  <c r="E63" i="24"/>
  <c r="M62" i="24"/>
  <c r="M61" i="24"/>
  <c r="H61" i="24"/>
  <c r="G61" i="24"/>
  <c r="E61" i="24"/>
  <c r="M60" i="24"/>
  <c r="H60" i="24"/>
  <c r="G60" i="24"/>
  <c r="E60" i="24"/>
  <c r="M59" i="24"/>
  <c r="H59" i="24"/>
  <c r="G59" i="24"/>
  <c r="E59" i="24"/>
  <c r="M58" i="24"/>
  <c r="H58" i="24"/>
  <c r="G58" i="24"/>
  <c r="E58" i="24"/>
  <c r="M57" i="24"/>
  <c r="H57" i="24"/>
  <c r="G57" i="24"/>
  <c r="E57" i="24"/>
  <c r="M56" i="24"/>
  <c r="E56" i="24"/>
  <c r="H55" i="24"/>
  <c r="G55" i="24"/>
  <c r="E55" i="24"/>
  <c r="E54" i="24"/>
  <c r="M54" i="24" s="1"/>
  <c r="L53" i="24"/>
  <c r="K53" i="24"/>
  <c r="J53" i="24"/>
  <c r="I53" i="24"/>
  <c r="H53" i="24"/>
  <c r="F53" i="24"/>
  <c r="F52" i="24" s="1"/>
  <c r="M51" i="24"/>
  <c r="M50" i="24"/>
  <c r="M49" i="24"/>
  <c r="E48" i="24"/>
  <c r="M48" i="24" s="1"/>
  <c r="L47" i="24"/>
  <c r="K47" i="24"/>
  <c r="J47" i="24"/>
  <c r="I47" i="24"/>
  <c r="H47" i="24"/>
  <c r="G47" i="24"/>
  <c r="F47" i="24"/>
  <c r="E47" i="24"/>
  <c r="M46" i="24"/>
  <c r="G46" i="24"/>
  <c r="E46" i="24"/>
  <c r="L45" i="24"/>
  <c r="K45" i="24"/>
  <c r="J45" i="24"/>
  <c r="I45" i="24"/>
  <c r="H45" i="24"/>
  <c r="G45" i="24"/>
  <c r="F45" i="24"/>
  <c r="E45" i="24"/>
  <c r="M44" i="24"/>
  <c r="M43" i="24"/>
  <c r="L42" i="24"/>
  <c r="K42" i="24"/>
  <c r="J42" i="24"/>
  <c r="I42" i="24"/>
  <c r="H42" i="24"/>
  <c r="G42" i="24"/>
  <c r="F42" i="24"/>
  <c r="E42" i="24"/>
  <c r="M42" i="24" s="1"/>
  <c r="M41" i="24"/>
  <c r="L40" i="24"/>
  <c r="K40" i="24"/>
  <c r="K31" i="24" s="1"/>
  <c r="J40" i="24"/>
  <c r="I40" i="24"/>
  <c r="H40" i="24"/>
  <c r="G40" i="24"/>
  <c r="F40" i="24"/>
  <c r="E40" i="24"/>
  <c r="M39" i="24"/>
  <c r="M38" i="24"/>
  <c r="M37" i="24"/>
  <c r="M36" i="24"/>
  <c r="M35" i="24"/>
  <c r="M34" i="24"/>
  <c r="M33" i="24"/>
  <c r="L32" i="24"/>
  <c r="K32" i="24"/>
  <c r="J32" i="24"/>
  <c r="I32" i="24"/>
  <c r="I31" i="24" s="1"/>
  <c r="H32" i="24"/>
  <c r="G32" i="24"/>
  <c r="G31" i="24" s="1"/>
  <c r="F32" i="24"/>
  <c r="F31" i="24" s="1"/>
  <c r="E32" i="24"/>
  <c r="M32" i="24" s="1"/>
  <c r="L31" i="24"/>
  <c r="J31" i="24"/>
  <c r="H31" i="24"/>
  <c r="L30" i="24"/>
  <c r="K30" i="24"/>
  <c r="J30" i="24"/>
  <c r="I30" i="24"/>
  <c r="H30" i="24"/>
  <c r="G30" i="24"/>
  <c r="F30" i="24"/>
  <c r="E30" i="24"/>
  <c r="L29" i="24"/>
  <c r="K29" i="24"/>
  <c r="J29" i="24"/>
  <c r="I29" i="24"/>
  <c r="H29" i="24"/>
  <c r="G29" i="24"/>
  <c r="F29" i="24"/>
  <c r="E29" i="24"/>
  <c r="L28" i="24"/>
  <c r="K28" i="24"/>
  <c r="J28" i="24"/>
  <c r="I28" i="24"/>
  <c r="I27" i="24" s="1"/>
  <c r="H28" i="24"/>
  <c r="H27" i="24" s="1"/>
  <c r="G28" i="24"/>
  <c r="G27" i="24" s="1"/>
  <c r="F28" i="24"/>
  <c r="E28" i="24"/>
  <c r="L27" i="24"/>
  <c r="K27" i="24"/>
  <c r="J27" i="24"/>
  <c r="F27" i="24"/>
  <c r="L26" i="24"/>
  <c r="K26" i="24"/>
  <c r="J26" i="24"/>
  <c r="I26" i="24"/>
  <c r="H26" i="24"/>
  <c r="G26" i="24"/>
  <c r="F26" i="24"/>
  <c r="E26" i="24"/>
  <c r="M26" i="24" s="1"/>
  <c r="L25" i="24"/>
  <c r="K25" i="24"/>
  <c r="J25" i="24"/>
  <c r="I25" i="24"/>
  <c r="H25" i="24"/>
  <c r="G25" i="24"/>
  <c r="F25" i="24"/>
  <c r="E25" i="24"/>
  <c r="M25" i="24" s="1"/>
  <c r="L24" i="24"/>
  <c r="K24" i="24"/>
  <c r="J24" i="24"/>
  <c r="I24" i="24"/>
  <c r="H24" i="24"/>
  <c r="G24" i="24"/>
  <c r="F24" i="24"/>
  <c r="E24" i="24"/>
  <c r="M24" i="24" s="1"/>
  <c r="L23" i="24"/>
  <c r="K23" i="24"/>
  <c r="J23" i="24"/>
  <c r="I23" i="24"/>
  <c r="H23" i="24"/>
  <c r="G23" i="24"/>
  <c r="F23" i="24"/>
  <c r="E23" i="24"/>
  <c r="M23" i="24" s="1"/>
  <c r="L22" i="24"/>
  <c r="K22" i="24"/>
  <c r="J22" i="24"/>
  <c r="I22" i="24"/>
  <c r="H22" i="24"/>
  <c r="G22" i="24"/>
  <c r="F22" i="24"/>
  <c r="E22" i="24"/>
  <c r="M22" i="24" s="1"/>
  <c r="L21" i="24"/>
  <c r="K21" i="24"/>
  <c r="J21" i="24"/>
  <c r="I21" i="24"/>
  <c r="H21" i="24"/>
  <c r="G21" i="24"/>
  <c r="F21" i="24"/>
  <c r="E21" i="24"/>
  <c r="M21" i="24" s="1"/>
  <c r="L20" i="24"/>
  <c r="K20" i="24"/>
  <c r="J20" i="24"/>
  <c r="I20" i="24"/>
  <c r="H20" i="24"/>
  <c r="G20" i="24"/>
  <c r="F20" i="24"/>
  <c r="E20" i="24"/>
  <c r="M20" i="24" s="1"/>
  <c r="K19" i="24"/>
  <c r="M19" i="24" s="1"/>
  <c r="L18" i="24"/>
  <c r="K18" i="24"/>
  <c r="J18" i="24"/>
  <c r="I18" i="24"/>
  <c r="H18" i="24"/>
  <c r="G18" i="24"/>
  <c r="F18" i="24"/>
  <c r="E18" i="24"/>
  <c r="M17" i="24"/>
  <c r="M16" i="24"/>
  <c r="L15" i="24"/>
  <c r="K15" i="24"/>
  <c r="J15" i="24"/>
  <c r="I15" i="24"/>
  <c r="H15" i="24"/>
  <c r="G15" i="24"/>
  <c r="F15" i="24"/>
  <c r="E15" i="24"/>
  <c r="M15" i="24" s="1"/>
  <c r="L14" i="24"/>
  <c r="K14" i="24"/>
  <c r="J14" i="24"/>
  <c r="I14" i="24"/>
  <c r="H14" i="24"/>
  <c r="G14" i="24"/>
  <c r="F14" i="24"/>
  <c r="E14" i="24"/>
  <c r="M14" i="24" s="1"/>
  <c r="L13" i="24"/>
  <c r="K13" i="24"/>
  <c r="J13" i="24"/>
  <c r="I13" i="24"/>
  <c r="H13" i="24"/>
  <c r="G13" i="24"/>
  <c r="F13" i="24"/>
  <c r="E13" i="24"/>
  <c r="M13" i="24" s="1"/>
  <c r="L12" i="24"/>
  <c r="K12" i="24"/>
  <c r="J12" i="24"/>
  <c r="I12" i="24"/>
  <c r="H12" i="24"/>
  <c r="G12" i="24"/>
  <c r="F12" i="24"/>
  <c r="E12" i="24"/>
  <c r="M12" i="24" s="1"/>
  <c r="L11" i="24"/>
  <c r="K11" i="24"/>
  <c r="J11" i="24"/>
  <c r="I11" i="24"/>
  <c r="H11" i="24"/>
  <c r="G11" i="24"/>
  <c r="F11" i="24"/>
  <c r="E11" i="24"/>
  <c r="M11" i="24" s="1"/>
  <c r="L10" i="24"/>
  <c r="K10" i="24"/>
  <c r="J10" i="24"/>
  <c r="J8" i="24" s="1"/>
  <c r="J4" i="24" s="1"/>
  <c r="J3" i="24" s="1"/>
  <c r="I10" i="24"/>
  <c r="I8" i="24" s="1"/>
  <c r="H10" i="24"/>
  <c r="G10" i="24"/>
  <c r="F10" i="24"/>
  <c r="F8" i="24" s="1"/>
  <c r="E10" i="24"/>
  <c r="M10" i="24" s="1"/>
  <c r="E9" i="24"/>
  <c r="M9" i="24" s="1"/>
  <c r="L8" i="24"/>
  <c r="L4" i="24" s="1"/>
  <c r="K8" i="24"/>
  <c r="K4" i="24" s="1"/>
  <c r="H8" i="24"/>
  <c r="G8" i="24"/>
  <c r="H7" i="24"/>
  <c r="G7" i="24"/>
  <c r="G5" i="24" s="1"/>
  <c r="G4" i="24" s="1"/>
  <c r="E7" i="24"/>
  <c r="H6" i="24"/>
  <c r="H5" i="24" s="1"/>
  <c r="H4" i="24" s="1"/>
  <c r="E6" i="24"/>
  <c r="M6" i="24" s="1"/>
  <c r="L5" i="24"/>
  <c r="K5" i="24"/>
  <c r="J5" i="24"/>
  <c r="I5" i="24"/>
  <c r="F5" i="24"/>
  <c r="F4" i="24" s="1"/>
  <c r="F3" i="24" s="1"/>
  <c r="E5" i="24"/>
  <c r="J109" i="22"/>
  <c r="J108" i="22"/>
  <c r="J107" i="22"/>
  <c r="J106" i="22"/>
  <c r="J105" i="22"/>
  <c r="J104" i="22"/>
  <c r="J103" i="22"/>
  <c r="J102" i="22"/>
  <c r="I101" i="22"/>
  <c r="H101" i="22"/>
  <c r="G101" i="22"/>
  <c r="F101" i="22"/>
  <c r="E101" i="22"/>
  <c r="J100" i="22"/>
  <c r="J99" i="22"/>
  <c r="J98" i="22"/>
  <c r="J97" i="22"/>
  <c r="I96" i="22"/>
  <c r="H96" i="22"/>
  <c r="G96" i="22"/>
  <c r="G80" i="22" s="1"/>
  <c r="G79" i="22" s="1"/>
  <c r="F96" i="22"/>
  <c r="E96" i="22"/>
  <c r="J95" i="22"/>
  <c r="J94" i="22"/>
  <c r="I93" i="22"/>
  <c r="H93" i="22"/>
  <c r="G93" i="22"/>
  <c r="F93" i="22"/>
  <c r="E93" i="22"/>
  <c r="J92" i="22"/>
  <c r="I91" i="22"/>
  <c r="H91" i="22"/>
  <c r="G91" i="22"/>
  <c r="F91" i="22"/>
  <c r="E91" i="22"/>
  <c r="I90" i="22"/>
  <c r="I89" i="22" s="1"/>
  <c r="I85" i="22" s="1"/>
  <c r="H90" i="22"/>
  <c r="G90" i="22"/>
  <c r="G89" i="22" s="1"/>
  <c r="F90" i="22"/>
  <c r="F89" i="22" s="1"/>
  <c r="E90" i="22"/>
  <c r="J90" i="22" s="1"/>
  <c r="J88" i="22"/>
  <c r="J87" i="22"/>
  <c r="I86" i="22"/>
  <c r="H86" i="22"/>
  <c r="G86" i="22"/>
  <c r="F86" i="22"/>
  <c r="E86" i="22"/>
  <c r="J84" i="22"/>
  <c r="I83" i="22"/>
  <c r="H83" i="22"/>
  <c r="G83" i="22"/>
  <c r="F83" i="22"/>
  <c r="E83" i="22"/>
  <c r="I82" i="22"/>
  <c r="I81" i="22" s="1"/>
  <c r="H82" i="22"/>
  <c r="G82" i="22"/>
  <c r="F82" i="22"/>
  <c r="F81" i="22" s="1"/>
  <c r="E82" i="22"/>
  <c r="E81" i="22" s="1"/>
  <c r="H81" i="22"/>
  <c r="G81" i="22"/>
  <c r="I80" i="22"/>
  <c r="I79" i="22" s="1"/>
  <c r="H80" i="22"/>
  <c r="F80" i="22"/>
  <c r="F79" i="22" s="1"/>
  <c r="E80" i="22"/>
  <c r="E79" i="22" s="1"/>
  <c r="H79" i="22"/>
  <c r="J78" i="22"/>
  <c r="I77" i="22"/>
  <c r="H77" i="22"/>
  <c r="G77" i="22"/>
  <c r="F77" i="22"/>
  <c r="E77" i="22"/>
  <c r="I76" i="22"/>
  <c r="I75" i="22" s="1"/>
  <c r="H76" i="22"/>
  <c r="H75" i="22" s="1"/>
  <c r="G76" i="22"/>
  <c r="G75" i="22" s="1"/>
  <c r="F76" i="22"/>
  <c r="F75" i="22" s="1"/>
  <c r="E76" i="22"/>
  <c r="J76" i="22" s="1"/>
  <c r="I74" i="22"/>
  <c r="I73" i="22" s="1"/>
  <c r="H74" i="22"/>
  <c r="H73" i="22" s="1"/>
  <c r="G74" i="22"/>
  <c r="F74" i="22"/>
  <c r="F73" i="22" s="1"/>
  <c r="E74" i="22"/>
  <c r="G73" i="22"/>
  <c r="I72" i="22"/>
  <c r="I71" i="22" s="1"/>
  <c r="H72" i="22"/>
  <c r="H71" i="22" s="1"/>
  <c r="G72" i="22"/>
  <c r="G71" i="22" s="1"/>
  <c r="F72" i="22"/>
  <c r="E72" i="22"/>
  <c r="F71" i="22"/>
  <c r="J70" i="22"/>
  <c r="J69" i="22"/>
  <c r="J68" i="22"/>
  <c r="J67" i="22"/>
  <c r="J66" i="22"/>
  <c r="J65" i="22"/>
  <c r="J64" i="22"/>
  <c r="J63" i="22"/>
  <c r="J62" i="22"/>
  <c r="J61" i="22"/>
  <c r="J60" i="22"/>
  <c r="J59" i="22"/>
  <c r="J58" i="22"/>
  <c r="J57" i="22"/>
  <c r="J56" i="22"/>
  <c r="J55" i="22"/>
  <c r="J54" i="22"/>
  <c r="I53" i="22"/>
  <c r="H53" i="22"/>
  <c r="G53" i="22"/>
  <c r="F53" i="22"/>
  <c r="E53" i="22"/>
  <c r="J51" i="22"/>
  <c r="J50" i="22"/>
  <c r="J49" i="22"/>
  <c r="J48" i="22"/>
  <c r="I47" i="22"/>
  <c r="H47" i="22"/>
  <c r="G47" i="22"/>
  <c r="F47" i="22"/>
  <c r="E47" i="22"/>
  <c r="J46" i="22"/>
  <c r="I45" i="22"/>
  <c r="H45" i="22"/>
  <c r="G45" i="22"/>
  <c r="F45" i="22"/>
  <c r="E45" i="22"/>
  <c r="J44" i="22"/>
  <c r="J43" i="22"/>
  <c r="I42" i="22"/>
  <c r="I31" i="22" s="1"/>
  <c r="H42" i="22"/>
  <c r="G42" i="22"/>
  <c r="F42" i="22"/>
  <c r="F31" i="22" s="1"/>
  <c r="E42" i="22"/>
  <c r="J42" i="22" s="1"/>
  <c r="J41" i="22"/>
  <c r="I40" i="22"/>
  <c r="H40" i="22"/>
  <c r="G40" i="22"/>
  <c r="F40" i="22"/>
  <c r="E40" i="22"/>
  <c r="J39" i="22"/>
  <c r="J38" i="22"/>
  <c r="J37" i="22"/>
  <c r="J36" i="22"/>
  <c r="J35" i="22"/>
  <c r="J34" i="22"/>
  <c r="J33" i="22"/>
  <c r="I32" i="22"/>
  <c r="H32" i="22"/>
  <c r="G32" i="22"/>
  <c r="G31" i="22" s="1"/>
  <c r="F32" i="22"/>
  <c r="E32" i="22"/>
  <c r="H31" i="22"/>
  <c r="I30" i="22"/>
  <c r="H30" i="22"/>
  <c r="G30" i="22"/>
  <c r="F30" i="22"/>
  <c r="E30" i="22"/>
  <c r="J30" i="22" s="1"/>
  <c r="I29" i="22"/>
  <c r="H29" i="22"/>
  <c r="G29" i="22"/>
  <c r="F29" i="22"/>
  <c r="E29" i="22"/>
  <c r="I28" i="22"/>
  <c r="H28" i="22"/>
  <c r="G28" i="22"/>
  <c r="G27" i="22" s="1"/>
  <c r="F28" i="22"/>
  <c r="E28" i="22"/>
  <c r="I27" i="22"/>
  <c r="H27" i="22"/>
  <c r="F27" i="22"/>
  <c r="E27" i="22"/>
  <c r="I26" i="22"/>
  <c r="I25" i="22" s="1"/>
  <c r="H26" i="22"/>
  <c r="G26" i="22"/>
  <c r="F26" i="22"/>
  <c r="E26" i="22"/>
  <c r="J26" i="22" s="1"/>
  <c r="H25" i="22"/>
  <c r="G25" i="22"/>
  <c r="F25" i="22"/>
  <c r="I24" i="22"/>
  <c r="H24" i="22"/>
  <c r="G24" i="22"/>
  <c r="G22" i="22" s="1"/>
  <c r="F24" i="22"/>
  <c r="E24" i="22"/>
  <c r="I23" i="22"/>
  <c r="H23" i="22"/>
  <c r="H22" i="22" s="1"/>
  <c r="G23" i="22"/>
  <c r="F23" i="22"/>
  <c r="E23" i="22"/>
  <c r="I22" i="22"/>
  <c r="F22" i="22"/>
  <c r="E22" i="22"/>
  <c r="I21" i="22"/>
  <c r="H21" i="22"/>
  <c r="G21" i="22"/>
  <c r="F21" i="22"/>
  <c r="J21" i="22" s="1"/>
  <c r="E21" i="22"/>
  <c r="I20" i="22"/>
  <c r="H20" i="22"/>
  <c r="G20" i="22"/>
  <c r="E20" i="22"/>
  <c r="J19" i="22"/>
  <c r="I18" i="22"/>
  <c r="H18" i="22"/>
  <c r="G18" i="22"/>
  <c r="F18" i="22"/>
  <c r="E18" i="22"/>
  <c r="J18" i="22" s="1"/>
  <c r="J17" i="22"/>
  <c r="J16" i="22"/>
  <c r="I15" i="22"/>
  <c r="H15" i="22"/>
  <c r="H13" i="22" s="1"/>
  <c r="G15" i="22"/>
  <c r="F15" i="22"/>
  <c r="E15" i="22"/>
  <c r="I14" i="22"/>
  <c r="I13" i="22" s="1"/>
  <c r="H14" i="22"/>
  <c r="G14" i="22"/>
  <c r="F14" i="22"/>
  <c r="E14" i="22"/>
  <c r="J14" i="22" s="1"/>
  <c r="G13" i="22"/>
  <c r="F13" i="22"/>
  <c r="I12" i="22"/>
  <c r="H12" i="22"/>
  <c r="G12" i="22"/>
  <c r="G10" i="22" s="1"/>
  <c r="G8" i="22" s="1"/>
  <c r="G4" i="22" s="1"/>
  <c r="F12" i="22"/>
  <c r="E12" i="22"/>
  <c r="I11" i="22"/>
  <c r="H11" i="22"/>
  <c r="H10" i="22" s="1"/>
  <c r="H8" i="22" s="1"/>
  <c r="H4" i="22" s="1"/>
  <c r="G11" i="22"/>
  <c r="F11" i="22"/>
  <c r="E11" i="22"/>
  <c r="I10" i="22"/>
  <c r="I8" i="22" s="1"/>
  <c r="I4" i="22" s="1"/>
  <c r="F10" i="22"/>
  <c r="F8" i="22" s="1"/>
  <c r="E10" i="22"/>
  <c r="J9" i="22"/>
  <c r="J7" i="22"/>
  <c r="J6" i="22"/>
  <c r="I5" i="22"/>
  <c r="H5" i="22"/>
  <c r="G5" i="22"/>
  <c r="F5" i="22"/>
  <c r="E5" i="22"/>
  <c r="V109" i="20"/>
  <c r="V108" i="20"/>
  <c r="V107" i="20"/>
  <c r="V106" i="20"/>
  <c r="V105" i="20"/>
  <c r="V104" i="20"/>
  <c r="V103" i="20"/>
  <c r="V102" i="20"/>
  <c r="T101" i="20"/>
  <c r="S101" i="20"/>
  <c r="R101" i="20"/>
  <c r="Q101" i="20"/>
  <c r="P101" i="20"/>
  <c r="O101" i="20"/>
  <c r="N101" i="20"/>
  <c r="M101" i="20"/>
  <c r="L101" i="20"/>
  <c r="K101" i="20"/>
  <c r="J101" i="20"/>
  <c r="I101" i="20"/>
  <c r="H101" i="20"/>
  <c r="G101" i="20"/>
  <c r="F101" i="20"/>
  <c r="E101" i="20"/>
  <c r="V100" i="20"/>
  <c r="V99" i="20"/>
  <c r="V98" i="20"/>
  <c r="V97" i="20"/>
  <c r="T96" i="20"/>
  <c r="S96" i="20"/>
  <c r="R96" i="20"/>
  <c r="Q96" i="20"/>
  <c r="P96" i="20"/>
  <c r="O96" i="20"/>
  <c r="N96" i="20"/>
  <c r="M96" i="20"/>
  <c r="L96" i="20"/>
  <c r="K96" i="20"/>
  <c r="J96" i="20"/>
  <c r="I96" i="20"/>
  <c r="H96" i="20"/>
  <c r="G96" i="20"/>
  <c r="F96" i="20"/>
  <c r="E96" i="20"/>
  <c r="V95" i="20"/>
  <c r="V94" i="20"/>
  <c r="U93" i="20"/>
  <c r="T93" i="20"/>
  <c r="S93" i="20"/>
  <c r="R93" i="20"/>
  <c r="Q93" i="20"/>
  <c r="P93" i="20"/>
  <c r="O93" i="20"/>
  <c r="N93" i="20"/>
  <c r="M93" i="20"/>
  <c r="L93" i="20"/>
  <c r="K93" i="20"/>
  <c r="J93" i="20"/>
  <c r="I93" i="20"/>
  <c r="H93" i="20"/>
  <c r="G93" i="20"/>
  <c r="F93" i="20"/>
  <c r="V93" i="20" s="1"/>
  <c r="E93" i="20"/>
  <c r="V92" i="20"/>
  <c r="U91" i="20"/>
  <c r="T91" i="20"/>
  <c r="S91" i="20"/>
  <c r="R91" i="20"/>
  <c r="Q91" i="20"/>
  <c r="P91" i="20"/>
  <c r="O91" i="20"/>
  <c r="N91" i="20"/>
  <c r="M91" i="20"/>
  <c r="L91" i="20"/>
  <c r="K91" i="20"/>
  <c r="J91" i="20"/>
  <c r="I91" i="20"/>
  <c r="H91" i="20"/>
  <c r="G91" i="20"/>
  <c r="F91" i="20"/>
  <c r="E91" i="20"/>
  <c r="U90" i="20"/>
  <c r="U89" i="20" s="1"/>
  <c r="U85" i="20" s="1"/>
  <c r="T90" i="20"/>
  <c r="S90" i="20"/>
  <c r="S89" i="20" s="1"/>
  <c r="R90" i="20"/>
  <c r="R89" i="20" s="1"/>
  <c r="Q90" i="20"/>
  <c r="Q89" i="20" s="1"/>
  <c r="Q85" i="20" s="1"/>
  <c r="P90" i="20"/>
  <c r="O90" i="20"/>
  <c r="N90" i="20"/>
  <c r="M90" i="20"/>
  <c r="M89" i="20" s="1"/>
  <c r="M85" i="20" s="1"/>
  <c r="L90" i="20"/>
  <c r="K90" i="20"/>
  <c r="K89" i="20" s="1"/>
  <c r="J90" i="20"/>
  <c r="J89" i="20" s="1"/>
  <c r="I90" i="20"/>
  <c r="I89" i="20" s="1"/>
  <c r="I85" i="20" s="1"/>
  <c r="H90" i="20"/>
  <c r="G90" i="20"/>
  <c r="F90" i="20"/>
  <c r="E90" i="20"/>
  <c r="V90" i="20" s="1"/>
  <c r="O89" i="20"/>
  <c r="N89" i="20"/>
  <c r="G89" i="20"/>
  <c r="F89" i="20"/>
  <c r="V88" i="20"/>
  <c r="V87" i="20"/>
  <c r="U86" i="20"/>
  <c r="T86" i="20"/>
  <c r="S86" i="20"/>
  <c r="R86" i="20"/>
  <c r="Q86" i="20"/>
  <c r="P86" i="20"/>
  <c r="O86" i="20"/>
  <c r="N86" i="20"/>
  <c r="M86" i="20"/>
  <c r="L86" i="20"/>
  <c r="K86" i="20"/>
  <c r="J86" i="20"/>
  <c r="I86" i="20"/>
  <c r="H86" i="20"/>
  <c r="G86" i="20"/>
  <c r="F86" i="20"/>
  <c r="E86" i="20"/>
  <c r="V84" i="20"/>
  <c r="U83" i="20"/>
  <c r="T83" i="20"/>
  <c r="S83" i="20"/>
  <c r="R83" i="20"/>
  <c r="Q83" i="20"/>
  <c r="P83" i="20"/>
  <c r="O83" i="20"/>
  <c r="N83" i="20"/>
  <c r="M83" i="20"/>
  <c r="L83" i="20"/>
  <c r="K83" i="20"/>
  <c r="J83" i="20"/>
  <c r="I83" i="20"/>
  <c r="H83" i="20"/>
  <c r="G83" i="20"/>
  <c r="F83" i="20"/>
  <c r="V83" i="20" s="1"/>
  <c r="E83" i="20"/>
  <c r="T82" i="20"/>
  <c r="T81" i="20" s="1"/>
  <c r="P82" i="20"/>
  <c r="P81" i="20" s="1"/>
  <c r="H82" i="20"/>
  <c r="H81" i="20" s="1"/>
  <c r="U80" i="20"/>
  <c r="U79" i="20" s="1"/>
  <c r="T80" i="20"/>
  <c r="S80" i="20"/>
  <c r="R80" i="20"/>
  <c r="R79" i="20" s="1"/>
  <c r="Q80" i="20"/>
  <c r="Q79" i="20" s="1"/>
  <c r="P80" i="20"/>
  <c r="O80" i="20"/>
  <c r="N80" i="20"/>
  <c r="N79" i="20" s="1"/>
  <c r="M80" i="20"/>
  <c r="M79" i="20" s="1"/>
  <c r="L80" i="20"/>
  <c r="K80" i="20"/>
  <c r="J80" i="20"/>
  <c r="J79" i="20" s="1"/>
  <c r="I80" i="20"/>
  <c r="I79" i="20" s="1"/>
  <c r="H80" i="20"/>
  <c r="G80" i="20"/>
  <c r="F80" i="20"/>
  <c r="E80" i="20"/>
  <c r="E79" i="20" s="1"/>
  <c r="T79" i="20"/>
  <c r="S79" i="20"/>
  <c r="P79" i="20"/>
  <c r="O79" i="20"/>
  <c r="L79" i="20"/>
  <c r="K79" i="20"/>
  <c r="H79" i="20"/>
  <c r="G79" i="20"/>
  <c r="V78" i="20"/>
  <c r="U77" i="20"/>
  <c r="T77" i="20"/>
  <c r="S77" i="20"/>
  <c r="R77" i="20"/>
  <c r="Q77" i="20"/>
  <c r="P77" i="20"/>
  <c r="O77" i="20"/>
  <c r="N77" i="20"/>
  <c r="M77" i="20"/>
  <c r="L77" i="20"/>
  <c r="K77" i="20"/>
  <c r="J77" i="20"/>
  <c r="I77" i="20"/>
  <c r="H77" i="20"/>
  <c r="G77" i="20"/>
  <c r="F77" i="20"/>
  <c r="E77" i="20"/>
  <c r="U76" i="20"/>
  <c r="U75" i="20" s="1"/>
  <c r="T76" i="20"/>
  <c r="T75" i="20" s="1"/>
  <c r="S76" i="20"/>
  <c r="R76" i="20"/>
  <c r="R75" i="20" s="1"/>
  <c r="Q76" i="20"/>
  <c r="Q75" i="20" s="1"/>
  <c r="P76" i="20"/>
  <c r="P75" i="20" s="1"/>
  <c r="O76" i="20"/>
  <c r="N76" i="20"/>
  <c r="M76" i="20"/>
  <c r="M75" i="20" s="1"/>
  <c r="L76" i="20"/>
  <c r="L75" i="20" s="1"/>
  <c r="K76" i="20"/>
  <c r="J76" i="20"/>
  <c r="J75" i="20" s="1"/>
  <c r="I76" i="20"/>
  <c r="I75" i="20" s="1"/>
  <c r="H76" i="20"/>
  <c r="H75" i="20" s="1"/>
  <c r="G76" i="20"/>
  <c r="F76" i="20"/>
  <c r="E76" i="20"/>
  <c r="S75" i="20"/>
  <c r="O75" i="20"/>
  <c r="N75" i="20"/>
  <c r="K75" i="20"/>
  <c r="G75" i="20"/>
  <c r="F75" i="20"/>
  <c r="U74" i="20"/>
  <c r="U73" i="20" s="1"/>
  <c r="T74" i="20"/>
  <c r="T73" i="20" s="1"/>
  <c r="S74" i="20"/>
  <c r="R74" i="20"/>
  <c r="R73" i="20" s="1"/>
  <c r="Q74" i="20"/>
  <c r="Q73" i="20" s="1"/>
  <c r="P74" i="20"/>
  <c r="P73" i="20" s="1"/>
  <c r="O74" i="20"/>
  <c r="N74" i="20"/>
  <c r="M74" i="20"/>
  <c r="M73" i="20" s="1"/>
  <c r="L74" i="20"/>
  <c r="L73" i="20" s="1"/>
  <c r="K74" i="20"/>
  <c r="J74" i="20"/>
  <c r="J73" i="20" s="1"/>
  <c r="I74" i="20"/>
  <c r="I73" i="20" s="1"/>
  <c r="H74" i="20"/>
  <c r="H73" i="20" s="1"/>
  <c r="G74" i="20"/>
  <c r="F74" i="20"/>
  <c r="E74" i="20"/>
  <c r="V74" i="20" s="1"/>
  <c r="S73" i="20"/>
  <c r="O73" i="20"/>
  <c r="N73" i="20"/>
  <c r="K73" i="20"/>
  <c r="G73" i="20"/>
  <c r="F73" i="20"/>
  <c r="U72" i="20"/>
  <c r="U71" i="20" s="1"/>
  <c r="T72" i="20"/>
  <c r="T71" i="20" s="1"/>
  <c r="S72" i="20"/>
  <c r="S71" i="20" s="1"/>
  <c r="R72" i="20"/>
  <c r="R71" i="20" s="1"/>
  <c r="Q72" i="20"/>
  <c r="Q71" i="20" s="1"/>
  <c r="P72" i="20"/>
  <c r="P71" i="20" s="1"/>
  <c r="O72" i="20"/>
  <c r="N72" i="20"/>
  <c r="N71" i="20" s="1"/>
  <c r="M72" i="20"/>
  <c r="M71" i="20" s="1"/>
  <c r="L72" i="20"/>
  <c r="L71" i="20" s="1"/>
  <c r="K72" i="20"/>
  <c r="K71" i="20" s="1"/>
  <c r="J72" i="20"/>
  <c r="J71" i="20" s="1"/>
  <c r="I72" i="20"/>
  <c r="I71" i="20" s="1"/>
  <c r="H72" i="20"/>
  <c r="H71" i="20" s="1"/>
  <c r="G72" i="20"/>
  <c r="F72" i="20"/>
  <c r="F71" i="20" s="1"/>
  <c r="E72" i="20"/>
  <c r="O71" i="20"/>
  <c r="G71" i="20"/>
  <c r="V70" i="20"/>
  <c r="M69" i="20"/>
  <c r="V69" i="20" s="1"/>
  <c r="R68" i="20"/>
  <c r="O68" i="20"/>
  <c r="N68" i="20"/>
  <c r="M68" i="20"/>
  <c r="L68" i="20"/>
  <c r="J68" i="20"/>
  <c r="I68" i="20"/>
  <c r="H68" i="20"/>
  <c r="H53" i="20" s="1"/>
  <c r="F68" i="20"/>
  <c r="E68" i="20"/>
  <c r="V67" i="20"/>
  <c r="V66" i="20"/>
  <c r="V65" i="20"/>
  <c r="V64" i="20"/>
  <c r="M63" i="20"/>
  <c r="L63" i="20"/>
  <c r="K63" i="20"/>
  <c r="J63" i="20"/>
  <c r="V62" i="20"/>
  <c r="V61" i="20"/>
  <c r="V60" i="20"/>
  <c r="V59" i="20"/>
  <c r="V58" i="20"/>
  <c r="V57" i="20"/>
  <c r="V56" i="20"/>
  <c r="V55" i="20"/>
  <c r="N54" i="20"/>
  <c r="M54" i="20"/>
  <c r="M53" i="20" s="1"/>
  <c r="L54" i="20"/>
  <c r="K54" i="20"/>
  <c r="J54" i="20"/>
  <c r="J53" i="20" s="1"/>
  <c r="U53" i="20"/>
  <c r="T53" i="20"/>
  <c r="S53" i="20"/>
  <c r="R53" i="20"/>
  <c r="Q53" i="20"/>
  <c r="P53" i="20"/>
  <c r="O53" i="20"/>
  <c r="N53" i="20"/>
  <c r="L53" i="20"/>
  <c r="I53" i="20"/>
  <c r="G53" i="20"/>
  <c r="F53" i="20"/>
  <c r="E53" i="20"/>
  <c r="V51" i="20"/>
  <c r="V50" i="20"/>
  <c r="V49" i="20"/>
  <c r="U48" i="20"/>
  <c r="V48" i="20" s="1"/>
  <c r="T47" i="20"/>
  <c r="S47" i="20"/>
  <c r="R47" i="20"/>
  <c r="Q47" i="20"/>
  <c r="P47" i="20"/>
  <c r="O47" i="20"/>
  <c r="N47" i="20"/>
  <c r="M47" i="20"/>
  <c r="L47" i="20"/>
  <c r="K47" i="20"/>
  <c r="J47" i="20"/>
  <c r="I47" i="20"/>
  <c r="H47" i="20"/>
  <c r="G47" i="20"/>
  <c r="F47" i="20"/>
  <c r="E47" i="20"/>
  <c r="U46" i="20"/>
  <c r="U45" i="20" s="1"/>
  <c r="T46" i="20"/>
  <c r="T45" i="20" s="1"/>
  <c r="S46" i="20"/>
  <c r="R46" i="20"/>
  <c r="R45" i="20" s="1"/>
  <c r="R31" i="20" s="1"/>
  <c r="Q46" i="20"/>
  <c r="Q45" i="20" s="1"/>
  <c r="P46" i="20"/>
  <c r="P45" i="20" s="1"/>
  <c r="P31" i="20" s="1"/>
  <c r="O46" i="20"/>
  <c r="N46" i="20"/>
  <c r="M46" i="20"/>
  <c r="M45" i="20" s="1"/>
  <c r="L46" i="20"/>
  <c r="L45" i="20" s="1"/>
  <c r="L31" i="20" s="1"/>
  <c r="K46" i="20"/>
  <c r="J46" i="20"/>
  <c r="I46" i="20"/>
  <c r="I45" i="20" s="1"/>
  <c r="G46" i="20"/>
  <c r="G45" i="20" s="1"/>
  <c r="F46" i="20"/>
  <c r="E46" i="20"/>
  <c r="S45" i="20"/>
  <c r="O45" i="20"/>
  <c r="N45" i="20"/>
  <c r="K45" i="20"/>
  <c r="J45" i="20"/>
  <c r="H45" i="20"/>
  <c r="H31" i="20" s="1"/>
  <c r="F45" i="20"/>
  <c r="E45" i="20"/>
  <c r="V44" i="20"/>
  <c r="V43" i="20"/>
  <c r="U42" i="20"/>
  <c r="T42" i="20"/>
  <c r="S42" i="20"/>
  <c r="S31" i="20" s="1"/>
  <c r="R42" i="20"/>
  <c r="Q42" i="20"/>
  <c r="P42" i="20"/>
  <c r="O42" i="20"/>
  <c r="N42" i="20"/>
  <c r="M42" i="20"/>
  <c r="L42" i="20"/>
  <c r="K42" i="20"/>
  <c r="J42" i="20"/>
  <c r="I42" i="20"/>
  <c r="H42" i="20"/>
  <c r="G42" i="20"/>
  <c r="F42" i="20"/>
  <c r="E42" i="20"/>
  <c r="V41" i="20"/>
  <c r="U40" i="20"/>
  <c r="T40" i="20"/>
  <c r="S40" i="20"/>
  <c r="R40" i="20"/>
  <c r="Q40" i="20"/>
  <c r="P40" i="20"/>
  <c r="O40" i="20"/>
  <c r="N40" i="20"/>
  <c r="M40" i="20"/>
  <c r="L40" i="20"/>
  <c r="K40" i="20"/>
  <c r="J40" i="20"/>
  <c r="I40" i="20"/>
  <c r="H40" i="20"/>
  <c r="G40" i="20"/>
  <c r="F40" i="20"/>
  <c r="E40" i="20"/>
  <c r="V40" i="20" s="1"/>
  <c r="V39" i="20"/>
  <c r="V38" i="20"/>
  <c r="V37" i="20"/>
  <c r="V36" i="20"/>
  <c r="V35" i="20"/>
  <c r="V34" i="20"/>
  <c r="V33" i="20"/>
  <c r="U32" i="20"/>
  <c r="T32" i="20"/>
  <c r="S32" i="20"/>
  <c r="R32" i="20"/>
  <c r="Q32" i="20"/>
  <c r="P32" i="20"/>
  <c r="O32" i="20"/>
  <c r="O31" i="20" s="1"/>
  <c r="N32" i="20"/>
  <c r="N31" i="20" s="1"/>
  <c r="M32" i="20"/>
  <c r="L32" i="20"/>
  <c r="K32" i="20"/>
  <c r="J32" i="20"/>
  <c r="J31" i="20" s="1"/>
  <c r="I32" i="20"/>
  <c r="H32" i="20"/>
  <c r="G32" i="20"/>
  <c r="F32" i="20"/>
  <c r="E32" i="20"/>
  <c r="V32" i="20" s="1"/>
  <c r="K31" i="20"/>
  <c r="F31" i="20"/>
  <c r="T30" i="20"/>
  <c r="P30" i="20"/>
  <c r="H30" i="20"/>
  <c r="U29" i="20"/>
  <c r="T29" i="20"/>
  <c r="S29" i="20"/>
  <c r="R29" i="20"/>
  <c r="Q29" i="20"/>
  <c r="P29" i="20"/>
  <c r="O29" i="20"/>
  <c r="N29" i="20"/>
  <c r="M29" i="20"/>
  <c r="L29" i="20"/>
  <c r="K29" i="20"/>
  <c r="J29" i="20"/>
  <c r="I29" i="20"/>
  <c r="H29" i="20"/>
  <c r="G29" i="20"/>
  <c r="F29" i="20"/>
  <c r="E29" i="20"/>
  <c r="T28" i="20"/>
  <c r="T27" i="20" s="1"/>
  <c r="P28" i="20"/>
  <c r="P27" i="20" s="1"/>
  <c r="H28" i="20"/>
  <c r="H27" i="20" s="1"/>
  <c r="T26" i="20"/>
  <c r="T25" i="20" s="1"/>
  <c r="P26" i="20"/>
  <c r="H26" i="20"/>
  <c r="H25" i="20" s="1"/>
  <c r="P25" i="20"/>
  <c r="T24" i="20"/>
  <c r="P24" i="20"/>
  <c r="H24" i="20"/>
  <c r="T23" i="20"/>
  <c r="P23" i="20"/>
  <c r="P22" i="20" s="1"/>
  <c r="H23" i="20"/>
  <c r="H22" i="20" s="1"/>
  <c r="T22" i="20"/>
  <c r="T21" i="20"/>
  <c r="T20" i="20" s="1"/>
  <c r="P21" i="20"/>
  <c r="P20" i="20" s="1"/>
  <c r="H21" i="20"/>
  <c r="H20" i="20"/>
  <c r="E19" i="20"/>
  <c r="V19" i="20" s="1"/>
  <c r="U18" i="20"/>
  <c r="T18" i="20"/>
  <c r="S18" i="20"/>
  <c r="R18" i="20"/>
  <c r="Q18" i="20"/>
  <c r="P18" i="20"/>
  <c r="O18" i="20"/>
  <c r="N18" i="20"/>
  <c r="M18" i="20"/>
  <c r="L18" i="20"/>
  <c r="K18" i="20"/>
  <c r="J18" i="20"/>
  <c r="I18" i="20"/>
  <c r="G18" i="20"/>
  <c r="F18" i="20"/>
  <c r="E18" i="20"/>
  <c r="V17" i="20"/>
  <c r="U16" i="20"/>
  <c r="S16" i="20"/>
  <c r="S23" i="20" s="1"/>
  <c r="R16" i="20"/>
  <c r="R82" i="20" s="1"/>
  <c r="R81" i="20" s="1"/>
  <c r="Q16" i="20"/>
  <c r="Q82" i="20" s="1"/>
  <c r="Q81" i="20" s="1"/>
  <c r="O16" i="20"/>
  <c r="N16" i="20"/>
  <c r="N82" i="20" s="1"/>
  <c r="N81" i="20" s="1"/>
  <c r="M16" i="20"/>
  <c r="M82" i="20" s="1"/>
  <c r="M81" i="20" s="1"/>
  <c r="L16" i="20"/>
  <c r="L23" i="20" s="1"/>
  <c r="K16" i="20"/>
  <c r="J16" i="20"/>
  <c r="J82" i="20" s="1"/>
  <c r="J81" i="20" s="1"/>
  <c r="I16" i="20"/>
  <c r="I82" i="20" s="1"/>
  <c r="I81" i="20" s="1"/>
  <c r="G16" i="20"/>
  <c r="G23" i="20" s="1"/>
  <c r="F16" i="20"/>
  <c r="E16" i="20"/>
  <c r="E82" i="20" s="1"/>
  <c r="T15" i="20"/>
  <c r="S15" i="20"/>
  <c r="S13" i="20" s="1"/>
  <c r="R15" i="20"/>
  <c r="P15" i="20"/>
  <c r="O15" i="20"/>
  <c r="N15" i="20"/>
  <c r="M15" i="20"/>
  <c r="L15" i="20"/>
  <c r="K15" i="20"/>
  <c r="J15" i="20"/>
  <c r="I15" i="20"/>
  <c r="H15" i="20"/>
  <c r="G15" i="20"/>
  <c r="E15" i="20"/>
  <c r="T14" i="20"/>
  <c r="T13" i="20" s="1"/>
  <c r="S14" i="20"/>
  <c r="R14" i="20"/>
  <c r="Q14" i="20"/>
  <c r="P14" i="20"/>
  <c r="P13" i="20" s="1"/>
  <c r="N14" i="20"/>
  <c r="M14" i="20"/>
  <c r="L14" i="20"/>
  <c r="L13" i="20" s="1"/>
  <c r="J14" i="20"/>
  <c r="I14" i="20"/>
  <c r="H14" i="20"/>
  <c r="H13" i="20" s="1"/>
  <c r="E14" i="20"/>
  <c r="R13" i="20"/>
  <c r="N13" i="20"/>
  <c r="M13" i="20"/>
  <c r="J13" i="20"/>
  <c r="I13" i="20"/>
  <c r="E13" i="20"/>
  <c r="U12" i="20"/>
  <c r="T12" i="20"/>
  <c r="S12" i="20"/>
  <c r="R12" i="20"/>
  <c r="R10" i="20" s="1"/>
  <c r="Q12" i="20"/>
  <c r="P12" i="20"/>
  <c r="O12" i="20"/>
  <c r="N12" i="20"/>
  <c r="N10" i="20" s="1"/>
  <c r="M12" i="20"/>
  <c r="L12" i="20"/>
  <c r="K12" i="20"/>
  <c r="J12" i="20"/>
  <c r="J10" i="20" s="1"/>
  <c r="I12" i="20"/>
  <c r="H12" i="20"/>
  <c r="G12" i="20"/>
  <c r="F12" i="20"/>
  <c r="F10" i="20" s="1"/>
  <c r="E12" i="20"/>
  <c r="U11" i="20"/>
  <c r="T11" i="20"/>
  <c r="S11" i="20"/>
  <c r="S10" i="20" s="1"/>
  <c r="R11" i="20"/>
  <c r="Q11" i="20"/>
  <c r="P11" i="20"/>
  <c r="O11" i="20"/>
  <c r="O10" i="20" s="1"/>
  <c r="O8" i="20" s="1"/>
  <c r="N11" i="20"/>
  <c r="M11" i="20"/>
  <c r="L11" i="20"/>
  <c r="L10" i="20" s="1"/>
  <c r="L8" i="20" s="1"/>
  <c r="K11" i="20"/>
  <c r="K10" i="20" s="1"/>
  <c r="J11" i="20"/>
  <c r="I11" i="20"/>
  <c r="H11" i="20"/>
  <c r="H10" i="20" s="1"/>
  <c r="H8" i="20" s="1"/>
  <c r="G11" i="20"/>
  <c r="G10" i="20" s="1"/>
  <c r="G8" i="20" s="1"/>
  <c r="F11" i="20"/>
  <c r="E11" i="20"/>
  <c r="U10" i="20"/>
  <c r="T10" i="20"/>
  <c r="Q10" i="20"/>
  <c r="P10" i="20"/>
  <c r="M10" i="20"/>
  <c r="I10" i="20"/>
  <c r="E10" i="20"/>
  <c r="U9" i="20"/>
  <c r="T9" i="20"/>
  <c r="S9" i="20"/>
  <c r="R9" i="20"/>
  <c r="R8" i="20" s="1"/>
  <c r="Q9" i="20"/>
  <c r="Q8" i="20" s="1"/>
  <c r="P9" i="20"/>
  <c r="O9" i="20"/>
  <c r="N9" i="20"/>
  <c r="N8" i="20" s="1"/>
  <c r="M9" i="20"/>
  <c r="L9" i="20"/>
  <c r="K9" i="20"/>
  <c r="J9" i="20"/>
  <c r="J8" i="20" s="1"/>
  <c r="I9" i="20"/>
  <c r="I8" i="20" s="1"/>
  <c r="F9" i="20"/>
  <c r="E9" i="20"/>
  <c r="T8" i="20"/>
  <c r="S8" i="20"/>
  <c r="P8" i="20"/>
  <c r="K8" i="20"/>
  <c r="F8" i="20"/>
  <c r="U7" i="20"/>
  <c r="T7" i="20"/>
  <c r="S7" i="20"/>
  <c r="R7" i="20"/>
  <c r="Q7" i="20"/>
  <c r="P7" i="20"/>
  <c r="O7" i="20"/>
  <c r="N7" i="20"/>
  <c r="M7" i="20"/>
  <c r="L7" i="20"/>
  <c r="K7" i="20"/>
  <c r="J7" i="20"/>
  <c r="I7" i="20"/>
  <c r="G7" i="20"/>
  <c r="F7" i="20"/>
  <c r="E7" i="20"/>
  <c r="V7" i="20" s="1"/>
  <c r="U6" i="20"/>
  <c r="U5" i="20" s="1"/>
  <c r="T6" i="20"/>
  <c r="T5" i="20" s="1"/>
  <c r="S6" i="20"/>
  <c r="R6" i="20"/>
  <c r="R5" i="20" s="1"/>
  <c r="Q6" i="20"/>
  <c r="Q5" i="20" s="1"/>
  <c r="P6" i="20"/>
  <c r="P5" i="20" s="1"/>
  <c r="P4" i="20" s="1"/>
  <c r="O6" i="20"/>
  <c r="O5" i="20" s="1"/>
  <c r="N6" i="20"/>
  <c r="M6" i="20"/>
  <c r="L6" i="20"/>
  <c r="K6" i="20"/>
  <c r="K5" i="20" s="1"/>
  <c r="J6" i="20"/>
  <c r="J5" i="20" s="1"/>
  <c r="I6" i="20"/>
  <c r="G6" i="20"/>
  <c r="G5" i="20" s="1"/>
  <c r="F6" i="20"/>
  <c r="E6" i="20"/>
  <c r="V6" i="20" s="1"/>
  <c r="S5" i="20"/>
  <c r="N5" i="20"/>
  <c r="M5" i="20"/>
  <c r="L5" i="20"/>
  <c r="I5" i="20"/>
  <c r="H5" i="20"/>
  <c r="H4" i="20" s="1"/>
  <c r="F5" i="20"/>
  <c r="T4" i="20"/>
  <c r="W109" i="25"/>
  <c r="W108" i="25"/>
  <c r="W107" i="25"/>
  <c r="W106" i="25"/>
  <c r="W105" i="25"/>
  <c r="W104" i="25"/>
  <c r="W103" i="25"/>
  <c r="W102" i="25"/>
  <c r="V101" i="25"/>
  <c r="U101" i="25"/>
  <c r="T101" i="25"/>
  <c r="S101" i="25"/>
  <c r="R101" i="25"/>
  <c r="Q101" i="25"/>
  <c r="P101" i="25"/>
  <c r="O101" i="25"/>
  <c r="N101" i="25"/>
  <c r="M101" i="25"/>
  <c r="L101" i="25"/>
  <c r="K101" i="25"/>
  <c r="J101" i="25"/>
  <c r="I101" i="25"/>
  <c r="H101" i="25"/>
  <c r="G101" i="25"/>
  <c r="F101" i="25"/>
  <c r="E101" i="25"/>
  <c r="W101" i="25" s="1"/>
  <c r="W100" i="25"/>
  <c r="W99" i="25"/>
  <c r="W98" i="25"/>
  <c r="W97" i="25"/>
  <c r="V96" i="25"/>
  <c r="U96" i="25"/>
  <c r="T96" i="25"/>
  <c r="S96" i="25"/>
  <c r="R96" i="25"/>
  <c r="Q96" i="25"/>
  <c r="P96" i="25"/>
  <c r="O96" i="25"/>
  <c r="N96" i="25"/>
  <c r="M96" i="25"/>
  <c r="L96" i="25"/>
  <c r="K96" i="25"/>
  <c r="J96" i="25"/>
  <c r="I96" i="25"/>
  <c r="H96" i="25"/>
  <c r="G96" i="25"/>
  <c r="F96" i="25"/>
  <c r="E96" i="25"/>
  <c r="W95" i="25"/>
  <c r="W94" i="25"/>
  <c r="V93" i="25"/>
  <c r="U93" i="25"/>
  <c r="T93" i="25"/>
  <c r="S93" i="25"/>
  <c r="R93" i="25"/>
  <c r="Q93" i="25"/>
  <c r="P93" i="25"/>
  <c r="O93" i="25"/>
  <c r="N93" i="25"/>
  <c r="M93" i="25"/>
  <c r="L93" i="25"/>
  <c r="K93" i="25"/>
  <c r="J93" i="25"/>
  <c r="I93" i="25"/>
  <c r="H93" i="25"/>
  <c r="G93" i="25"/>
  <c r="W93" i="25" s="1"/>
  <c r="F93" i="25"/>
  <c r="E93" i="25"/>
  <c r="W92" i="25"/>
  <c r="V91" i="25"/>
  <c r="S91" i="25"/>
  <c r="R91" i="25"/>
  <c r="Q91" i="25"/>
  <c r="P91" i="25"/>
  <c r="O91" i="25"/>
  <c r="N91" i="25"/>
  <c r="M91" i="25"/>
  <c r="L91" i="25"/>
  <c r="K91" i="25"/>
  <c r="J91" i="25"/>
  <c r="I91" i="25"/>
  <c r="H91" i="25"/>
  <c r="G91" i="25"/>
  <c r="F91" i="25"/>
  <c r="E91" i="25"/>
  <c r="V90" i="25"/>
  <c r="S90" i="25"/>
  <c r="S89" i="25" s="1"/>
  <c r="S85" i="25" s="1"/>
  <c r="R90" i="25"/>
  <c r="R89" i="25" s="1"/>
  <c r="R85" i="25" s="1"/>
  <c r="Q90" i="25"/>
  <c r="P90" i="25"/>
  <c r="P89" i="25" s="1"/>
  <c r="O90" i="25"/>
  <c r="N90" i="25"/>
  <c r="N89" i="25" s="1"/>
  <c r="N85" i="25" s="1"/>
  <c r="M90" i="25"/>
  <c r="L90" i="25"/>
  <c r="L89" i="25" s="1"/>
  <c r="K90" i="25"/>
  <c r="K89" i="25" s="1"/>
  <c r="K85" i="25" s="1"/>
  <c r="J90" i="25"/>
  <c r="J89" i="25" s="1"/>
  <c r="J85" i="25" s="1"/>
  <c r="I90" i="25"/>
  <c r="H90" i="25"/>
  <c r="H89" i="25" s="1"/>
  <c r="G90" i="25"/>
  <c r="F90" i="25"/>
  <c r="F89" i="25" s="1"/>
  <c r="F85" i="25" s="1"/>
  <c r="E90" i="25"/>
  <c r="V89" i="25"/>
  <c r="U89" i="25"/>
  <c r="T89" i="25"/>
  <c r="Q89" i="25"/>
  <c r="O89" i="25"/>
  <c r="M89" i="25"/>
  <c r="I89" i="25"/>
  <c r="G89" i="25"/>
  <c r="E89" i="25"/>
  <c r="W88" i="25"/>
  <c r="W87" i="25"/>
  <c r="V86" i="25"/>
  <c r="S86" i="25"/>
  <c r="R86" i="25"/>
  <c r="Q86" i="25"/>
  <c r="Q85" i="25" s="1"/>
  <c r="P86" i="25"/>
  <c r="O86" i="25"/>
  <c r="O85" i="25" s="1"/>
  <c r="N86" i="25"/>
  <c r="M86" i="25"/>
  <c r="L86" i="25"/>
  <c r="K86" i="25"/>
  <c r="J86" i="25"/>
  <c r="I86" i="25"/>
  <c r="I85" i="25" s="1"/>
  <c r="H86" i="25"/>
  <c r="G86" i="25"/>
  <c r="G85" i="25" s="1"/>
  <c r="F86" i="25"/>
  <c r="E86" i="25"/>
  <c r="W86" i="25" s="1"/>
  <c r="M85" i="25"/>
  <c r="E85" i="25"/>
  <c r="W84" i="25"/>
  <c r="V83" i="25"/>
  <c r="S83" i="25"/>
  <c r="R83" i="25"/>
  <c r="Q83" i="25"/>
  <c r="P83" i="25"/>
  <c r="O83" i="25"/>
  <c r="N83" i="25"/>
  <c r="M83" i="25"/>
  <c r="L83" i="25"/>
  <c r="K83" i="25"/>
  <c r="J83" i="25"/>
  <c r="I83" i="25"/>
  <c r="H83" i="25"/>
  <c r="G83" i="25"/>
  <c r="F83" i="25"/>
  <c r="E83" i="25"/>
  <c r="V82" i="25"/>
  <c r="V81" i="25" s="1"/>
  <c r="U82" i="25"/>
  <c r="T82" i="25"/>
  <c r="T81" i="25" s="1"/>
  <c r="S82" i="25"/>
  <c r="R82" i="25"/>
  <c r="R81" i="25" s="1"/>
  <c r="Q82" i="25"/>
  <c r="P82" i="25"/>
  <c r="P81" i="25" s="1"/>
  <c r="O82" i="25"/>
  <c r="O81" i="25" s="1"/>
  <c r="N82" i="25"/>
  <c r="N81" i="25" s="1"/>
  <c r="M82" i="25"/>
  <c r="L82" i="25"/>
  <c r="L81" i="25" s="1"/>
  <c r="K82" i="25"/>
  <c r="J82" i="25"/>
  <c r="J81" i="25" s="1"/>
  <c r="I82" i="25"/>
  <c r="H82" i="25"/>
  <c r="H81" i="25" s="1"/>
  <c r="G82" i="25"/>
  <c r="G81" i="25" s="1"/>
  <c r="F82" i="25"/>
  <c r="E82" i="25"/>
  <c r="U81" i="25"/>
  <c r="S81" i="25"/>
  <c r="Q81" i="25"/>
  <c r="M81" i="25"/>
  <c r="K81" i="25"/>
  <c r="I81" i="25"/>
  <c r="E81" i="25"/>
  <c r="V80" i="25"/>
  <c r="V79" i="25" s="1"/>
  <c r="U80" i="25"/>
  <c r="U79" i="25" s="1"/>
  <c r="T80" i="25"/>
  <c r="T79" i="25" s="1"/>
  <c r="S80" i="25"/>
  <c r="R80" i="25"/>
  <c r="R79" i="25" s="1"/>
  <c r="Q80" i="25"/>
  <c r="P80" i="25"/>
  <c r="P79" i="25" s="1"/>
  <c r="O80" i="25"/>
  <c r="O79" i="25" s="1"/>
  <c r="N80" i="25"/>
  <c r="N79" i="25" s="1"/>
  <c r="M80" i="25"/>
  <c r="M79" i="25" s="1"/>
  <c r="L80" i="25"/>
  <c r="L79" i="25" s="1"/>
  <c r="K80" i="25"/>
  <c r="J80" i="25"/>
  <c r="J79" i="25" s="1"/>
  <c r="I80" i="25"/>
  <c r="H80" i="25"/>
  <c r="H79" i="25" s="1"/>
  <c r="G80" i="25"/>
  <c r="G79" i="25" s="1"/>
  <c r="F80" i="25"/>
  <c r="F79" i="25" s="1"/>
  <c r="E80" i="25"/>
  <c r="E79" i="25" s="1"/>
  <c r="S79" i="25"/>
  <c r="Q79" i="25"/>
  <c r="K79" i="25"/>
  <c r="I79" i="25"/>
  <c r="W78" i="25"/>
  <c r="V77" i="25"/>
  <c r="S77" i="25"/>
  <c r="R77" i="25"/>
  <c r="Q77" i="25"/>
  <c r="P77" i="25"/>
  <c r="O77" i="25"/>
  <c r="N77" i="25"/>
  <c r="M77" i="25"/>
  <c r="L77" i="25"/>
  <c r="K77" i="25"/>
  <c r="J77" i="25"/>
  <c r="I77" i="25"/>
  <c r="H77" i="25"/>
  <c r="G77" i="25"/>
  <c r="F77" i="25"/>
  <c r="E77" i="25"/>
  <c r="W77" i="25" s="1"/>
  <c r="V76" i="25"/>
  <c r="V75" i="25" s="1"/>
  <c r="U76" i="25"/>
  <c r="U75" i="25" s="1"/>
  <c r="T76" i="25"/>
  <c r="T75" i="25" s="1"/>
  <c r="S76" i="25"/>
  <c r="R76" i="25"/>
  <c r="R75" i="25" s="1"/>
  <c r="Q76" i="25"/>
  <c r="P76" i="25"/>
  <c r="P75" i="25" s="1"/>
  <c r="O76" i="25"/>
  <c r="O75" i="25" s="1"/>
  <c r="N76" i="25"/>
  <c r="N75" i="25" s="1"/>
  <c r="M76" i="25"/>
  <c r="M75" i="25" s="1"/>
  <c r="L76" i="25"/>
  <c r="L75" i="25" s="1"/>
  <c r="K76" i="25"/>
  <c r="J76" i="25"/>
  <c r="J75" i="25" s="1"/>
  <c r="I76" i="25"/>
  <c r="H76" i="25"/>
  <c r="H75" i="25" s="1"/>
  <c r="G76" i="25"/>
  <c r="G75" i="25" s="1"/>
  <c r="F76" i="25"/>
  <c r="F75" i="25" s="1"/>
  <c r="E76" i="25"/>
  <c r="E75" i="25" s="1"/>
  <c r="S75" i="25"/>
  <c r="Q75" i="25"/>
  <c r="K75" i="25"/>
  <c r="I75" i="25"/>
  <c r="V74" i="25"/>
  <c r="V73" i="25" s="1"/>
  <c r="U74" i="25"/>
  <c r="U73" i="25" s="1"/>
  <c r="T74" i="25"/>
  <c r="T73" i="25" s="1"/>
  <c r="S74" i="25"/>
  <c r="R74" i="25"/>
  <c r="R73" i="25" s="1"/>
  <c r="Q74" i="25"/>
  <c r="P74" i="25"/>
  <c r="P73" i="25" s="1"/>
  <c r="O74" i="25"/>
  <c r="N74" i="25"/>
  <c r="N73" i="25" s="1"/>
  <c r="M74" i="25"/>
  <c r="M73" i="25" s="1"/>
  <c r="L74" i="25"/>
  <c r="L73" i="25" s="1"/>
  <c r="K74" i="25"/>
  <c r="J74" i="25"/>
  <c r="J73" i="25" s="1"/>
  <c r="I74" i="25"/>
  <c r="H74" i="25"/>
  <c r="H73" i="25" s="1"/>
  <c r="G74" i="25"/>
  <c r="F74" i="25"/>
  <c r="W74" i="25" s="1"/>
  <c r="E74" i="25"/>
  <c r="E73" i="25" s="1"/>
  <c r="S73" i="25"/>
  <c r="Q73" i="25"/>
  <c r="O73" i="25"/>
  <c r="K73" i="25"/>
  <c r="I73" i="25"/>
  <c r="G73" i="25"/>
  <c r="V72" i="25"/>
  <c r="V71" i="25" s="1"/>
  <c r="U72" i="25"/>
  <c r="T72" i="25"/>
  <c r="T71" i="25" s="1"/>
  <c r="S72" i="25"/>
  <c r="R72" i="25"/>
  <c r="R71" i="25" s="1"/>
  <c r="Q72" i="25"/>
  <c r="Q71" i="25" s="1"/>
  <c r="P72" i="25"/>
  <c r="P71" i="25" s="1"/>
  <c r="O72" i="25"/>
  <c r="N72" i="25"/>
  <c r="N71" i="25" s="1"/>
  <c r="M72" i="25"/>
  <c r="L72" i="25"/>
  <c r="L71" i="25" s="1"/>
  <c r="K72" i="25"/>
  <c r="J72" i="25"/>
  <c r="J71" i="25" s="1"/>
  <c r="I72" i="25"/>
  <c r="I71" i="25" s="1"/>
  <c r="I52" i="25" s="1"/>
  <c r="H72" i="25"/>
  <c r="H71" i="25" s="1"/>
  <c r="G72" i="25"/>
  <c r="F72" i="25"/>
  <c r="F71" i="25" s="1"/>
  <c r="E72" i="25"/>
  <c r="W72" i="25" s="1"/>
  <c r="U71" i="25"/>
  <c r="S71" i="25"/>
  <c r="O71" i="25"/>
  <c r="M71" i="25"/>
  <c r="K71" i="25"/>
  <c r="G71" i="25"/>
  <c r="W70" i="25"/>
  <c r="W69" i="25"/>
  <c r="W68" i="25"/>
  <c r="W67" i="25"/>
  <c r="W66" i="25"/>
  <c r="W65" i="25"/>
  <c r="W64" i="25"/>
  <c r="W63" i="25"/>
  <c r="W62" i="25"/>
  <c r="W61" i="25"/>
  <c r="W60" i="25"/>
  <c r="W59" i="25"/>
  <c r="W58" i="25"/>
  <c r="W57" i="25"/>
  <c r="W56" i="25"/>
  <c r="W55" i="25"/>
  <c r="W54" i="25"/>
  <c r="V53" i="25"/>
  <c r="U53" i="25"/>
  <c r="T53" i="25"/>
  <c r="S53" i="25"/>
  <c r="R53" i="25"/>
  <c r="Q53" i="25"/>
  <c r="P53" i="25"/>
  <c r="O53" i="25"/>
  <c r="N53" i="25"/>
  <c r="M53" i="25"/>
  <c r="L53" i="25"/>
  <c r="K53" i="25"/>
  <c r="J53" i="25"/>
  <c r="I53" i="25"/>
  <c r="H53" i="25"/>
  <c r="G53" i="25"/>
  <c r="F53" i="25"/>
  <c r="E53" i="25"/>
  <c r="W53" i="25" s="1"/>
  <c r="W51" i="25"/>
  <c r="W50" i="25"/>
  <c r="W49" i="25"/>
  <c r="W48" i="25"/>
  <c r="V47" i="25"/>
  <c r="U47" i="25"/>
  <c r="T47" i="25"/>
  <c r="T31" i="25" s="1"/>
  <c r="S47" i="25"/>
  <c r="R47" i="25"/>
  <c r="Q47" i="25"/>
  <c r="P47" i="25"/>
  <c r="O47" i="25"/>
  <c r="N47" i="25"/>
  <c r="M47" i="25"/>
  <c r="L47" i="25"/>
  <c r="K47" i="25"/>
  <c r="J47" i="25"/>
  <c r="I47" i="25"/>
  <c r="H47" i="25"/>
  <c r="G47" i="25"/>
  <c r="F47" i="25"/>
  <c r="E47" i="25"/>
  <c r="W46" i="25"/>
  <c r="V45" i="25"/>
  <c r="U45" i="25"/>
  <c r="T45" i="25"/>
  <c r="S45" i="25"/>
  <c r="R45" i="25"/>
  <c r="Q45" i="25"/>
  <c r="P45" i="25"/>
  <c r="O45" i="25"/>
  <c r="N45" i="25"/>
  <c r="M45" i="25"/>
  <c r="L45" i="25"/>
  <c r="K45" i="25"/>
  <c r="J45" i="25"/>
  <c r="I45" i="25"/>
  <c r="H45" i="25"/>
  <c r="G45" i="25"/>
  <c r="F45" i="25"/>
  <c r="E45" i="25"/>
  <c r="W44" i="25"/>
  <c r="W43" i="25"/>
  <c r="V42" i="25"/>
  <c r="S42" i="25"/>
  <c r="R42" i="25"/>
  <c r="Q42" i="25"/>
  <c r="P42" i="25"/>
  <c r="O42" i="25"/>
  <c r="N42" i="25"/>
  <c r="M42" i="25"/>
  <c r="L42" i="25"/>
  <c r="K42" i="25"/>
  <c r="J42" i="25"/>
  <c r="I42" i="25"/>
  <c r="H42" i="25"/>
  <c r="G42" i="25"/>
  <c r="F42" i="25"/>
  <c r="E42" i="25"/>
  <c r="W42" i="25" s="1"/>
  <c r="W41" i="25"/>
  <c r="V40" i="25"/>
  <c r="S40" i="25"/>
  <c r="R40" i="25"/>
  <c r="Q40" i="25"/>
  <c r="P40" i="25"/>
  <c r="O40" i="25"/>
  <c r="N40" i="25"/>
  <c r="M40" i="25"/>
  <c r="L40" i="25"/>
  <c r="K40" i="25"/>
  <c r="J40" i="25"/>
  <c r="I40" i="25"/>
  <c r="H40" i="25"/>
  <c r="G40" i="25"/>
  <c r="F40" i="25"/>
  <c r="E40" i="25"/>
  <c r="W39" i="25"/>
  <c r="W38" i="25"/>
  <c r="W37" i="25"/>
  <c r="W36" i="25"/>
  <c r="W35" i="25"/>
  <c r="W34" i="25"/>
  <c r="W33" i="25"/>
  <c r="V32" i="25"/>
  <c r="S32" i="25"/>
  <c r="R32" i="25"/>
  <c r="Q32" i="25"/>
  <c r="Q31" i="25" s="1"/>
  <c r="P32" i="25"/>
  <c r="P31" i="25" s="1"/>
  <c r="O32" i="25"/>
  <c r="N32" i="25"/>
  <c r="M32" i="25"/>
  <c r="M31" i="25" s="1"/>
  <c r="L32" i="25"/>
  <c r="L31" i="25" s="1"/>
  <c r="K32" i="25"/>
  <c r="J32" i="25"/>
  <c r="I32" i="25"/>
  <c r="I31" i="25" s="1"/>
  <c r="H32" i="25"/>
  <c r="H31" i="25" s="1"/>
  <c r="G32" i="25"/>
  <c r="F32" i="25"/>
  <c r="E32" i="25"/>
  <c r="W32" i="25" s="1"/>
  <c r="V31" i="25"/>
  <c r="U31" i="25"/>
  <c r="S31" i="25"/>
  <c r="R31" i="25"/>
  <c r="O31" i="25"/>
  <c r="N31" i="25"/>
  <c r="K31" i="25"/>
  <c r="J31" i="25"/>
  <c r="G31" i="25"/>
  <c r="F31" i="25"/>
  <c r="V30" i="25"/>
  <c r="U30" i="25"/>
  <c r="T30" i="25"/>
  <c r="S30" i="25"/>
  <c r="R30" i="25"/>
  <c r="Q30" i="25"/>
  <c r="P30" i="25"/>
  <c r="O30" i="25"/>
  <c r="N30" i="25"/>
  <c r="M30" i="25"/>
  <c r="L30" i="25"/>
  <c r="K30" i="25"/>
  <c r="J30" i="25"/>
  <c r="I30" i="25"/>
  <c r="H30" i="25"/>
  <c r="G30" i="25"/>
  <c r="F30" i="25"/>
  <c r="E30" i="25"/>
  <c r="W30" i="25" s="1"/>
  <c r="V29" i="25"/>
  <c r="U29" i="25"/>
  <c r="T29" i="25"/>
  <c r="S29" i="25"/>
  <c r="R29" i="25"/>
  <c r="Q29" i="25"/>
  <c r="P29" i="25"/>
  <c r="O29" i="25"/>
  <c r="N29" i="25"/>
  <c r="M29" i="25"/>
  <c r="L29" i="25"/>
  <c r="K29" i="25"/>
  <c r="J29" i="25"/>
  <c r="I29" i="25"/>
  <c r="H29" i="25"/>
  <c r="G29" i="25"/>
  <c r="F29" i="25"/>
  <c r="E29" i="25"/>
  <c r="V28" i="25"/>
  <c r="U28" i="25"/>
  <c r="U27" i="25" s="1"/>
  <c r="T28" i="25"/>
  <c r="T27" i="25" s="1"/>
  <c r="S28" i="25"/>
  <c r="R28" i="25"/>
  <c r="Q28" i="25"/>
  <c r="Q27" i="25" s="1"/>
  <c r="P28" i="25"/>
  <c r="P27" i="25" s="1"/>
  <c r="O28" i="25"/>
  <c r="N28" i="25"/>
  <c r="M28" i="25"/>
  <c r="M27" i="25" s="1"/>
  <c r="L28" i="25"/>
  <c r="L27" i="25" s="1"/>
  <c r="K28" i="25"/>
  <c r="J28" i="25"/>
  <c r="I28" i="25"/>
  <c r="I27" i="25" s="1"/>
  <c r="H28" i="25"/>
  <c r="H27" i="25" s="1"/>
  <c r="G28" i="25"/>
  <c r="F28" i="25"/>
  <c r="E28" i="25"/>
  <c r="W28" i="25" s="1"/>
  <c r="V27" i="25"/>
  <c r="S27" i="25"/>
  <c r="R27" i="25"/>
  <c r="O27" i="25"/>
  <c r="N27" i="25"/>
  <c r="K27" i="25"/>
  <c r="J27" i="25"/>
  <c r="G27" i="25"/>
  <c r="F27" i="25"/>
  <c r="V26" i="25"/>
  <c r="U26" i="25"/>
  <c r="U25" i="25" s="1"/>
  <c r="T26" i="25"/>
  <c r="T25" i="25" s="1"/>
  <c r="S26" i="25"/>
  <c r="R26" i="25"/>
  <c r="Q26" i="25"/>
  <c r="Q25" i="25" s="1"/>
  <c r="P26" i="25"/>
  <c r="P25" i="25" s="1"/>
  <c r="O26" i="25"/>
  <c r="N26" i="25"/>
  <c r="M26" i="25"/>
  <c r="M25" i="25" s="1"/>
  <c r="L26" i="25"/>
  <c r="L25" i="25" s="1"/>
  <c r="K26" i="25"/>
  <c r="J26" i="25"/>
  <c r="I26" i="25"/>
  <c r="I25" i="25" s="1"/>
  <c r="H26" i="25"/>
  <c r="H25" i="25" s="1"/>
  <c r="G26" i="25"/>
  <c r="F26" i="25"/>
  <c r="E26" i="25"/>
  <c r="W26" i="25" s="1"/>
  <c r="V25" i="25"/>
  <c r="S25" i="25"/>
  <c r="R25" i="25"/>
  <c r="O25" i="25"/>
  <c r="N25" i="25"/>
  <c r="K25" i="25"/>
  <c r="J25" i="25"/>
  <c r="G25" i="25"/>
  <c r="F25" i="25"/>
  <c r="V24" i="25"/>
  <c r="U24" i="25"/>
  <c r="T24" i="25"/>
  <c r="S24" i="25"/>
  <c r="R24" i="25"/>
  <c r="Q24" i="25"/>
  <c r="P24" i="25"/>
  <c r="O24" i="25"/>
  <c r="N24" i="25"/>
  <c r="M24" i="25"/>
  <c r="L24" i="25"/>
  <c r="K24" i="25"/>
  <c r="J24" i="25"/>
  <c r="I24" i="25"/>
  <c r="H24" i="25"/>
  <c r="G24" i="25"/>
  <c r="F24" i="25"/>
  <c r="E24" i="25"/>
  <c r="W24" i="25" s="1"/>
  <c r="V23" i="25"/>
  <c r="V22" i="25" s="1"/>
  <c r="U23" i="25"/>
  <c r="T23" i="25"/>
  <c r="S23" i="25"/>
  <c r="S22" i="25" s="1"/>
  <c r="R23" i="25"/>
  <c r="R22" i="25" s="1"/>
  <c r="Q23" i="25"/>
  <c r="P23" i="25"/>
  <c r="O23" i="25"/>
  <c r="O22" i="25" s="1"/>
  <c r="N23" i="25"/>
  <c r="N22" i="25" s="1"/>
  <c r="M23" i="25"/>
  <c r="L23" i="25"/>
  <c r="K23" i="25"/>
  <c r="K22" i="25" s="1"/>
  <c r="J23" i="25"/>
  <c r="J22" i="25" s="1"/>
  <c r="I23" i="25"/>
  <c r="H23" i="25"/>
  <c r="G23" i="25"/>
  <c r="G22" i="25" s="1"/>
  <c r="F23" i="25"/>
  <c r="F22" i="25" s="1"/>
  <c r="E23" i="25"/>
  <c r="U22" i="25"/>
  <c r="T22" i="25"/>
  <c r="Q22" i="25"/>
  <c r="P22" i="25"/>
  <c r="M22" i="25"/>
  <c r="L22" i="25"/>
  <c r="I22" i="25"/>
  <c r="H22" i="25"/>
  <c r="E22" i="25"/>
  <c r="V21" i="25"/>
  <c r="V20" i="25" s="1"/>
  <c r="U21" i="25"/>
  <c r="T21" i="25"/>
  <c r="S21" i="25"/>
  <c r="S20" i="25" s="1"/>
  <c r="R21" i="25"/>
  <c r="R20" i="25" s="1"/>
  <c r="Q21" i="25"/>
  <c r="P21" i="25"/>
  <c r="O21" i="25"/>
  <c r="O20" i="25" s="1"/>
  <c r="N21" i="25"/>
  <c r="N20" i="25" s="1"/>
  <c r="M21" i="25"/>
  <c r="L21" i="25"/>
  <c r="K21" i="25"/>
  <c r="K20" i="25" s="1"/>
  <c r="J21" i="25"/>
  <c r="J20" i="25" s="1"/>
  <c r="I21" i="25"/>
  <c r="H21" i="25"/>
  <c r="G21" i="25"/>
  <c r="G20" i="25" s="1"/>
  <c r="F21" i="25"/>
  <c r="F20" i="25" s="1"/>
  <c r="E21" i="25"/>
  <c r="U20" i="25"/>
  <c r="T20" i="25"/>
  <c r="Q20" i="25"/>
  <c r="P20" i="25"/>
  <c r="M20" i="25"/>
  <c r="L20" i="25"/>
  <c r="I20" i="25"/>
  <c r="H20" i="25"/>
  <c r="E20" i="25"/>
  <c r="W19" i="25"/>
  <c r="V18" i="25"/>
  <c r="U18" i="25"/>
  <c r="T18" i="25"/>
  <c r="S18" i="25"/>
  <c r="R18" i="25"/>
  <c r="Q18" i="25"/>
  <c r="P18" i="25"/>
  <c r="O18" i="25"/>
  <c r="N18" i="25"/>
  <c r="M18" i="25"/>
  <c r="L18" i="25"/>
  <c r="K18" i="25"/>
  <c r="J18" i="25"/>
  <c r="I18" i="25"/>
  <c r="H18" i="25"/>
  <c r="G18" i="25"/>
  <c r="F18" i="25"/>
  <c r="E18" i="25"/>
  <c r="W17" i="25"/>
  <c r="W16" i="25"/>
  <c r="V15" i="25"/>
  <c r="U15" i="25"/>
  <c r="T15" i="25"/>
  <c r="S15" i="25"/>
  <c r="R15" i="25"/>
  <c r="Q15" i="25"/>
  <c r="P15" i="25"/>
  <c r="O15" i="25"/>
  <c r="N15" i="25"/>
  <c r="M15" i="25"/>
  <c r="L15" i="25"/>
  <c r="K15" i="25"/>
  <c r="J15" i="25"/>
  <c r="I15" i="25"/>
  <c r="H15" i="25"/>
  <c r="G15" i="25"/>
  <c r="F15" i="25"/>
  <c r="E15" i="25"/>
  <c r="V14" i="25"/>
  <c r="V13" i="25" s="1"/>
  <c r="U14" i="25"/>
  <c r="U13" i="25" s="1"/>
  <c r="T14" i="25"/>
  <c r="S14" i="25"/>
  <c r="R14" i="25"/>
  <c r="R13" i="25" s="1"/>
  <c r="Q14" i="25"/>
  <c r="Q13" i="25" s="1"/>
  <c r="P14" i="25"/>
  <c r="O14" i="25"/>
  <c r="N14" i="25"/>
  <c r="N13" i="25" s="1"/>
  <c r="M14" i="25"/>
  <c r="M13" i="25" s="1"/>
  <c r="L14" i="25"/>
  <c r="K14" i="25"/>
  <c r="J14" i="25"/>
  <c r="J13" i="25" s="1"/>
  <c r="I14" i="25"/>
  <c r="I13" i="25" s="1"/>
  <c r="H14" i="25"/>
  <c r="G14" i="25"/>
  <c r="F14" i="25"/>
  <c r="F13" i="25" s="1"/>
  <c r="E14" i="25"/>
  <c r="W14" i="25" s="1"/>
  <c r="T13" i="25"/>
  <c r="S13" i="25"/>
  <c r="P13" i="25"/>
  <c r="O13" i="25"/>
  <c r="L13" i="25"/>
  <c r="K13" i="25"/>
  <c r="H13" i="25"/>
  <c r="G13" i="25"/>
  <c r="V12" i="25"/>
  <c r="U12" i="25"/>
  <c r="S12" i="25"/>
  <c r="R12" i="25"/>
  <c r="Q12" i="25"/>
  <c r="P12" i="25"/>
  <c r="O12" i="25"/>
  <c r="N12" i="25"/>
  <c r="M12" i="25"/>
  <c r="L12" i="25"/>
  <c r="K12" i="25"/>
  <c r="J12" i="25"/>
  <c r="I12" i="25"/>
  <c r="H12" i="25"/>
  <c r="G12" i="25"/>
  <c r="F12" i="25"/>
  <c r="E12" i="25"/>
  <c r="V11" i="25"/>
  <c r="V10" i="25" s="1"/>
  <c r="V8" i="25" s="1"/>
  <c r="U11" i="25"/>
  <c r="U10" i="25" s="1"/>
  <c r="U8" i="25" s="1"/>
  <c r="U4" i="25" s="1"/>
  <c r="S11" i="25"/>
  <c r="R11" i="25"/>
  <c r="R10" i="25" s="1"/>
  <c r="R8" i="25" s="1"/>
  <c r="Q11" i="25"/>
  <c r="Q10" i="25" s="1"/>
  <c r="Q8" i="25" s="1"/>
  <c r="Q4" i="25" s="1"/>
  <c r="P11" i="25"/>
  <c r="O11" i="25"/>
  <c r="N11" i="25"/>
  <c r="N10" i="25" s="1"/>
  <c r="N8" i="25" s="1"/>
  <c r="M11" i="25"/>
  <c r="M10" i="25" s="1"/>
  <c r="M8" i="25" s="1"/>
  <c r="M4" i="25" s="1"/>
  <c r="L11" i="25"/>
  <c r="K11" i="25"/>
  <c r="J11" i="25"/>
  <c r="J10" i="25" s="1"/>
  <c r="J8" i="25" s="1"/>
  <c r="I11" i="25"/>
  <c r="I10" i="25" s="1"/>
  <c r="I8" i="25" s="1"/>
  <c r="I4" i="25" s="1"/>
  <c r="I3" i="25" s="1"/>
  <c r="H11" i="25"/>
  <c r="G11" i="25"/>
  <c r="F11" i="25"/>
  <c r="F10" i="25" s="1"/>
  <c r="F8" i="25" s="1"/>
  <c r="E11" i="25"/>
  <c r="W11" i="25" s="1"/>
  <c r="T10" i="25"/>
  <c r="T8" i="25" s="1"/>
  <c r="T4" i="25" s="1"/>
  <c r="S10" i="25"/>
  <c r="P10" i="25"/>
  <c r="P8" i="25" s="1"/>
  <c r="P4" i="25" s="1"/>
  <c r="O10" i="25"/>
  <c r="L10" i="25"/>
  <c r="L8" i="25" s="1"/>
  <c r="L4" i="25" s="1"/>
  <c r="K10" i="25"/>
  <c r="H10" i="25"/>
  <c r="H8" i="25" s="1"/>
  <c r="H4" i="25" s="1"/>
  <c r="G10" i="25"/>
  <c r="W9" i="25"/>
  <c r="S8" i="25"/>
  <c r="O8" i="25"/>
  <c r="K8" i="25"/>
  <c r="G8" i="25"/>
  <c r="W7" i="25"/>
  <c r="W6" i="25"/>
  <c r="V5" i="25"/>
  <c r="V4" i="25" s="1"/>
  <c r="U5" i="25"/>
  <c r="T5" i="25"/>
  <c r="S5" i="25"/>
  <c r="S4" i="25" s="1"/>
  <c r="R5" i="25"/>
  <c r="R4" i="25" s="1"/>
  <c r="Q5" i="25"/>
  <c r="P5" i="25"/>
  <c r="O5" i="25"/>
  <c r="O4" i="25" s="1"/>
  <c r="N5" i="25"/>
  <c r="N4" i="25" s="1"/>
  <c r="M5" i="25"/>
  <c r="L5" i="25"/>
  <c r="K5" i="25"/>
  <c r="K4" i="25" s="1"/>
  <c r="J5" i="25"/>
  <c r="J4" i="25" s="1"/>
  <c r="I5" i="25"/>
  <c r="H5" i="25"/>
  <c r="G5" i="25"/>
  <c r="G4" i="25" s="1"/>
  <c r="F5" i="25"/>
  <c r="F4" i="25" s="1"/>
  <c r="E5" i="25"/>
  <c r="V109" i="31"/>
  <c r="V108" i="31"/>
  <c r="V107" i="31"/>
  <c r="V106" i="31"/>
  <c r="V105" i="31"/>
  <c r="V104" i="31"/>
  <c r="V103" i="31"/>
  <c r="V102" i="31"/>
  <c r="U101" i="31"/>
  <c r="T101" i="31"/>
  <c r="S101" i="31"/>
  <c r="R101" i="31"/>
  <c r="P101" i="31"/>
  <c r="N101" i="31"/>
  <c r="M101" i="31"/>
  <c r="L101" i="31"/>
  <c r="J101" i="31"/>
  <c r="I101" i="31"/>
  <c r="H101" i="31"/>
  <c r="F101" i="31"/>
  <c r="E101" i="31"/>
  <c r="V100" i="31"/>
  <c r="V99" i="31"/>
  <c r="V98" i="31"/>
  <c r="V97" i="31"/>
  <c r="U96" i="31"/>
  <c r="T96" i="31"/>
  <c r="S96" i="31"/>
  <c r="S80" i="31" s="1"/>
  <c r="R96" i="31"/>
  <c r="R80" i="31" s="1"/>
  <c r="R79" i="31" s="1"/>
  <c r="P96" i="31"/>
  <c r="N96" i="31"/>
  <c r="N80" i="31" s="1"/>
  <c r="N79" i="31" s="1"/>
  <c r="M96" i="31"/>
  <c r="M80" i="31" s="1"/>
  <c r="M79" i="31" s="1"/>
  <c r="L96" i="31"/>
  <c r="L72" i="31" s="1"/>
  <c r="J96" i="31"/>
  <c r="I96" i="31"/>
  <c r="I29" i="31" s="1"/>
  <c r="H96" i="31"/>
  <c r="H80" i="31" s="1"/>
  <c r="H79" i="31" s="1"/>
  <c r="F96" i="31"/>
  <c r="F80" i="31" s="1"/>
  <c r="F79" i="31" s="1"/>
  <c r="E96" i="31"/>
  <c r="V95" i="31"/>
  <c r="V94" i="31"/>
  <c r="U93" i="31"/>
  <c r="T93" i="31"/>
  <c r="S93" i="31"/>
  <c r="R93" i="31"/>
  <c r="Q93" i="31"/>
  <c r="P93" i="31"/>
  <c r="O93" i="31"/>
  <c r="N93" i="31"/>
  <c r="M93" i="31"/>
  <c r="L93" i="31"/>
  <c r="K93" i="31"/>
  <c r="J93" i="31"/>
  <c r="I93" i="31"/>
  <c r="H93" i="31"/>
  <c r="G93" i="31"/>
  <c r="F93" i="31"/>
  <c r="V93" i="31" s="1"/>
  <c r="E93" i="31"/>
  <c r="V92" i="31"/>
  <c r="U91" i="31"/>
  <c r="T91" i="31"/>
  <c r="S91" i="31"/>
  <c r="R91" i="31"/>
  <c r="P91" i="31"/>
  <c r="O91" i="31"/>
  <c r="N91" i="31"/>
  <c r="M91" i="31"/>
  <c r="L91" i="31"/>
  <c r="I91" i="31"/>
  <c r="H91" i="31"/>
  <c r="F91" i="31"/>
  <c r="E91" i="31"/>
  <c r="U90" i="31"/>
  <c r="U89" i="31" s="1"/>
  <c r="T90" i="31"/>
  <c r="S90" i="31"/>
  <c r="R90" i="31"/>
  <c r="R89" i="31" s="1"/>
  <c r="R85" i="31" s="1"/>
  <c r="P90" i="31"/>
  <c r="P89" i="31" s="1"/>
  <c r="O90" i="31"/>
  <c r="N90" i="31"/>
  <c r="M90" i="31"/>
  <c r="M89" i="31" s="1"/>
  <c r="L90" i="31"/>
  <c r="L89" i="31" s="1"/>
  <c r="I90" i="31"/>
  <c r="H90" i="31"/>
  <c r="F90" i="31"/>
  <c r="E90" i="31"/>
  <c r="E89" i="31" s="1"/>
  <c r="Q89" i="31"/>
  <c r="Q85" i="31" s="1"/>
  <c r="N89" i="31"/>
  <c r="K89" i="31"/>
  <c r="J89" i="31"/>
  <c r="G89" i="31"/>
  <c r="F89" i="31"/>
  <c r="V88" i="31"/>
  <c r="V87" i="31"/>
  <c r="U86" i="31"/>
  <c r="T86" i="31"/>
  <c r="S86" i="31"/>
  <c r="R86" i="31"/>
  <c r="P86" i="31"/>
  <c r="N86" i="31"/>
  <c r="N85" i="31" s="1"/>
  <c r="M86" i="31"/>
  <c r="L86" i="31"/>
  <c r="I86" i="31"/>
  <c r="H86" i="31"/>
  <c r="F86" i="31"/>
  <c r="E86" i="31"/>
  <c r="M85" i="31"/>
  <c r="K85" i="31"/>
  <c r="J85" i="31"/>
  <c r="G85" i="31"/>
  <c r="F85" i="31"/>
  <c r="V84" i="31"/>
  <c r="U83" i="31"/>
  <c r="T83" i="31"/>
  <c r="S83" i="31"/>
  <c r="R83" i="31"/>
  <c r="Q83" i="31"/>
  <c r="P83" i="31"/>
  <c r="O83" i="31"/>
  <c r="N83" i="31"/>
  <c r="M83" i="31"/>
  <c r="L83" i="31"/>
  <c r="K83" i="31"/>
  <c r="J83" i="31"/>
  <c r="I83" i="31"/>
  <c r="H83" i="31"/>
  <c r="G83" i="31"/>
  <c r="F83" i="31"/>
  <c r="E83" i="31"/>
  <c r="U82" i="31"/>
  <c r="U81" i="31" s="1"/>
  <c r="T82" i="31"/>
  <c r="S82" i="31"/>
  <c r="S81" i="31" s="1"/>
  <c r="R82" i="31"/>
  <c r="R81" i="31" s="1"/>
  <c r="Q82" i="31"/>
  <c r="Q81" i="31" s="1"/>
  <c r="P82" i="31"/>
  <c r="O82" i="31"/>
  <c r="O81" i="31" s="1"/>
  <c r="N82" i="31"/>
  <c r="M82" i="31"/>
  <c r="M81" i="31" s="1"/>
  <c r="K82" i="31"/>
  <c r="K81" i="31" s="1"/>
  <c r="J82" i="31"/>
  <c r="I82" i="31"/>
  <c r="H82" i="31"/>
  <c r="F82" i="31"/>
  <c r="E82" i="31"/>
  <c r="T81" i="31"/>
  <c r="P81" i="31"/>
  <c r="N81" i="31"/>
  <c r="J81" i="31"/>
  <c r="I81" i="31"/>
  <c r="H81" i="31"/>
  <c r="F81" i="31"/>
  <c r="E81" i="31"/>
  <c r="U80" i="31"/>
  <c r="T80" i="31"/>
  <c r="T79" i="31" s="1"/>
  <c r="Q80" i="31"/>
  <c r="Q79" i="31" s="1"/>
  <c r="P80" i="31"/>
  <c r="P79" i="31" s="1"/>
  <c r="O80" i="31"/>
  <c r="L80" i="31"/>
  <c r="L79" i="31" s="1"/>
  <c r="I80" i="31"/>
  <c r="I79" i="31" s="1"/>
  <c r="E80" i="31"/>
  <c r="U79" i="31"/>
  <c r="S79" i="31"/>
  <c r="O79" i="31"/>
  <c r="K79" i="31"/>
  <c r="J79" i="31"/>
  <c r="G79" i="31"/>
  <c r="E79" i="31"/>
  <c r="V78" i="31"/>
  <c r="U77" i="31"/>
  <c r="T77" i="31"/>
  <c r="S77" i="31"/>
  <c r="R77" i="31"/>
  <c r="Q77" i="31"/>
  <c r="P77" i="31"/>
  <c r="N77" i="31"/>
  <c r="M77" i="31"/>
  <c r="L77" i="31"/>
  <c r="I77" i="31"/>
  <c r="H77" i="31"/>
  <c r="F77" i="31"/>
  <c r="E77" i="31"/>
  <c r="U76" i="31"/>
  <c r="U75" i="31" s="1"/>
  <c r="T76" i="31"/>
  <c r="T75" i="31" s="1"/>
  <c r="S76" i="31"/>
  <c r="S75" i="31" s="1"/>
  <c r="R76" i="31"/>
  <c r="Q76" i="31"/>
  <c r="P76" i="31"/>
  <c r="P75" i="31" s="1"/>
  <c r="O76" i="31"/>
  <c r="O75" i="31" s="1"/>
  <c r="N76" i="31"/>
  <c r="M76" i="31"/>
  <c r="M75" i="31" s="1"/>
  <c r="L76" i="31"/>
  <c r="L75" i="31" s="1"/>
  <c r="I76" i="31"/>
  <c r="I75" i="31" s="1"/>
  <c r="H76" i="31"/>
  <c r="H75" i="31" s="1"/>
  <c r="F76" i="31"/>
  <c r="E76" i="31"/>
  <c r="R75" i="31"/>
  <c r="Q75" i="31"/>
  <c r="N75" i="31"/>
  <c r="K75" i="31"/>
  <c r="J75" i="31"/>
  <c r="G75" i="31"/>
  <c r="F75" i="31"/>
  <c r="U74" i="31"/>
  <c r="U73" i="31" s="1"/>
  <c r="T74" i="31"/>
  <c r="T73" i="31" s="1"/>
  <c r="S74" i="31"/>
  <c r="R74" i="31"/>
  <c r="Q74" i="31"/>
  <c r="Q73" i="31" s="1"/>
  <c r="P74" i="31"/>
  <c r="P73" i="31" s="1"/>
  <c r="O74" i="31"/>
  <c r="O73" i="31" s="1"/>
  <c r="N74" i="31"/>
  <c r="M74" i="31"/>
  <c r="M73" i="31" s="1"/>
  <c r="L74" i="31"/>
  <c r="L73" i="31" s="1"/>
  <c r="I74" i="31"/>
  <c r="I73" i="31" s="1"/>
  <c r="H74" i="31"/>
  <c r="F74" i="31"/>
  <c r="E74" i="31"/>
  <c r="S73" i="31"/>
  <c r="R73" i="31"/>
  <c r="N73" i="31"/>
  <c r="K73" i="31"/>
  <c r="J73" i="31"/>
  <c r="H73" i="31"/>
  <c r="G73" i="31"/>
  <c r="F73" i="31"/>
  <c r="U72" i="31"/>
  <c r="U71" i="31" s="1"/>
  <c r="T72" i="31"/>
  <c r="S72" i="31"/>
  <c r="S71" i="31" s="1"/>
  <c r="R72" i="31"/>
  <c r="R71" i="31" s="1"/>
  <c r="R52" i="31" s="1"/>
  <c r="Q72" i="31"/>
  <c r="Q71" i="31" s="1"/>
  <c r="P72" i="31"/>
  <c r="P71" i="31" s="1"/>
  <c r="N72" i="31"/>
  <c r="N71" i="31" s="1"/>
  <c r="M72" i="31"/>
  <c r="M71" i="31" s="1"/>
  <c r="I72" i="31"/>
  <c r="I71" i="31" s="1"/>
  <c r="H72" i="31"/>
  <c r="F72" i="31"/>
  <c r="F71" i="31" s="1"/>
  <c r="E72" i="31"/>
  <c r="T71" i="31"/>
  <c r="O71" i="31"/>
  <c r="L71" i="31"/>
  <c r="K71" i="31"/>
  <c r="J71" i="31"/>
  <c r="H71" i="31"/>
  <c r="G71" i="31"/>
  <c r="V70" i="31"/>
  <c r="V69" i="31"/>
  <c r="S68" i="31"/>
  <c r="F68" i="31"/>
  <c r="E68" i="31"/>
  <c r="V68" i="31" s="1"/>
  <c r="V67" i="31"/>
  <c r="V66" i="31"/>
  <c r="V65" i="31"/>
  <c r="V64" i="31"/>
  <c r="V63" i="31"/>
  <c r="F63" i="31"/>
  <c r="V62" i="31"/>
  <c r="I61" i="31"/>
  <c r="V61" i="31" s="1"/>
  <c r="V60" i="31"/>
  <c r="V59" i="31"/>
  <c r="V58" i="31"/>
  <c r="V57" i="31"/>
  <c r="V56" i="31"/>
  <c r="V55" i="31"/>
  <c r="P54" i="31"/>
  <c r="V54" i="31" s="1"/>
  <c r="N54" i="31"/>
  <c r="I54" i="31"/>
  <c r="U53" i="31"/>
  <c r="T53" i="31"/>
  <c r="S53" i="31"/>
  <c r="R53" i="31"/>
  <c r="O53" i="31"/>
  <c r="N53" i="31"/>
  <c r="L53" i="31"/>
  <c r="K53" i="31"/>
  <c r="J53" i="31"/>
  <c r="J52" i="31" s="1"/>
  <c r="H53" i="31"/>
  <c r="G53" i="31"/>
  <c r="E53" i="31"/>
  <c r="V51" i="31"/>
  <c r="V50" i="31"/>
  <c r="V49" i="31"/>
  <c r="Q48" i="31"/>
  <c r="L48" i="31"/>
  <c r="V48" i="31" s="1"/>
  <c r="U47" i="31"/>
  <c r="T47" i="31"/>
  <c r="S47" i="31"/>
  <c r="R47" i="31"/>
  <c r="Q47" i="31"/>
  <c r="P47" i="31"/>
  <c r="O47" i="31"/>
  <c r="N47" i="31"/>
  <c r="M47" i="31"/>
  <c r="K47" i="31"/>
  <c r="J47" i="31"/>
  <c r="I47" i="31"/>
  <c r="H47" i="31"/>
  <c r="G47" i="31"/>
  <c r="F47" i="31"/>
  <c r="E47" i="31"/>
  <c r="Q46" i="31"/>
  <c r="M46" i="31"/>
  <c r="L46" i="31"/>
  <c r="L45" i="31" s="1"/>
  <c r="E46" i="31"/>
  <c r="V46" i="31" s="1"/>
  <c r="U45" i="31"/>
  <c r="T45" i="31"/>
  <c r="S45" i="31"/>
  <c r="R45" i="31"/>
  <c r="Q45" i="31"/>
  <c r="Q31" i="31" s="1"/>
  <c r="P45" i="31"/>
  <c r="O45" i="31"/>
  <c r="N45" i="31"/>
  <c r="M45" i="31"/>
  <c r="K45" i="31"/>
  <c r="J45" i="31"/>
  <c r="I45" i="31"/>
  <c r="H45" i="31"/>
  <c r="G45" i="31"/>
  <c r="F45" i="31"/>
  <c r="E45" i="31"/>
  <c r="V45" i="31" s="1"/>
  <c r="V44" i="31"/>
  <c r="V43" i="31"/>
  <c r="U42" i="31"/>
  <c r="T42" i="31"/>
  <c r="S42" i="31"/>
  <c r="R42" i="31"/>
  <c r="P42" i="31"/>
  <c r="N42" i="31"/>
  <c r="M42" i="31"/>
  <c r="L42" i="31"/>
  <c r="I42" i="31"/>
  <c r="H42" i="31"/>
  <c r="F42" i="31"/>
  <c r="E42" i="31"/>
  <c r="E41" i="31"/>
  <c r="E40" i="31" s="1"/>
  <c r="U40" i="31"/>
  <c r="T40" i="31"/>
  <c r="S40" i="31"/>
  <c r="S31" i="31" s="1"/>
  <c r="R40" i="31"/>
  <c r="R31" i="31" s="1"/>
  <c r="P40" i="31"/>
  <c r="N40" i="31"/>
  <c r="M40" i="31"/>
  <c r="L40" i="31"/>
  <c r="I40" i="31"/>
  <c r="H40" i="31"/>
  <c r="F40" i="31"/>
  <c r="V39" i="31"/>
  <c r="V38" i="31"/>
  <c r="V37" i="31"/>
  <c r="V36" i="31"/>
  <c r="V35" i="31"/>
  <c r="V34" i="31"/>
  <c r="V33" i="31"/>
  <c r="U32" i="31"/>
  <c r="T32" i="31"/>
  <c r="T31" i="31" s="1"/>
  <c r="S32" i="31"/>
  <c r="R32" i="31"/>
  <c r="P32" i="31"/>
  <c r="P31" i="31" s="1"/>
  <c r="N32" i="31"/>
  <c r="N31" i="31" s="1"/>
  <c r="M32" i="31"/>
  <c r="L32" i="31"/>
  <c r="J32" i="31"/>
  <c r="I32" i="31"/>
  <c r="I31" i="31" s="1"/>
  <c r="H32" i="31"/>
  <c r="F32" i="31"/>
  <c r="E32" i="31"/>
  <c r="U31" i="31"/>
  <c r="O31" i="31"/>
  <c r="M31" i="31"/>
  <c r="K31" i="31"/>
  <c r="J31" i="31"/>
  <c r="G31" i="31"/>
  <c r="F31" i="31"/>
  <c r="U30" i="31"/>
  <c r="T30" i="31"/>
  <c r="S30" i="31"/>
  <c r="R30" i="31"/>
  <c r="Q30" i="31"/>
  <c r="P30" i="31"/>
  <c r="O30" i="31"/>
  <c r="N30" i="31"/>
  <c r="M30" i="31"/>
  <c r="K30" i="31"/>
  <c r="J30" i="31"/>
  <c r="I30" i="31"/>
  <c r="H30" i="31"/>
  <c r="F30" i="31"/>
  <c r="E30" i="31"/>
  <c r="U29" i="31"/>
  <c r="T29" i="31"/>
  <c r="R29" i="31"/>
  <c r="Q29" i="31"/>
  <c r="P29" i="31"/>
  <c r="M29" i="31"/>
  <c r="L29" i="31"/>
  <c r="K29" i="31"/>
  <c r="H29" i="31"/>
  <c r="F29" i="31"/>
  <c r="E29" i="31"/>
  <c r="U28" i="31"/>
  <c r="U27" i="31" s="1"/>
  <c r="T28" i="31"/>
  <c r="T27" i="31" s="1"/>
  <c r="S28" i="31"/>
  <c r="S27" i="31" s="1"/>
  <c r="R28" i="31"/>
  <c r="R27" i="31" s="1"/>
  <c r="Q28" i="31"/>
  <c r="Q27" i="31" s="1"/>
  <c r="P28" i="31"/>
  <c r="P27" i="31" s="1"/>
  <c r="O28" i="31"/>
  <c r="O27" i="31" s="1"/>
  <c r="N28" i="31"/>
  <c r="M28" i="31"/>
  <c r="M27" i="31" s="1"/>
  <c r="K28" i="31"/>
  <c r="K27" i="31" s="1"/>
  <c r="J28" i="31"/>
  <c r="J27" i="31" s="1"/>
  <c r="I28" i="31"/>
  <c r="I27" i="31" s="1"/>
  <c r="H28" i="31"/>
  <c r="H27" i="31" s="1"/>
  <c r="F28" i="31"/>
  <c r="F27" i="31" s="1"/>
  <c r="E28" i="31"/>
  <c r="N27" i="31"/>
  <c r="U26" i="31"/>
  <c r="U25" i="31" s="1"/>
  <c r="T26" i="31"/>
  <c r="T25" i="31" s="1"/>
  <c r="S26" i="31"/>
  <c r="R26" i="31"/>
  <c r="R25" i="31" s="1"/>
  <c r="Q26" i="31"/>
  <c r="Q25" i="31" s="1"/>
  <c r="P26" i="31"/>
  <c r="P25" i="31" s="1"/>
  <c r="O26" i="31"/>
  <c r="N26" i="31"/>
  <c r="N25" i="31" s="1"/>
  <c r="M26" i="31"/>
  <c r="M25" i="31" s="1"/>
  <c r="K26" i="31"/>
  <c r="K25" i="31" s="1"/>
  <c r="J26" i="31"/>
  <c r="I26" i="31"/>
  <c r="I25" i="31" s="1"/>
  <c r="H26" i="31"/>
  <c r="H25" i="31" s="1"/>
  <c r="F26" i="31"/>
  <c r="F25" i="31" s="1"/>
  <c r="E26" i="31"/>
  <c r="S25" i="31"/>
  <c r="O25" i="31"/>
  <c r="J25" i="31"/>
  <c r="U24" i="31"/>
  <c r="T24" i="31"/>
  <c r="T22" i="31" s="1"/>
  <c r="S24" i="31"/>
  <c r="R24" i="31"/>
  <c r="Q24" i="31"/>
  <c r="P24" i="31"/>
  <c r="O24" i="31"/>
  <c r="N24" i="31"/>
  <c r="M24" i="31"/>
  <c r="K24" i="31"/>
  <c r="J24" i="31"/>
  <c r="I24" i="31"/>
  <c r="H24" i="31"/>
  <c r="F24" i="31"/>
  <c r="E24" i="31"/>
  <c r="U23" i="31"/>
  <c r="T23" i="31"/>
  <c r="S23" i="31"/>
  <c r="S22" i="31" s="1"/>
  <c r="R23" i="31"/>
  <c r="R22" i="31" s="1"/>
  <c r="Q23" i="31"/>
  <c r="Q22" i="31" s="1"/>
  <c r="P23" i="31"/>
  <c r="O23" i="31"/>
  <c r="O22" i="31" s="1"/>
  <c r="N23" i="31"/>
  <c r="N22" i="31" s="1"/>
  <c r="M23" i="31"/>
  <c r="K23" i="31"/>
  <c r="J23" i="31"/>
  <c r="J22" i="31" s="1"/>
  <c r="I23" i="31"/>
  <c r="H23" i="31"/>
  <c r="H22" i="31" s="1"/>
  <c r="F23" i="31"/>
  <c r="E23" i="31"/>
  <c r="E22" i="31" s="1"/>
  <c r="U22" i="31"/>
  <c r="P22" i="31"/>
  <c r="M22" i="31"/>
  <c r="I22" i="31"/>
  <c r="U21" i="31"/>
  <c r="T21" i="31"/>
  <c r="S21" i="31"/>
  <c r="S20" i="31" s="1"/>
  <c r="R21" i="31"/>
  <c r="R20" i="31" s="1"/>
  <c r="Q21" i="31"/>
  <c r="Q20" i="31" s="1"/>
  <c r="P21" i="31"/>
  <c r="P20" i="31" s="1"/>
  <c r="O21" i="31"/>
  <c r="O20" i="31" s="1"/>
  <c r="N21" i="31"/>
  <c r="N20" i="31" s="1"/>
  <c r="M21" i="31"/>
  <c r="K21" i="31"/>
  <c r="K20" i="31" s="1"/>
  <c r="J21" i="31"/>
  <c r="J20" i="31" s="1"/>
  <c r="I21" i="31"/>
  <c r="I20" i="31" s="1"/>
  <c r="H21" i="31"/>
  <c r="H20" i="31" s="1"/>
  <c r="F21" i="31"/>
  <c r="E21" i="31"/>
  <c r="U20" i="31"/>
  <c r="T20" i="31"/>
  <c r="M20" i="31"/>
  <c r="E20" i="31"/>
  <c r="V19" i="31"/>
  <c r="U18" i="31"/>
  <c r="T18" i="31"/>
  <c r="S18" i="31"/>
  <c r="R18" i="31"/>
  <c r="Q18" i="31"/>
  <c r="P18" i="31"/>
  <c r="O18" i="31"/>
  <c r="N18" i="31"/>
  <c r="M18" i="31"/>
  <c r="L18" i="31"/>
  <c r="K18" i="31"/>
  <c r="J18" i="31"/>
  <c r="I18" i="31"/>
  <c r="H18" i="31"/>
  <c r="G18" i="31"/>
  <c r="F18" i="31"/>
  <c r="E18" i="31"/>
  <c r="V17" i="31"/>
  <c r="V16" i="31"/>
  <c r="L16" i="31"/>
  <c r="L28" i="31" s="1"/>
  <c r="L27" i="31" s="1"/>
  <c r="G16" i="31"/>
  <c r="G30" i="31" s="1"/>
  <c r="U15" i="31"/>
  <c r="T15" i="31"/>
  <c r="S15" i="31"/>
  <c r="R15" i="31"/>
  <c r="Q15" i="31"/>
  <c r="P15" i="31"/>
  <c r="O15" i="31"/>
  <c r="N15" i="31"/>
  <c r="M15" i="31"/>
  <c r="L15" i="31"/>
  <c r="K15" i="31"/>
  <c r="J15" i="31"/>
  <c r="I15" i="31"/>
  <c r="H15" i="31"/>
  <c r="G15" i="31"/>
  <c r="F15" i="31"/>
  <c r="E15" i="31"/>
  <c r="U14" i="31"/>
  <c r="U13" i="31" s="1"/>
  <c r="T14" i="31"/>
  <c r="S14" i="31"/>
  <c r="R14" i="31"/>
  <c r="Q14" i="31"/>
  <c r="Q13" i="31" s="1"/>
  <c r="P14" i="31"/>
  <c r="O14" i="31"/>
  <c r="N14" i="31"/>
  <c r="M14" i="31"/>
  <c r="M13" i="31" s="1"/>
  <c r="L14" i="31"/>
  <c r="K14" i="31"/>
  <c r="J14" i="31"/>
  <c r="I14" i="31"/>
  <c r="I13" i="31" s="1"/>
  <c r="H14" i="31"/>
  <c r="G14" i="31"/>
  <c r="F14" i="31"/>
  <c r="E14" i="31"/>
  <c r="V14" i="31" s="1"/>
  <c r="R13" i="31"/>
  <c r="N13" i="31"/>
  <c r="J13" i="31"/>
  <c r="F13" i="31"/>
  <c r="U12" i="31"/>
  <c r="T12" i="31"/>
  <c r="S12" i="31"/>
  <c r="S10" i="31" s="1"/>
  <c r="S8" i="31" s="1"/>
  <c r="R12" i="31"/>
  <c r="Q12" i="31"/>
  <c r="P12" i="31"/>
  <c r="N12" i="31"/>
  <c r="M12" i="31"/>
  <c r="L12" i="31"/>
  <c r="I12" i="31"/>
  <c r="H12" i="31"/>
  <c r="F12" i="31"/>
  <c r="E12" i="31"/>
  <c r="U11" i="31"/>
  <c r="U10" i="31" s="1"/>
  <c r="U8" i="31" s="1"/>
  <c r="T11" i="31"/>
  <c r="S11" i="31"/>
  <c r="R11" i="31"/>
  <c r="Q11" i="31"/>
  <c r="Q10" i="31" s="1"/>
  <c r="P11" i="31"/>
  <c r="P10" i="31" s="1"/>
  <c r="N11" i="31"/>
  <c r="M11" i="31"/>
  <c r="L11" i="31"/>
  <c r="I11" i="31"/>
  <c r="H11" i="31"/>
  <c r="H10" i="31" s="1"/>
  <c r="H8" i="31" s="1"/>
  <c r="F11" i="31"/>
  <c r="E11" i="31"/>
  <c r="E10" i="31" s="1"/>
  <c r="T10" i="31"/>
  <c r="T8" i="31" s="1"/>
  <c r="O10" i="31"/>
  <c r="L10" i="31"/>
  <c r="L8" i="31" s="1"/>
  <c r="K10" i="31"/>
  <c r="K8" i="31" s="1"/>
  <c r="J10" i="31"/>
  <c r="G10" i="31"/>
  <c r="G8" i="31" s="1"/>
  <c r="Q9" i="31"/>
  <c r="P9" i="31"/>
  <c r="M9" i="31"/>
  <c r="E9" i="31"/>
  <c r="O8" i="31"/>
  <c r="J8" i="31"/>
  <c r="Q7" i="31"/>
  <c r="P7" i="31"/>
  <c r="M7" i="31"/>
  <c r="E7" i="31"/>
  <c r="Q6" i="31"/>
  <c r="P6" i="31"/>
  <c r="P5" i="31" s="1"/>
  <c r="M6" i="31"/>
  <c r="M5" i="31" s="1"/>
  <c r="E6" i="31"/>
  <c r="U5" i="31"/>
  <c r="T5" i="31"/>
  <c r="S5" i="31"/>
  <c r="R5" i="31"/>
  <c r="Q5" i="31"/>
  <c r="O5" i="31"/>
  <c r="N5" i="31"/>
  <c r="L5" i="31"/>
  <c r="K5" i="31"/>
  <c r="J5" i="31"/>
  <c r="J4" i="31" s="1"/>
  <c r="I5" i="31"/>
  <c r="H5" i="31"/>
  <c r="G5" i="31"/>
  <c r="F5" i="31"/>
  <c r="E5" i="31"/>
  <c r="L109" i="21"/>
  <c r="J109" i="21"/>
  <c r="L108" i="21"/>
  <c r="J108" i="21"/>
  <c r="L107" i="21"/>
  <c r="L106" i="21"/>
  <c r="L105" i="21"/>
  <c r="L104" i="21"/>
  <c r="L103" i="21"/>
  <c r="L102" i="21"/>
  <c r="K101" i="21"/>
  <c r="J101" i="21"/>
  <c r="I101" i="21"/>
  <c r="H101" i="21"/>
  <c r="G101" i="21"/>
  <c r="F101" i="21"/>
  <c r="E101" i="21"/>
  <c r="L100" i="21"/>
  <c r="L99" i="21"/>
  <c r="L98" i="21"/>
  <c r="L97" i="21"/>
  <c r="K96" i="21"/>
  <c r="K80" i="21" s="1"/>
  <c r="K79" i="21" s="1"/>
  <c r="J96" i="21"/>
  <c r="J80" i="21" s="1"/>
  <c r="J79" i="21" s="1"/>
  <c r="I96" i="21"/>
  <c r="H96" i="21"/>
  <c r="G96" i="21"/>
  <c r="G80" i="21" s="1"/>
  <c r="G79" i="21" s="1"/>
  <c r="F96" i="21"/>
  <c r="F80" i="21" s="1"/>
  <c r="F79" i="21" s="1"/>
  <c r="E96" i="21"/>
  <c r="L95" i="21"/>
  <c r="L94" i="21"/>
  <c r="K93" i="21"/>
  <c r="J93" i="21"/>
  <c r="I93" i="21"/>
  <c r="H93" i="21"/>
  <c r="G93" i="21"/>
  <c r="F93" i="21"/>
  <c r="E93" i="21"/>
  <c r="L92" i="21"/>
  <c r="K91" i="21"/>
  <c r="J91" i="21"/>
  <c r="I91" i="21"/>
  <c r="H91" i="21"/>
  <c r="G91" i="21"/>
  <c r="F91" i="21"/>
  <c r="E91" i="21"/>
  <c r="K90" i="21"/>
  <c r="K89" i="21" s="1"/>
  <c r="K85" i="21" s="1"/>
  <c r="J90" i="21"/>
  <c r="J89" i="21" s="1"/>
  <c r="J85" i="21" s="1"/>
  <c r="I90" i="21"/>
  <c r="H90" i="21"/>
  <c r="G90" i="21"/>
  <c r="G89" i="21" s="1"/>
  <c r="G85" i="21" s="1"/>
  <c r="F90" i="21"/>
  <c r="F89" i="21" s="1"/>
  <c r="F85" i="21" s="1"/>
  <c r="E90" i="21"/>
  <c r="I89" i="21"/>
  <c r="H89" i="21"/>
  <c r="H85" i="21" s="1"/>
  <c r="E89" i="21"/>
  <c r="L88" i="21"/>
  <c r="L87" i="21"/>
  <c r="K86" i="21"/>
  <c r="J86" i="21"/>
  <c r="I86" i="21"/>
  <c r="I85" i="21" s="1"/>
  <c r="H86" i="21"/>
  <c r="G86" i="21"/>
  <c r="F86" i="21"/>
  <c r="E86" i="21"/>
  <c r="E85" i="21"/>
  <c r="L84" i="21"/>
  <c r="K83" i="21"/>
  <c r="J83" i="21"/>
  <c r="I83" i="21"/>
  <c r="H83" i="21"/>
  <c r="G83" i="21"/>
  <c r="F83" i="21"/>
  <c r="E83" i="21"/>
  <c r="L83" i="21" s="1"/>
  <c r="K82" i="21"/>
  <c r="K81" i="21" s="1"/>
  <c r="J82" i="21"/>
  <c r="I82" i="21"/>
  <c r="G82" i="21"/>
  <c r="G81" i="21" s="1"/>
  <c r="F82" i="21"/>
  <c r="F81" i="21" s="1"/>
  <c r="E82" i="21"/>
  <c r="J81" i="21"/>
  <c r="I81" i="21"/>
  <c r="E81" i="21"/>
  <c r="I80" i="21"/>
  <c r="E80" i="21"/>
  <c r="I79" i="21"/>
  <c r="E79" i="21"/>
  <c r="L78" i="21"/>
  <c r="K77" i="21"/>
  <c r="J77" i="21"/>
  <c r="I77" i="21"/>
  <c r="H77" i="21"/>
  <c r="G77" i="21"/>
  <c r="F77" i="21"/>
  <c r="E77" i="21"/>
  <c r="L77" i="21" s="1"/>
  <c r="K76" i="21"/>
  <c r="J76" i="21"/>
  <c r="I76" i="21"/>
  <c r="I75" i="21" s="1"/>
  <c r="H76" i="21"/>
  <c r="H75" i="21" s="1"/>
  <c r="G76" i="21"/>
  <c r="F76" i="21"/>
  <c r="E76" i="21"/>
  <c r="E75" i="21" s="1"/>
  <c r="K75" i="21"/>
  <c r="J75" i="21"/>
  <c r="G75" i="21"/>
  <c r="F75" i="21"/>
  <c r="K74" i="21"/>
  <c r="K73" i="21" s="1"/>
  <c r="J74" i="21"/>
  <c r="J73" i="21" s="1"/>
  <c r="I74" i="21"/>
  <c r="H74" i="21"/>
  <c r="G74" i="21"/>
  <c r="G73" i="21" s="1"/>
  <c r="F74" i="21"/>
  <c r="F73" i="21" s="1"/>
  <c r="L73" i="21" s="1"/>
  <c r="E74" i="21"/>
  <c r="I73" i="21"/>
  <c r="H73" i="21"/>
  <c r="E73" i="21"/>
  <c r="K72" i="21"/>
  <c r="K71" i="21" s="1"/>
  <c r="I72" i="21"/>
  <c r="G72" i="21"/>
  <c r="G71" i="21" s="1"/>
  <c r="E72" i="21"/>
  <c r="I71" i="21"/>
  <c r="E71" i="21"/>
  <c r="L70" i="21"/>
  <c r="L69" i="21"/>
  <c r="H68" i="21"/>
  <c r="L68" i="21" s="1"/>
  <c r="L67" i="21"/>
  <c r="L66" i="21"/>
  <c r="L65" i="21"/>
  <c r="L64" i="21"/>
  <c r="L63" i="21"/>
  <c r="L62" i="21"/>
  <c r="L61" i="21"/>
  <c r="L60" i="21"/>
  <c r="L59" i="21"/>
  <c r="L58" i="21"/>
  <c r="L57" i="21"/>
  <c r="L56" i="21"/>
  <c r="L55" i="21"/>
  <c r="L54" i="21"/>
  <c r="K53" i="21"/>
  <c r="J53" i="21"/>
  <c r="I53" i="21"/>
  <c r="I52" i="21" s="1"/>
  <c r="G53" i="21"/>
  <c r="F53" i="21"/>
  <c r="E53" i="21"/>
  <c r="L51" i="21"/>
  <c r="L50" i="21"/>
  <c r="L49" i="21"/>
  <c r="J48" i="21"/>
  <c r="L48" i="21" s="1"/>
  <c r="K47" i="21"/>
  <c r="I47" i="21"/>
  <c r="H47" i="21"/>
  <c r="G47" i="21"/>
  <c r="F47" i="21"/>
  <c r="E47" i="21"/>
  <c r="J46" i="21"/>
  <c r="J45" i="21" s="1"/>
  <c r="H46" i="21"/>
  <c r="H45" i="21" s="1"/>
  <c r="K45" i="21"/>
  <c r="I45" i="21"/>
  <c r="G45" i="21"/>
  <c r="F45" i="21"/>
  <c r="E45" i="21"/>
  <c r="L44" i="21"/>
  <c r="L43" i="21"/>
  <c r="K42" i="21"/>
  <c r="J42" i="21"/>
  <c r="I42" i="21"/>
  <c r="H42" i="21"/>
  <c r="G42" i="21"/>
  <c r="F42" i="21"/>
  <c r="E42" i="21"/>
  <c r="L42" i="21" s="1"/>
  <c r="L41" i="21"/>
  <c r="K40" i="21"/>
  <c r="J40" i="21"/>
  <c r="I40" i="21"/>
  <c r="H40" i="21"/>
  <c r="G40" i="21"/>
  <c r="F40" i="21"/>
  <c r="E40" i="21"/>
  <c r="L39" i="21"/>
  <c r="L38" i="21"/>
  <c r="L37" i="21"/>
  <c r="L36" i="21"/>
  <c r="L35" i="21"/>
  <c r="L34" i="21"/>
  <c r="L33" i="21"/>
  <c r="K32" i="21"/>
  <c r="K31" i="21" s="1"/>
  <c r="J32" i="21"/>
  <c r="I32" i="21"/>
  <c r="H32" i="21"/>
  <c r="G32" i="21"/>
  <c r="G31" i="21" s="1"/>
  <c r="F32" i="21"/>
  <c r="F31" i="21" s="1"/>
  <c r="E32" i="21"/>
  <c r="K30" i="21"/>
  <c r="J30" i="21"/>
  <c r="I30" i="21"/>
  <c r="G30" i="21"/>
  <c r="F30" i="21"/>
  <c r="E30" i="21"/>
  <c r="K29" i="21"/>
  <c r="J29" i="21"/>
  <c r="I29" i="21"/>
  <c r="H29" i="21"/>
  <c r="G29" i="21"/>
  <c r="F29" i="21"/>
  <c r="E29" i="21"/>
  <c r="K28" i="21"/>
  <c r="K27" i="21" s="1"/>
  <c r="J28" i="21"/>
  <c r="J27" i="21" s="1"/>
  <c r="I28" i="21"/>
  <c r="G28" i="21"/>
  <c r="F28" i="21"/>
  <c r="F27" i="21" s="1"/>
  <c r="E28" i="21"/>
  <c r="E27" i="21" s="1"/>
  <c r="I27" i="21"/>
  <c r="G27" i="21"/>
  <c r="K26" i="21"/>
  <c r="K25" i="21" s="1"/>
  <c r="J26" i="21"/>
  <c r="J25" i="21" s="1"/>
  <c r="I26" i="21"/>
  <c r="G26" i="21"/>
  <c r="F26" i="21"/>
  <c r="F25" i="21" s="1"/>
  <c r="E26" i="21"/>
  <c r="E25" i="21" s="1"/>
  <c r="I25" i="21"/>
  <c r="G25" i="21"/>
  <c r="K24" i="21"/>
  <c r="J24" i="21"/>
  <c r="I24" i="21"/>
  <c r="G24" i="21"/>
  <c r="F24" i="21"/>
  <c r="E24" i="21"/>
  <c r="K23" i="21"/>
  <c r="J23" i="21"/>
  <c r="I23" i="21"/>
  <c r="I22" i="21" s="1"/>
  <c r="G23" i="21"/>
  <c r="G22" i="21" s="1"/>
  <c r="F23" i="21"/>
  <c r="E23" i="21"/>
  <c r="K22" i="21"/>
  <c r="J22" i="21"/>
  <c r="F22" i="21"/>
  <c r="E22" i="21"/>
  <c r="K21" i="21"/>
  <c r="J21" i="21"/>
  <c r="I21" i="21"/>
  <c r="I20" i="21" s="1"/>
  <c r="G21" i="21"/>
  <c r="G20" i="21" s="1"/>
  <c r="F21" i="21"/>
  <c r="E21" i="21"/>
  <c r="K20" i="21"/>
  <c r="J20" i="21"/>
  <c r="F20" i="21"/>
  <c r="E20" i="21"/>
  <c r="L19" i="21"/>
  <c r="K18" i="21"/>
  <c r="J18" i="21"/>
  <c r="I18" i="21"/>
  <c r="H18" i="21"/>
  <c r="G18" i="21"/>
  <c r="F18" i="21"/>
  <c r="E18" i="21"/>
  <c r="L17" i="21"/>
  <c r="H16" i="21"/>
  <c r="H30" i="21" s="1"/>
  <c r="K15" i="21"/>
  <c r="J15" i="21"/>
  <c r="I15" i="21"/>
  <c r="H15" i="21"/>
  <c r="G15" i="21"/>
  <c r="F15" i="21"/>
  <c r="E15" i="21"/>
  <c r="K14" i="21"/>
  <c r="K13" i="21" s="1"/>
  <c r="J14" i="21"/>
  <c r="I14" i="21"/>
  <c r="G14" i="21"/>
  <c r="G13" i="21" s="1"/>
  <c r="F14" i="21"/>
  <c r="E14" i="21"/>
  <c r="J13" i="21"/>
  <c r="I13" i="21"/>
  <c r="F13" i="21"/>
  <c r="E13" i="21"/>
  <c r="K12" i="21"/>
  <c r="J12" i="21"/>
  <c r="I12" i="21"/>
  <c r="H12" i="21"/>
  <c r="G12" i="21"/>
  <c r="F12" i="21"/>
  <c r="E12" i="21"/>
  <c r="K11" i="21"/>
  <c r="J11" i="21"/>
  <c r="I11" i="21"/>
  <c r="I10" i="21" s="1"/>
  <c r="I8" i="21" s="1"/>
  <c r="H11" i="21"/>
  <c r="H10" i="21" s="1"/>
  <c r="G11" i="21"/>
  <c r="F11" i="21"/>
  <c r="E11" i="21"/>
  <c r="E10" i="21" s="1"/>
  <c r="K10" i="21"/>
  <c r="K8" i="21" s="1"/>
  <c r="J10" i="21"/>
  <c r="J8" i="21" s="1"/>
  <c r="G10" i="21"/>
  <c r="G8" i="21" s="1"/>
  <c r="F10" i="21"/>
  <c r="F8" i="21" s="1"/>
  <c r="H9" i="21"/>
  <c r="H7" i="21"/>
  <c r="L7" i="21" s="1"/>
  <c r="H6" i="21"/>
  <c r="H5" i="21" s="1"/>
  <c r="K5" i="21"/>
  <c r="J5" i="21"/>
  <c r="I5" i="21"/>
  <c r="G5" i="21"/>
  <c r="F5" i="21"/>
  <c r="E5" i="21"/>
  <c r="K109" i="26"/>
  <c r="S109" i="26" s="1"/>
  <c r="R108" i="26"/>
  <c r="K108" i="26"/>
  <c r="S108" i="26" s="1"/>
  <c r="S107" i="26"/>
  <c r="S106" i="26"/>
  <c r="S105" i="26"/>
  <c r="R104" i="26"/>
  <c r="R101" i="26" s="1"/>
  <c r="N104" i="26"/>
  <c r="N101" i="26" s="1"/>
  <c r="M104" i="26"/>
  <c r="M101" i="26" s="1"/>
  <c r="L104" i="26"/>
  <c r="K104" i="26"/>
  <c r="S103" i="26"/>
  <c r="S102" i="26"/>
  <c r="Q101" i="26"/>
  <c r="P101" i="26"/>
  <c r="O101" i="26"/>
  <c r="L101" i="26"/>
  <c r="J101" i="26"/>
  <c r="I101" i="26"/>
  <c r="H101" i="26"/>
  <c r="G101" i="26"/>
  <c r="F101" i="26"/>
  <c r="E101" i="26"/>
  <c r="S100" i="26"/>
  <c r="S99" i="26"/>
  <c r="S98" i="26"/>
  <c r="S97" i="26"/>
  <c r="R96" i="26"/>
  <c r="Q96" i="26"/>
  <c r="P96" i="26"/>
  <c r="O96" i="26"/>
  <c r="N96" i="26"/>
  <c r="M96" i="26"/>
  <c r="L96" i="26"/>
  <c r="K96" i="26"/>
  <c r="J96" i="26"/>
  <c r="I96" i="26"/>
  <c r="H96" i="26"/>
  <c r="G96" i="26"/>
  <c r="F96" i="26"/>
  <c r="E96" i="26"/>
  <c r="S95" i="26"/>
  <c r="S94" i="26"/>
  <c r="R93" i="26"/>
  <c r="Q93" i="26"/>
  <c r="P93" i="26"/>
  <c r="O93" i="26"/>
  <c r="N93" i="26"/>
  <c r="M93" i="26"/>
  <c r="L93" i="26"/>
  <c r="K93" i="26"/>
  <c r="J93" i="26"/>
  <c r="I93" i="26"/>
  <c r="H93" i="26"/>
  <c r="G93" i="26"/>
  <c r="F93" i="26"/>
  <c r="E93" i="26"/>
  <c r="S92" i="26"/>
  <c r="R91" i="26"/>
  <c r="Q91" i="26"/>
  <c r="P91" i="26"/>
  <c r="O91" i="26"/>
  <c r="N91" i="26"/>
  <c r="N89" i="26" s="1"/>
  <c r="N85" i="26" s="1"/>
  <c r="M91" i="26"/>
  <c r="L91" i="26"/>
  <c r="K91" i="26"/>
  <c r="J91" i="26"/>
  <c r="I91" i="26"/>
  <c r="H91" i="26"/>
  <c r="G91" i="26"/>
  <c r="F91" i="26"/>
  <c r="E91" i="26"/>
  <c r="R90" i="26"/>
  <c r="Q90" i="26"/>
  <c r="Q89" i="26" s="1"/>
  <c r="P90" i="26"/>
  <c r="P89" i="26" s="1"/>
  <c r="O90" i="26"/>
  <c r="N90" i="26"/>
  <c r="M90" i="26"/>
  <c r="M89" i="26" s="1"/>
  <c r="L90" i="26"/>
  <c r="K90" i="26"/>
  <c r="J90" i="26"/>
  <c r="I90" i="26"/>
  <c r="I89" i="26" s="1"/>
  <c r="H90" i="26"/>
  <c r="H89" i="26" s="1"/>
  <c r="G90" i="26"/>
  <c r="F90" i="26"/>
  <c r="E90" i="26"/>
  <c r="S90" i="26" s="1"/>
  <c r="R89" i="26"/>
  <c r="L89" i="26"/>
  <c r="J89" i="26"/>
  <c r="S88" i="26"/>
  <c r="S87" i="26"/>
  <c r="R86" i="26"/>
  <c r="Q86" i="26"/>
  <c r="P86" i="26"/>
  <c r="P85" i="26" s="1"/>
  <c r="O86" i="26"/>
  <c r="N86" i="26"/>
  <c r="M86" i="26"/>
  <c r="L86" i="26"/>
  <c r="L85" i="26" s="1"/>
  <c r="K86" i="26"/>
  <c r="J86" i="26"/>
  <c r="I86" i="26"/>
  <c r="H86" i="26"/>
  <c r="H85" i="26" s="1"/>
  <c r="G86" i="26"/>
  <c r="F86" i="26"/>
  <c r="E86" i="26"/>
  <c r="R85" i="26"/>
  <c r="J85" i="26"/>
  <c r="S84" i="26"/>
  <c r="R83" i="26"/>
  <c r="Q83" i="26"/>
  <c r="P83" i="26"/>
  <c r="O83" i="26"/>
  <c r="N83" i="26"/>
  <c r="M83" i="26"/>
  <c r="L83" i="26"/>
  <c r="K83" i="26"/>
  <c r="J83" i="26"/>
  <c r="I83" i="26"/>
  <c r="H83" i="26"/>
  <c r="G83" i="26"/>
  <c r="F83" i="26"/>
  <c r="E83" i="26"/>
  <c r="R82" i="26"/>
  <c r="Q82" i="26"/>
  <c r="Q81" i="26" s="1"/>
  <c r="N82" i="26"/>
  <c r="M82" i="26"/>
  <c r="M81" i="26" s="1"/>
  <c r="H82" i="26"/>
  <c r="R81" i="26"/>
  <c r="N81" i="26"/>
  <c r="H81" i="26"/>
  <c r="R80" i="26"/>
  <c r="Q80" i="26"/>
  <c r="Q79" i="26" s="1"/>
  <c r="P80" i="26"/>
  <c r="P79" i="26" s="1"/>
  <c r="O80" i="26"/>
  <c r="O79" i="26" s="1"/>
  <c r="N80" i="26"/>
  <c r="M80" i="26"/>
  <c r="M79" i="26" s="1"/>
  <c r="L80" i="26"/>
  <c r="L79" i="26" s="1"/>
  <c r="K80" i="26"/>
  <c r="K79" i="26" s="1"/>
  <c r="J80" i="26"/>
  <c r="I80" i="26"/>
  <c r="I79" i="26" s="1"/>
  <c r="H80" i="26"/>
  <c r="H79" i="26" s="1"/>
  <c r="G80" i="26"/>
  <c r="G79" i="26" s="1"/>
  <c r="F80" i="26"/>
  <c r="E80" i="26"/>
  <c r="R79" i="26"/>
  <c r="N79" i="26"/>
  <c r="J79" i="26"/>
  <c r="F79" i="26"/>
  <c r="S78" i="26"/>
  <c r="R77" i="26"/>
  <c r="Q77" i="26"/>
  <c r="P77" i="26"/>
  <c r="O77" i="26"/>
  <c r="N77" i="26"/>
  <c r="M77" i="26"/>
  <c r="L77" i="26"/>
  <c r="K77" i="26"/>
  <c r="J77" i="26"/>
  <c r="I77" i="26"/>
  <c r="H77" i="26"/>
  <c r="G77" i="26"/>
  <c r="F77" i="26"/>
  <c r="E77" i="26"/>
  <c r="R76" i="26"/>
  <c r="Q76" i="26"/>
  <c r="Q75" i="26" s="1"/>
  <c r="P76" i="26"/>
  <c r="P75" i="26" s="1"/>
  <c r="O76" i="26"/>
  <c r="O75" i="26" s="1"/>
  <c r="N76" i="26"/>
  <c r="M76" i="26"/>
  <c r="M75" i="26" s="1"/>
  <c r="L76" i="26"/>
  <c r="L75" i="26" s="1"/>
  <c r="K76" i="26"/>
  <c r="K75" i="26" s="1"/>
  <c r="J76" i="26"/>
  <c r="I76" i="26"/>
  <c r="I75" i="26" s="1"/>
  <c r="H76" i="26"/>
  <c r="H75" i="26" s="1"/>
  <c r="G76" i="26"/>
  <c r="G75" i="26" s="1"/>
  <c r="F76" i="26"/>
  <c r="E76" i="26"/>
  <c r="E75" i="26" s="1"/>
  <c r="R75" i="26"/>
  <c r="N75" i="26"/>
  <c r="J75" i="26"/>
  <c r="F75" i="26"/>
  <c r="R74" i="26"/>
  <c r="Q74" i="26"/>
  <c r="Q73" i="26" s="1"/>
  <c r="P74" i="26"/>
  <c r="P73" i="26" s="1"/>
  <c r="O74" i="26"/>
  <c r="N74" i="26"/>
  <c r="M74" i="26"/>
  <c r="M73" i="26" s="1"/>
  <c r="L74" i="26"/>
  <c r="L73" i="26" s="1"/>
  <c r="K74" i="26"/>
  <c r="J74" i="26"/>
  <c r="I74" i="26"/>
  <c r="I73" i="26" s="1"/>
  <c r="H74" i="26"/>
  <c r="H73" i="26" s="1"/>
  <c r="G74" i="26"/>
  <c r="F74" i="26"/>
  <c r="E74" i="26"/>
  <c r="S74" i="26" s="1"/>
  <c r="R73" i="26"/>
  <c r="O73" i="26"/>
  <c r="N73" i="26"/>
  <c r="K73" i="26"/>
  <c r="J73" i="26"/>
  <c r="G73" i="26"/>
  <c r="F73" i="26"/>
  <c r="R72" i="26"/>
  <c r="R71" i="26" s="1"/>
  <c r="Q72" i="26"/>
  <c r="P72" i="26"/>
  <c r="O72" i="26"/>
  <c r="O71" i="26" s="1"/>
  <c r="N72" i="26"/>
  <c r="N71" i="26" s="1"/>
  <c r="M72" i="26"/>
  <c r="L72" i="26"/>
  <c r="K72" i="26"/>
  <c r="K71" i="26" s="1"/>
  <c r="J72" i="26"/>
  <c r="I72" i="26"/>
  <c r="H72" i="26"/>
  <c r="G72" i="26"/>
  <c r="S72" i="26" s="1"/>
  <c r="F72" i="26"/>
  <c r="E72" i="26"/>
  <c r="Q71" i="26"/>
  <c r="P71" i="26"/>
  <c r="M71" i="26"/>
  <c r="L71" i="26"/>
  <c r="J71" i="26"/>
  <c r="I71" i="26"/>
  <c r="H71" i="26"/>
  <c r="F71" i="26"/>
  <c r="E71" i="26"/>
  <c r="R70" i="26"/>
  <c r="Q70" i="26"/>
  <c r="P70" i="26"/>
  <c r="O70" i="26"/>
  <c r="N70" i="26"/>
  <c r="M70" i="26"/>
  <c r="L70" i="26"/>
  <c r="K70" i="26"/>
  <c r="J70" i="26"/>
  <c r="I70" i="26"/>
  <c r="H70" i="26"/>
  <c r="G70" i="26"/>
  <c r="F70" i="26"/>
  <c r="E70" i="26"/>
  <c r="R69" i="26"/>
  <c r="Q69" i="26"/>
  <c r="P69" i="26"/>
  <c r="O69" i="26"/>
  <c r="N69" i="26"/>
  <c r="M69" i="26"/>
  <c r="L69" i="26"/>
  <c r="K69" i="26"/>
  <c r="J69" i="26"/>
  <c r="I69" i="26"/>
  <c r="H69" i="26"/>
  <c r="G69" i="26"/>
  <c r="F69" i="26"/>
  <c r="E69" i="26"/>
  <c r="R68" i="26"/>
  <c r="Q68" i="26"/>
  <c r="P68" i="26"/>
  <c r="O68" i="26"/>
  <c r="N68" i="26"/>
  <c r="M68" i="26"/>
  <c r="L68" i="26"/>
  <c r="K68" i="26"/>
  <c r="J68" i="26"/>
  <c r="I68" i="26"/>
  <c r="H68" i="26"/>
  <c r="G68" i="26"/>
  <c r="F68" i="26"/>
  <c r="E68" i="26"/>
  <c r="R67" i="26"/>
  <c r="Q67" i="26"/>
  <c r="P67" i="26"/>
  <c r="O67" i="26"/>
  <c r="N67" i="26"/>
  <c r="M67" i="26"/>
  <c r="L67" i="26"/>
  <c r="K67" i="26"/>
  <c r="J67" i="26"/>
  <c r="I67" i="26"/>
  <c r="H67" i="26"/>
  <c r="G67" i="26"/>
  <c r="F67" i="26"/>
  <c r="E67" i="26"/>
  <c r="R66" i="26"/>
  <c r="Q66" i="26"/>
  <c r="P66" i="26"/>
  <c r="O66" i="26"/>
  <c r="N66" i="26"/>
  <c r="M66" i="26"/>
  <c r="L66" i="26"/>
  <c r="K66" i="26"/>
  <c r="J66" i="26"/>
  <c r="I66" i="26"/>
  <c r="H66" i="26"/>
  <c r="G66" i="26"/>
  <c r="F66" i="26"/>
  <c r="E66" i="26"/>
  <c r="R65" i="26"/>
  <c r="Q65" i="26"/>
  <c r="P65" i="26"/>
  <c r="O65" i="26"/>
  <c r="N65" i="26"/>
  <c r="M65" i="26"/>
  <c r="L65" i="26"/>
  <c r="K65" i="26"/>
  <c r="J65" i="26"/>
  <c r="I65" i="26"/>
  <c r="H65" i="26"/>
  <c r="G65" i="26"/>
  <c r="F65" i="26"/>
  <c r="E65" i="26"/>
  <c r="R64" i="26"/>
  <c r="Q64" i="26"/>
  <c r="P64" i="26"/>
  <c r="O64" i="26"/>
  <c r="N64" i="26"/>
  <c r="M64" i="26"/>
  <c r="L64" i="26"/>
  <c r="K64" i="26"/>
  <c r="J64" i="26"/>
  <c r="I64" i="26"/>
  <c r="H64" i="26"/>
  <c r="G64" i="26"/>
  <c r="F64" i="26"/>
  <c r="E64" i="26"/>
  <c r="R63" i="26"/>
  <c r="Q63" i="26"/>
  <c r="O63" i="26"/>
  <c r="N63" i="26"/>
  <c r="M63" i="26"/>
  <c r="L63" i="26"/>
  <c r="K63" i="26"/>
  <c r="J63" i="26"/>
  <c r="I63" i="26"/>
  <c r="H63" i="26"/>
  <c r="G63" i="26"/>
  <c r="F63" i="26"/>
  <c r="E63" i="26"/>
  <c r="R62" i="26"/>
  <c r="Q62" i="26"/>
  <c r="P62" i="26"/>
  <c r="O62" i="26"/>
  <c r="N62" i="26"/>
  <c r="M62" i="26"/>
  <c r="L62" i="26"/>
  <c r="K62" i="26"/>
  <c r="J62" i="26"/>
  <c r="I62" i="26"/>
  <c r="H62" i="26"/>
  <c r="G62" i="26"/>
  <c r="F62" i="26"/>
  <c r="E62" i="26"/>
  <c r="R61" i="26"/>
  <c r="Q61" i="26"/>
  <c r="P61" i="26"/>
  <c r="O61" i="26"/>
  <c r="N61" i="26"/>
  <c r="M61" i="26"/>
  <c r="L61" i="26"/>
  <c r="K61" i="26"/>
  <c r="J61" i="26"/>
  <c r="I61" i="26"/>
  <c r="H61" i="26"/>
  <c r="G61" i="26"/>
  <c r="F61" i="26"/>
  <c r="E61" i="26"/>
  <c r="R60" i="26"/>
  <c r="Q60" i="26"/>
  <c r="P60" i="26"/>
  <c r="O60" i="26"/>
  <c r="N60" i="26"/>
  <c r="M60" i="26"/>
  <c r="L60" i="26"/>
  <c r="K60" i="26"/>
  <c r="J60" i="26"/>
  <c r="I60" i="26"/>
  <c r="H60" i="26"/>
  <c r="G60" i="26"/>
  <c r="F60" i="26"/>
  <c r="E60" i="26"/>
  <c r="R59" i="26"/>
  <c r="Q59" i="26"/>
  <c r="P59" i="26"/>
  <c r="O59" i="26"/>
  <c r="N59" i="26"/>
  <c r="M59" i="26"/>
  <c r="L59" i="26"/>
  <c r="K59" i="26"/>
  <c r="J59" i="26"/>
  <c r="I59" i="26"/>
  <c r="H59" i="26"/>
  <c r="G59" i="26"/>
  <c r="F59" i="26"/>
  <c r="E59" i="26"/>
  <c r="R58" i="26"/>
  <c r="Q58" i="26"/>
  <c r="P58" i="26"/>
  <c r="O58" i="26"/>
  <c r="N58" i="26"/>
  <c r="M58" i="26"/>
  <c r="L58" i="26"/>
  <c r="K58" i="26"/>
  <c r="J58" i="26"/>
  <c r="I58" i="26"/>
  <c r="H58" i="26"/>
  <c r="G58" i="26"/>
  <c r="F58" i="26"/>
  <c r="E58" i="26"/>
  <c r="R57" i="26"/>
  <c r="Q57" i="26"/>
  <c r="P57" i="26"/>
  <c r="O57" i="26"/>
  <c r="N57" i="26"/>
  <c r="M57" i="26"/>
  <c r="L57" i="26"/>
  <c r="K57" i="26"/>
  <c r="J57" i="26"/>
  <c r="I57" i="26"/>
  <c r="H57" i="26"/>
  <c r="G57" i="26"/>
  <c r="F57" i="26"/>
  <c r="E57" i="26"/>
  <c r="R56" i="26"/>
  <c r="Q56" i="26"/>
  <c r="P56" i="26"/>
  <c r="O56" i="26"/>
  <c r="N56" i="26"/>
  <c r="M56" i="26"/>
  <c r="L56" i="26"/>
  <c r="K56" i="26"/>
  <c r="J56" i="26"/>
  <c r="I56" i="26"/>
  <c r="H56" i="26"/>
  <c r="G56" i="26"/>
  <c r="F56" i="26"/>
  <c r="E56" i="26"/>
  <c r="R55" i="26"/>
  <c r="Q55" i="26"/>
  <c r="P55" i="26"/>
  <c r="O55" i="26"/>
  <c r="N55" i="26"/>
  <c r="M55" i="26"/>
  <c r="L55" i="26"/>
  <c r="K55" i="26"/>
  <c r="J55" i="26"/>
  <c r="I55" i="26"/>
  <c r="H55" i="26"/>
  <c r="G55" i="26"/>
  <c r="F55" i="26"/>
  <c r="E55" i="26"/>
  <c r="R54" i="26"/>
  <c r="Q54" i="26"/>
  <c r="P54" i="26"/>
  <c r="O54" i="26"/>
  <c r="N54" i="26"/>
  <c r="M54" i="26"/>
  <c r="L54" i="26"/>
  <c r="K54" i="26"/>
  <c r="J54" i="26"/>
  <c r="I54" i="26"/>
  <c r="H54" i="26"/>
  <c r="G54" i="26"/>
  <c r="F54" i="26"/>
  <c r="E54" i="26"/>
  <c r="S51" i="26"/>
  <c r="S50" i="26"/>
  <c r="S49" i="26"/>
  <c r="S48" i="26"/>
  <c r="R47" i="26"/>
  <c r="Q47" i="26"/>
  <c r="P47" i="26"/>
  <c r="O47" i="26"/>
  <c r="N47" i="26"/>
  <c r="M47" i="26"/>
  <c r="L47" i="26"/>
  <c r="K47" i="26"/>
  <c r="J47" i="26"/>
  <c r="I47" i="26"/>
  <c r="H47" i="26"/>
  <c r="G47" i="26"/>
  <c r="F47" i="26"/>
  <c r="E47" i="26"/>
  <c r="S47" i="26" s="1"/>
  <c r="R46" i="26"/>
  <c r="R45" i="26" s="1"/>
  <c r="Q46" i="26"/>
  <c r="O46" i="26"/>
  <c r="O45" i="26" s="1"/>
  <c r="N46" i="26"/>
  <c r="N45" i="26" s="1"/>
  <c r="M46" i="26"/>
  <c r="M45" i="26" s="1"/>
  <c r="L46" i="26"/>
  <c r="K46" i="26"/>
  <c r="K45" i="26" s="1"/>
  <c r="J46" i="26"/>
  <c r="J45" i="26" s="1"/>
  <c r="J31" i="26" s="1"/>
  <c r="I46" i="26"/>
  <c r="I45" i="26" s="1"/>
  <c r="H46" i="26"/>
  <c r="G46" i="26"/>
  <c r="G45" i="26" s="1"/>
  <c r="F46" i="26"/>
  <c r="F45" i="26" s="1"/>
  <c r="E46" i="26"/>
  <c r="E45" i="26" s="1"/>
  <c r="E31" i="26" s="1"/>
  <c r="Q45" i="26"/>
  <c r="P45" i="26"/>
  <c r="P31" i="26" s="1"/>
  <c r="L45" i="26"/>
  <c r="H45" i="26"/>
  <c r="H31" i="26" s="1"/>
  <c r="S44" i="26"/>
  <c r="S43" i="26"/>
  <c r="R42" i="26"/>
  <c r="Q42" i="26"/>
  <c r="P42" i="26"/>
  <c r="O42" i="26"/>
  <c r="N42" i="26"/>
  <c r="M42" i="26"/>
  <c r="L42" i="26"/>
  <c r="K42" i="26"/>
  <c r="J42" i="26"/>
  <c r="I42" i="26"/>
  <c r="H42" i="26"/>
  <c r="G42" i="26"/>
  <c r="F42" i="26"/>
  <c r="E42" i="26"/>
  <c r="S41" i="26"/>
  <c r="R40" i="26"/>
  <c r="Q40" i="26"/>
  <c r="P40" i="26"/>
  <c r="O40" i="26"/>
  <c r="N40" i="26"/>
  <c r="M40" i="26"/>
  <c r="L40" i="26"/>
  <c r="K40" i="26"/>
  <c r="J40" i="26"/>
  <c r="I40" i="26"/>
  <c r="H40" i="26"/>
  <c r="G40" i="26"/>
  <c r="F40" i="26"/>
  <c r="E40" i="26"/>
  <c r="S39" i="26"/>
  <c r="S38" i="26"/>
  <c r="S37" i="26"/>
  <c r="S36" i="26"/>
  <c r="S35" i="26"/>
  <c r="S34" i="26"/>
  <c r="S33" i="26"/>
  <c r="R32" i="26"/>
  <c r="Q32" i="26"/>
  <c r="P32" i="26"/>
  <c r="O32" i="26"/>
  <c r="N32" i="26"/>
  <c r="N31" i="26" s="1"/>
  <c r="M32" i="26"/>
  <c r="L32" i="26"/>
  <c r="K32" i="26"/>
  <c r="J32" i="26"/>
  <c r="I32" i="26"/>
  <c r="H32" i="26"/>
  <c r="G32" i="26"/>
  <c r="F32" i="26"/>
  <c r="F31" i="26" s="1"/>
  <c r="E32" i="26"/>
  <c r="Q31" i="26"/>
  <c r="L31" i="26"/>
  <c r="R30" i="26"/>
  <c r="Q30" i="26"/>
  <c r="N30" i="26"/>
  <c r="M30" i="26"/>
  <c r="H30" i="26"/>
  <c r="R29" i="26"/>
  <c r="Q29" i="26"/>
  <c r="P29" i="26"/>
  <c r="O29" i="26"/>
  <c r="N29" i="26"/>
  <c r="M29" i="26"/>
  <c r="L29" i="26"/>
  <c r="K29" i="26"/>
  <c r="J29" i="26"/>
  <c r="I29" i="26"/>
  <c r="H29" i="26"/>
  <c r="G29" i="26"/>
  <c r="F29" i="26"/>
  <c r="E29" i="26"/>
  <c r="R28" i="26"/>
  <c r="Q28" i="26"/>
  <c r="Q27" i="26" s="1"/>
  <c r="N28" i="26"/>
  <c r="N27" i="26" s="1"/>
  <c r="M28" i="26"/>
  <c r="H28" i="26"/>
  <c r="R27" i="26"/>
  <c r="M27" i="26"/>
  <c r="H27" i="26"/>
  <c r="R26" i="26"/>
  <c r="R25" i="26" s="1"/>
  <c r="Q26" i="26"/>
  <c r="N26" i="26"/>
  <c r="M26" i="26"/>
  <c r="M25" i="26" s="1"/>
  <c r="H26" i="26"/>
  <c r="H25" i="26" s="1"/>
  <c r="Q25" i="26"/>
  <c r="N25" i="26"/>
  <c r="R24" i="26"/>
  <c r="Q24" i="26"/>
  <c r="N24" i="26"/>
  <c r="N22" i="26" s="1"/>
  <c r="M24" i="26"/>
  <c r="H24" i="26"/>
  <c r="R23" i="26"/>
  <c r="R22" i="26" s="1"/>
  <c r="Q23" i="26"/>
  <c r="Q22" i="26" s="1"/>
  <c r="N23" i="26"/>
  <c r="M23" i="26"/>
  <c r="H23" i="26"/>
  <c r="H22" i="26" s="1"/>
  <c r="M22" i="26"/>
  <c r="R21" i="26"/>
  <c r="Q21" i="26"/>
  <c r="N21" i="26"/>
  <c r="N20" i="26" s="1"/>
  <c r="M21" i="26"/>
  <c r="M20" i="26" s="1"/>
  <c r="H21" i="26"/>
  <c r="R20" i="26"/>
  <c r="Q20" i="26"/>
  <c r="H20" i="26"/>
  <c r="I19" i="26"/>
  <c r="I18" i="26" s="1"/>
  <c r="H19" i="26"/>
  <c r="H18" i="26" s="1"/>
  <c r="G19" i="26"/>
  <c r="F19" i="26"/>
  <c r="R18" i="26"/>
  <c r="Q18" i="26"/>
  <c r="P18" i="26"/>
  <c r="O18" i="26"/>
  <c r="N18" i="26"/>
  <c r="M18" i="26"/>
  <c r="L18" i="26"/>
  <c r="K18" i="26"/>
  <c r="J18" i="26"/>
  <c r="G18" i="26"/>
  <c r="F18" i="26"/>
  <c r="E18" i="26"/>
  <c r="S17" i="26"/>
  <c r="P16" i="26"/>
  <c r="P21" i="26" s="1"/>
  <c r="P20" i="26" s="1"/>
  <c r="O16" i="26"/>
  <c r="O28" i="26" s="1"/>
  <c r="O27" i="26" s="1"/>
  <c r="L16" i="26"/>
  <c r="L21" i="26" s="1"/>
  <c r="L20" i="26" s="1"/>
  <c r="K16" i="26"/>
  <c r="K28" i="26" s="1"/>
  <c r="K27" i="26" s="1"/>
  <c r="J16" i="26"/>
  <c r="J23" i="26" s="1"/>
  <c r="I16" i="26"/>
  <c r="I82" i="26" s="1"/>
  <c r="I81" i="26" s="1"/>
  <c r="G16" i="26"/>
  <c r="G28" i="26" s="1"/>
  <c r="G27" i="26" s="1"/>
  <c r="F16" i="26"/>
  <c r="F23" i="26" s="1"/>
  <c r="E16" i="26"/>
  <c r="E82" i="26" s="1"/>
  <c r="R15" i="26"/>
  <c r="Q15" i="26"/>
  <c r="N15" i="26"/>
  <c r="M15" i="26"/>
  <c r="K15" i="26"/>
  <c r="J15" i="26"/>
  <c r="H15" i="26"/>
  <c r="F15" i="26"/>
  <c r="R14" i="26"/>
  <c r="R13" i="26" s="1"/>
  <c r="Q14" i="26"/>
  <c r="P14" i="26"/>
  <c r="O14" i="26"/>
  <c r="N14" i="26"/>
  <c r="N13" i="26" s="1"/>
  <c r="M14" i="26"/>
  <c r="K14" i="26"/>
  <c r="K13" i="26" s="1"/>
  <c r="J14" i="26"/>
  <c r="J13" i="26" s="1"/>
  <c r="H14" i="26"/>
  <c r="G14" i="26"/>
  <c r="F14" i="26"/>
  <c r="F13" i="26" s="1"/>
  <c r="Q13" i="26"/>
  <c r="M13" i="26"/>
  <c r="H13" i="26"/>
  <c r="R12" i="26"/>
  <c r="Q12" i="26"/>
  <c r="P12" i="26"/>
  <c r="O12" i="26"/>
  <c r="N12" i="26"/>
  <c r="M12" i="26"/>
  <c r="L12" i="26"/>
  <c r="K12" i="26"/>
  <c r="J12" i="26"/>
  <c r="I12" i="26"/>
  <c r="H12" i="26"/>
  <c r="G12" i="26"/>
  <c r="F12" i="26"/>
  <c r="E12" i="26"/>
  <c r="R11" i="26"/>
  <c r="Q11" i="26"/>
  <c r="P11" i="26"/>
  <c r="P10" i="26" s="1"/>
  <c r="O11" i="26"/>
  <c r="O10" i="26" s="1"/>
  <c r="N11" i="26"/>
  <c r="M11" i="26"/>
  <c r="L11" i="26"/>
  <c r="L10" i="26" s="1"/>
  <c r="K11" i="26"/>
  <c r="K10" i="26" s="1"/>
  <c r="J11" i="26"/>
  <c r="I11" i="26"/>
  <c r="H11" i="26"/>
  <c r="H10" i="26" s="1"/>
  <c r="G11" i="26"/>
  <c r="G10" i="26" s="1"/>
  <c r="F11" i="26"/>
  <c r="E11" i="26"/>
  <c r="R10" i="26"/>
  <c r="Q10" i="26"/>
  <c r="N10" i="26"/>
  <c r="M10" i="26"/>
  <c r="J10" i="26"/>
  <c r="I10" i="26"/>
  <c r="F10" i="26"/>
  <c r="E10" i="26"/>
  <c r="R9" i="26"/>
  <c r="Q9" i="26"/>
  <c r="P9" i="26"/>
  <c r="P8" i="26" s="1"/>
  <c r="O9" i="26"/>
  <c r="N9" i="26"/>
  <c r="M9" i="26"/>
  <c r="L9" i="26"/>
  <c r="L8" i="26" s="1"/>
  <c r="K9" i="26"/>
  <c r="J9" i="26"/>
  <c r="I9" i="26"/>
  <c r="H9" i="26"/>
  <c r="H8" i="26" s="1"/>
  <c r="G9" i="26"/>
  <c r="F9" i="26"/>
  <c r="E9" i="26"/>
  <c r="R8" i="26"/>
  <c r="Q8" i="26"/>
  <c r="N8" i="26"/>
  <c r="M8" i="26"/>
  <c r="J8" i="26"/>
  <c r="I8" i="26"/>
  <c r="F8" i="26"/>
  <c r="E8" i="26"/>
  <c r="R7" i="26"/>
  <c r="Q7" i="26"/>
  <c r="P7" i="26"/>
  <c r="O7" i="26"/>
  <c r="N7" i="26"/>
  <c r="M7" i="26"/>
  <c r="L7" i="26"/>
  <c r="K7" i="26"/>
  <c r="K5" i="26" s="1"/>
  <c r="J7" i="26"/>
  <c r="I7" i="26"/>
  <c r="H7" i="26"/>
  <c r="G7" i="26"/>
  <c r="F7" i="26"/>
  <c r="E7" i="26"/>
  <c r="R6" i="26"/>
  <c r="R5" i="26" s="1"/>
  <c r="R4" i="26" s="1"/>
  <c r="Q6" i="26"/>
  <c r="Q5" i="26" s="1"/>
  <c r="Q4" i="26" s="1"/>
  <c r="P6" i="26"/>
  <c r="O6" i="26"/>
  <c r="N6" i="26"/>
  <c r="N5" i="26" s="1"/>
  <c r="N4" i="26" s="1"/>
  <c r="M6" i="26"/>
  <c r="M5" i="26" s="1"/>
  <c r="M4" i="26" s="1"/>
  <c r="L6" i="26"/>
  <c r="K6" i="26"/>
  <c r="J6" i="26"/>
  <c r="I6" i="26"/>
  <c r="H6" i="26"/>
  <c r="G6" i="26"/>
  <c r="G5" i="26" s="1"/>
  <c r="F6" i="26"/>
  <c r="S6" i="26" s="1"/>
  <c r="E6" i="26"/>
  <c r="O5" i="26"/>
  <c r="J5" i="26"/>
  <c r="I5" i="26"/>
  <c r="E5" i="26"/>
  <c r="H7" i="32"/>
  <c r="Y7" i="32"/>
  <c r="AB6" i="32"/>
  <c r="AA6" i="32"/>
  <c r="Z6" i="32"/>
  <c r="Z7" i="32" s="1"/>
  <c r="Y6" i="32"/>
  <c r="U6" i="32"/>
  <c r="R6" i="32"/>
  <c r="Q6" i="32"/>
  <c r="Q7" i="32" s="1"/>
  <c r="O6" i="32"/>
  <c r="N6" i="32"/>
  <c r="M6" i="32"/>
  <c r="L6" i="32"/>
  <c r="L7" i="32" s="1"/>
  <c r="H6" i="32"/>
  <c r="E6" i="32"/>
  <c r="D6" i="32"/>
  <c r="V5" i="32"/>
  <c r="W5" i="32" s="1"/>
  <c r="S5" i="32"/>
  <c r="T5" i="32" s="1"/>
  <c r="I5" i="32"/>
  <c r="J5" i="32" s="1"/>
  <c r="F5" i="32"/>
  <c r="G5" i="32" s="1"/>
  <c r="AB4" i="32"/>
  <c r="AB7" i="32" s="1"/>
  <c r="AA4" i="32"/>
  <c r="AA7" i="32" s="1"/>
  <c r="Z4" i="32"/>
  <c r="Y4" i="32"/>
  <c r="U4" i="32"/>
  <c r="U7" i="32" s="1"/>
  <c r="R4" i="32"/>
  <c r="R7" i="32" s="1"/>
  <c r="Q4" i="32"/>
  <c r="N4" i="32"/>
  <c r="N7" i="32" s="1"/>
  <c r="M4" i="32"/>
  <c r="M7" i="32" s="1"/>
  <c r="L4" i="32"/>
  <c r="H4" i="32"/>
  <c r="E4" i="32"/>
  <c r="E7" i="32" s="1"/>
  <c r="D4" i="32"/>
  <c r="D7" i="32" s="1"/>
  <c r="O4" i="32"/>
  <c r="O7" i="32" s="1"/>
  <c r="V3" i="32"/>
  <c r="W3" i="32" s="1"/>
  <c r="S3" i="32"/>
  <c r="S4" i="32" s="1"/>
  <c r="I3" i="32"/>
  <c r="J3" i="32" s="1"/>
  <c r="F3" i="32"/>
  <c r="G3" i="32" s="1"/>
  <c r="G8" i="26" l="1"/>
  <c r="K8" i="26"/>
  <c r="O8" i="26"/>
  <c r="R31" i="26"/>
  <c r="L75" i="21"/>
  <c r="L10" i="21"/>
  <c r="E8" i="21"/>
  <c r="E4" i="21" s="1"/>
  <c r="I4" i="21"/>
  <c r="K52" i="21"/>
  <c r="S9" i="26"/>
  <c r="S11" i="26"/>
  <c r="H5" i="26"/>
  <c r="H4" i="26" s="1"/>
  <c r="L5" i="26"/>
  <c r="P5" i="26"/>
  <c r="E14" i="26"/>
  <c r="I14" i="26"/>
  <c r="L15" i="26"/>
  <c r="P15" i="26"/>
  <c r="P13" i="26" s="1"/>
  <c r="S29" i="26"/>
  <c r="S32" i="26"/>
  <c r="S42" i="26"/>
  <c r="G89" i="26"/>
  <c r="K89" i="26"/>
  <c r="O89" i="26"/>
  <c r="L11" i="21"/>
  <c r="L15" i="21"/>
  <c r="L18" i="21"/>
  <c r="L32" i="21"/>
  <c r="J47" i="21"/>
  <c r="J31" i="21" s="1"/>
  <c r="J3" i="21" s="1"/>
  <c r="H53" i="21"/>
  <c r="J72" i="21"/>
  <c r="J71" i="21" s="1"/>
  <c r="L91" i="21"/>
  <c r="L93" i="21"/>
  <c r="L96" i="21"/>
  <c r="U4" i="31"/>
  <c r="P8" i="31"/>
  <c r="V11" i="31"/>
  <c r="M10" i="31"/>
  <c r="M8" i="31" s="1"/>
  <c r="R10" i="31"/>
  <c r="R8" i="31" s="1"/>
  <c r="V12" i="31"/>
  <c r="G13" i="31"/>
  <c r="K13" i="31"/>
  <c r="O13" i="31"/>
  <c r="O4" i="31" s="1"/>
  <c r="S13" i="31"/>
  <c r="V18" i="31"/>
  <c r="V42" i="31"/>
  <c r="I53" i="31"/>
  <c r="N52" i="31"/>
  <c r="U52" i="25"/>
  <c r="U3" i="25" s="1"/>
  <c r="S8" i="26"/>
  <c r="S10" i="26"/>
  <c r="S12" i="26"/>
  <c r="I15" i="26"/>
  <c r="S18" i="26"/>
  <c r="S40" i="26"/>
  <c r="S46" i="26"/>
  <c r="I31" i="26"/>
  <c r="M31" i="26"/>
  <c r="S77" i="26"/>
  <c r="S83" i="26"/>
  <c r="S91" i="26"/>
  <c r="F4" i="21"/>
  <c r="J4" i="21"/>
  <c r="L40" i="21"/>
  <c r="L53" i="21"/>
  <c r="F72" i="21"/>
  <c r="F71" i="21" s="1"/>
  <c r="L74" i="21"/>
  <c r="L86" i="21"/>
  <c r="L90" i="21"/>
  <c r="N10" i="31"/>
  <c r="N8" i="31" s="1"/>
  <c r="E13" i="31"/>
  <c r="H13" i="31"/>
  <c r="H4" i="31" s="1"/>
  <c r="H3" i="31" s="1"/>
  <c r="L13" i="31"/>
  <c r="P13" i="31"/>
  <c r="T13" i="31"/>
  <c r="L21" i="31"/>
  <c r="L20" i="31" s="1"/>
  <c r="G4" i="21"/>
  <c r="K4" i="21"/>
  <c r="I31" i="21"/>
  <c r="I3" i="21" s="1"/>
  <c r="L89" i="21"/>
  <c r="J3" i="31"/>
  <c r="T4" i="31"/>
  <c r="P53" i="31"/>
  <c r="V74" i="31"/>
  <c r="P85" i="31"/>
  <c r="U85" i="31"/>
  <c r="F5" i="26"/>
  <c r="S7" i="26"/>
  <c r="L14" i="26"/>
  <c r="L13" i="26" s="1"/>
  <c r="G15" i="26"/>
  <c r="G13" i="26" s="1"/>
  <c r="O15" i="26"/>
  <c r="O13" i="26" s="1"/>
  <c r="S19" i="26"/>
  <c r="G31" i="26"/>
  <c r="K31" i="26"/>
  <c r="O31" i="26"/>
  <c r="S75" i="26"/>
  <c r="S80" i="26"/>
  <c r="S86" i="26"/>
  <c r="I85" i="26"/>
  <c r="M85" i="26"/>
  <c r="Q85" i="26"/>
  <c r="F89" i="26"/>
  <c r="F85" i="26" s="1"/>
  <c r="S93" i="26"/>
  <c r="S96" i="26"/>
  <c r="S104" i="26"/>
  <c r="H8" i="21"/>
  <c r="L12" i="21"/>
  <c r="H14" i="21"/>
  <c r="H13" i="21" s="1"/>
  <c r="L13" i="21" s="1"/>
  <c r="L16" i="21"/>
  <c r="L29" i="21"/>
  <c r="L45" i="21"/>
  <c r="L47" i="21"/>
  <c r="E52" i="21"/>
  <c r="L76" i="21"/>
  <c r="L101" i="21"/>
  <c r="Q8" i="31"/>
  <c r="Q4" i="31" s="1"/>
  <c r="Q3" i="31" s="1"/>
  <c r="I10" i="31"/>
  <c r="I8" i="31" s="1"/>
  <c r="V15" i="31"/>
  <c r="V32" i="31"/>
  <c r="V41" i="31"/>
  <c r="V76" i="31"/>
  <c r="E75" i="31"/>
  <c r="V83" i="31"/>
  <c r="V86" i="31"/>
  <c r="E85" i="31"/>
  <c r="L85" i="31"/>
  <c r="I89" i="31"/>
  <c r="I85" i="31" s="1"/>
  <c r="M52" i="25"/>
  <c r="M3" i="25" s="1"/>
  <c r="Q52" i="25"/>
  <c r="Q3" i="25" s="1"/>
  <c r="K22" i="31"/>
  <c r="N29" i="31"/>
  <c r="N4" i="31" s="1"/>
  <c r="N3" i="31" s="1"/>
  <c r="S29" i="31"/>
  <c r="H31" i="31"/>
  <c r="F53" i="31"/>
  <c r="F52" i="31" s="1"/>
  <c r="V72" i="31"/>
  <c r="Q52" i="31"/>
  <c r="V77" i="31"/>
  <c r="H89" i="31"/>
  <c r="S89" i="31"/>
  <c r="S85" i="31" s="1"/>
  <c r="V96" i="31"/>
  <c r="E10" i="25"/>
  <c r="E13" i="25"/>
  <c r="W13" i="25" s="1"/>
  <c r="W15" i="25"/>
  <c r="W18" i="25"/>
  <c r="W47" i="25"/>
  <c r="W90" i="25"/>
  <c r="W91" i="25"/>
  <c r="E5" i="20"/>
  <c r="G31" i="20"/>
  <c r="K52" i="31"/>
  <c r="O89" i="31"/>
  <c r="O85" i="31" s="1"/>
  <c r="T89" i="31"/>
  <c r="T85" i="31" s="1"/>
  <c r="T52" i="31" s="1"/>
  <c r="V101" i="31"/>
  <c r="W5" i="25"/>
  <c r="W21" i="25"/>
  <c r="W23" i="25"/>
  <c r="E25" i="25"/>
  <c r="W25" i="25" s="1"/>
  <c r="E27" i="25"/>
  <c r="W27" i="25" s="1"/>
  <c r="E31" i="25"/>
  <c r="W31" i="25" s="1"/>
  <c r="W45" i="25"/>
  <c r="G52" i="25"/>
  <c r="G3" i="25" s="1"/>
  <c r="K52" i="25"/>
  <c r="K3" i="25" s="1"/>
  <c r="O52" i="25"/>
  <c r="O3" i="25" s="1"/>
  <c r="S52" i="25"/>
  <c r="S3" i="25" s="1"/>
  <c r="W76" i="25"/>
  <c r="W80" i="25"/>
  <c r="W82" i="25"/>
  <c r="F82" i="20"/>
  <c r="F81" i="20" s="1"/>
  <c r="F14" i="20"/>
  <c r="F13" i="20" s="1"/>
  <c r="F15" i="20"/>
  <c r="K23" i="20"/>
  <c r="K14" i="20"/>
  <c r="K13" i="20" s="1"/>
  <c r="O23" i="20"/>
  <c r="O14" i="20"/>
  <c r="O13" i="20" s="1"/>
  <c r="U82" i="20"/>
  <c r="U81" i="20" s="1"/>
  <c r="U15" i="20"/>
  <c r="U14" i="20"/>
  <c r="T31" i="20"/>
  <c r="W29" i="25"/>
  <c r="W40" i="25"/>
  <c r="E52" i="25"/>
  <c r="E71" i="25"/>
  <c r="W75" i="25"/>
  <c r="W79" i="25"/>
  <c r="W83" i="25"/>
  <c r="V85" i="25"/>
  <c r="W96" i="25"/>
  <c r="M8" i="20"/>
  <c r="U8" i="20"/>
  <c r="V90" i="31"/>
  <c r="V91" i="31"/>
  <c r="W12" i="25"/>
  <c r="W20" i="25"/>
  <c r="W22" i="25"/>
  <c r="M75" i="24"/>
  <c r="V9" i="20"/>
  <c r="V12" i="20"/>
  <c r="G14" i="20"/>
  <c r="G13" i="20" s="1"/>
  <c r="V29" i="20"/>
  <c r="E31" i="20"/>
  <c r="K53" i="20"/>
  <c r="V72" i="20"/>
  <c r="V77" i="20"/>
  <c r="G85" i="20"/>
  <c r="K85" i="20"/>
  <c r="O85" i="20"/>
  <c r="S85" i="20"/>
  <c r="H89" i="20"/>
  <c r="H85" i="20" s="1"/>
  <c r="L89" i="20"/>
  <c r="L85" i="20" s="1"/>
  <c r="P89" i="20"/>
  <c r="P85" i="20" s="1"/>
  <c r="T89" i="20"/>
  <c r="T85" i="20" s="1"/>
  <c r="J5" i="22"/>
  <c r="E13" i="22"/>
  <c r="J13" i="22" s="1"/>
  <c r="F20" i="22"/>
  <c r="J20" i="22" s="1"/>
  <c r="E25" i="22"/>
  <c r="J25" i="22" s="1"/>
  <c r="J29" i="22"/>
  <c r="J45" i="22"/>
  <c r="H89" i="22"/>
  <c r="H85" i="22" s="1"/>
  <c r="J93" i="22"/>
  <c r="J101" i="22"/>
  <c r="M7" i="24"/>
  <c r="M40" i="24"/>
  <c r="E53" i="24"/>
  <c r="M69" i="24"/>
  <c r="E71" i="24"/>
  <c r="M71" i="24" s="1"/>
  <c r="M74" i="24"/>
  <c r="M86" i="24"/>
  <c r="M52" i="20"/>
  <c r="J10" i="22"/>
  <c r="J22" i="22"/>
  <c r="F85" i="22"/>
  <c r="M5" i="24"/>
  <c r="H89" i="24"/>
  <c r="H85" i="24" s="1"/>
  <c r="H52" i="24" s="1"/>
  <c r="H3" i="24" s="1"/>
  <c r="L89" i="24"/>
  <c r="L85" i="24" s="1"/>
  <c r="L52" i="24" s="1"/>
  <c r="L3" i="24" s="1"/>
  <c r="V14" i="20"/>
  <c r="I31" i="20"/>
  <c r="M31" i="20"/>
  <c r="Q31" i="20"/>
  <c r="V54" i="20"/>
  <c r="V76" i="20"/>
  <c r="V80" i="20"/>
  <c r="J11" i="22"/>
  <c r="J15" i="22"/>
  <c r="J27" i="22"/>
  <c r="E31" i="22"/>
  <c r="J31" i="22" s="1"/>
  <c r="J47" i="22"/>
  <c r="H52" i="22"/>
  <c r="H3" i="22" s="1"/>
  <c r="J74" i="22"/>
  <c r="J83" i="22"/>
  <c r="G85" i="22"/>
  <c r="G52" i="22" s="1"/>
  <c r="G3" i="22" s="1"/>
  <c r="M47" i="24"/>
  <c r="M55" i="24"/>
  <c r="M76" i="24"/>
  <c r="M77" i="24"/>
  <c r="M90" i="24"/>
  <c r="M91" i="24"/>
  <c r="V11" i="20"/>
  <c r="V15" i="20"/>
  <c r="Q15" i="20"/>
  <c r="Q13" i="20" s="1"/>
  <c r="V18" i="20"/>
  <c r="V42" i="20"/>
  <c r="V45" i="20"/>
  <c r="V46" i="20"/>
  <c r="V63" i="20"/>
  <c r="V68" i="20"/>
  <c r="V86" i="20"/>
  <c r="J85" i="20"/>
  <c r="N85" i="20"/>
  <c r="R85" i="20"/>
  <c r="V91" i="20"/>
  <c r="V96" i="20"/>
  <c r="V101" i="20"/>
  <c r="E8" i="22"/>
  <c r="J12" i="22"/>
  <c r="J23" i="22"/>
  <c r="J24" i="22"/>
  <c r="J28" i="22"/>
  <c r="J32" i="22"/>
  <c r="J40" i="22"/>
  <c r="J72" i="22"/>
  <c r="I52" i="22"/>
  <c r="I3" i="22" s="1"/>
  <c r="J77" i="22"/>
  <c r="F52" i="22"/>
  <c r="J91" i="22"/>
  <c r="J96" i="22"/>
  <c r="E8" i="24"/>
  <c r="M8" i="24" s="1"/>
  <c r="M18" i="24"/>
  <c r="M28" i="24"/>
  <c r="I4" i="24"/>
  <c r="I3" i="24" s="1"/>
  <c r="M29" i="24"/>
  <c r="M30" i="24"/>
  <c r="M45" i="24"/>
  <c r="M79" i="24"/>
  <c r="M82" i="24"/>
  <c r="M83" i="24"/>
  <c r="M93" i="24"/>
  <c r="N53" i="26"/>
  <c r="N52" i="26" s="1"/>
  <c r="N3" i="26" s="1"/>
  <c r="R53" i="26"/>
  <c r="R52" i="26" s="1"/>
  <c r="R3" i="26" s="1"/>
  <c r="F53" i="26"/>
  <c r="J53" i="26"/>
  <c r="H53" i="26"/>
  <c r="H52" i="26" s="1"/>
  <c r="H3" i="26" s="1"/>
  <c r="L53" i="26"/>
  <c r="P53" i="26"/>
  <c r="E53" i="26"/>
  <c r="I53" i="26"/>
  <c r="M53" i="26"/>
  <c r="M52" i="26" s="1"/>
  <c r="M3" i="26" s="1"/>
  <c r="Q53" i="26"/>
  <c r="G53" i="26"/>
  <c r="K53" i="26"/>
  <c r="O53" i="26"/>
  <c r="S70" i="26"/>
  <c r="S55" i="26"/>
  <c r="S65" i="26"/>
  <c r="S67" i="26"/>
  <c r="S54" i="26"/>
  <c r="S56" i="26"/>
  <c r="S58" i="26"/>
  <c r="S60" i="26"/>
  <c r="S64" i="26"/>
  <c r="S66" i="26"/>
  <c r="Q52" i="26"/>
  <c r="Q3" i="26" s="1"/>
  <c r="S57" i="26"/>
  <c r="S59" i="26"/>
  <c r="S61" i="26"/>
  <c r="S63" i="26"/>
  <c r="S68" i="26"/>
  <c r="S69" i="26"/>
  <c r="V9" i="31"/>
  <c r="S62" i="26"/>
  <c r="V6" i="31"/>
  <c r="V7" i="31"/>
  <c r="I39" i="47"/>
  <c r="J39" i="47" s="1"/>
  <c r="J8" i="47"/>
  <c r="I79" i="46"/>
  <c r="J79" i="46" s="1"/>
  <c r="I38" i="44"/>
  <c r="J38" i="44" s="1"/>
  <c r="J13" i="42"/>
  <c r="I90" i="42"/>
  <c r="J90" i="42" s="1"/>
  <c r="J41" i="41"/>
  <c r="I49" i="41"/>
  <c r="J49" i="41" s="1"/>
  <c r="I51" i="40"/>
  <c r="J51" i="40" s="1"/>
  <c r="J10" i="40"/>
  <c r="K52" i="24"/>
  <c r="K3" i="24" s="1"/>
  <c r="I85" i="24"/>
  <c r="I52" i="24"/>
  <c r="E27" i="24"/>
  <c r="E31" i="24"/>
  <c r="M31" i="24" s="1"/>
  <c r="E73" i="24"/>
  <c r="M73" i="24" s="1"/>
  <c r="E81" i="24"/>
  <c r="M81" i="24" s="1"/>
  <c r="E89" i="24"/>
  <c r="M89" i="24" s="1"/>
  <c r="G53" i="24"/>
  <c r="G52" i="24" s="1"/>
  <c r="G3" i="24" s="1"/>
  <c r="J79" i="22"/>
  <c r="J81" i="22"/>
  <c r="J53" i="22"/>
  <c r="J80" i="22"/>
  <c r="J82" i="22"/>
  <c r="J86" i="22"/>
  <c r="E71" i="22"/>
  <c r="J71" i="22" s="1"/>
  <c r="E73" i="22"/>
  <c r="J73" i="22" s="1"/>
  <c r="E75" i="22"/>
  <c r="J75" i="22" s="1"/>
  <c r="E89" i="22"/>
  <c r="V5" i="20"/>
  <c r="N52" i="20"/>
  <c r="R52" i="20"/>
  <c r="E81" i="20"/>
  <c r="V53" i="20"/>
  <c r="J52" i="20"/>
  <c r="I52" i="20"/>
  <c r="Q52" i="20"/>
  <c r="U52" i="20"/>
  <c r="V10" i="20"/>
  <c r="V47" i="20"/>
  <c r="H52" i="20"/>
  <c r="H3" i="20" s="1"/>
  <c r="P52" i="20"/>
  <c r="P3" i="20" s="1"/>
  <c r="T52" i="20"/>
  <c r="T3" i="20" s="1"/>
  <c r="E8" i="20"/>
  <c r="V16" i="20"/>
  <c r="F21" i="20"/>
  <c r="F20" i="20" s="1"/>
  <c r="J21" i="20"/>
  <c r="J20" i="20" s="1"/>
  <c r="N21" i="20"/>
  <c r="N20" i="20" s="1"/>
  <c r="R21" i="20"/>
  <c r="R20" i="20" s="1"/>
  <c r="F23" i="20"/>
  <c r="J23" i="20"/>
  <c r="N23" i="20"/>
  <c r="R23" i="20"/>
  <c r="L24" i="20"/>
  <c r="L22" i="20" s="1"/>
  <c r="L26" i="20"/>
  <c r="L25" i="20" s="1"/>
  <c r="L28" i="20"/>
  <c r="L27" i="20" s="1"/>
  <c r="L30" i="20"/>
  <c r="U47" i="20"/>
  <c r="U31" i="20" s="1"/>
  <c r="V31" i="20" s="1"/>
  <c r="E71" i="20"/>
  <c r="E73" i="20"/>
  <c r="V73" i="20" s="1"/>
  <c r="E75" i="20"/>
  <c r="V75" i="20" s="1"/>
  <c r="F79" i="20"/>
  <c r="V79" i="20" s="1"/>
  <c r="L82" i="20"/>
  <c r="L81" i="20" s="1"/>
  <c r="L52" i="20" s="1"/>
  <c r="E89" i="20"/>
  <c r="E21" i="20"/>
  <c r="I21" i="20"/>
  <c r="I20" i="20" s="1"/>
  <c r="M21" i="20"/>
  <c r="M20" i="20" s="1"/>
  <c r="Q21" i="20"/>
  <c r="Q20" i="20" s="1"/>
  <c r="U21" i="20"/>
  <c r="U20" i="20" s="1"/>
  <c r="E23" i="20"/>
  <c r="I23" i="20"/>
  <c r="M23" i="20"/>
  <c r="Q23" i="20"/>
  <c r="U23" i="20"/>
  <c r="G24" i="20"/>
  <c r="G22" i="20" s="1"/>
  <c r="K24" i="20"/>
  <c r="K22" i="20" s="1"/>
  <c r="O24" i="20"/>
  <c r="O22" i="20" s="1"/>
  <c r="S24" i="20"/>
  <c r="S22" i="20" s="1"/>
  <c r="G26" i="20"/>
  <c r="G25" i="20" s="1"/>
  <c r="K26" i="20"/>
  <c r="K25" i="20" s="1"/>
  <c r="O26" i="20"/>
  <c r="O25" i="20" s="1"/>
  <c r="S26" i="20"/>
  <c r="S25" i="20" s="1"/>
  <c r="G28" i="20"/>
  <c r="G27" i="20" s="1"/>
  <c r="K28" i="20"/>
  <c r="K27" i="20" s="1"/>
  <c r="O28" i="20"/>
  <c r="O27" i="20" s="1"/>
  <c r="S28" i="20"/>
  <c r="S27" i="20" s="1"/>
  <c r="G30" i="20"/>
  <c r="K30" i="20"/>
  <c r="O30" i="20"/>
  <c r="S30" i="20"/>
  <c r="G82" i="20"/>
  <c r="G81" i="20" s="1"/>
  <c r="G52" i="20" s="1"/>
  <c r="K82" i="20"/>
  <c r="K81" i="20" s="1"/>
  <c r="K52" i="20" s="1"/>
  <c r="O82" i="20"/>
  <c r="O81" i="20" s="1"/>
  <c r="O52" i="20" s="1"/>
  <c r="S82" i="20"/>
  <c r="S81" i="20" s="1"/>
  <c r="S52" i="20" s="1"/>
  <c r="F85" i="20"/>
  <c r="L21" i="20"/>
  <c r="L20" i="20" s="1"/>
  <c r="F24" i="20"/>
  <c r="J24" i="20"/>
  <c r="N24" i="20"/>
  <c r="R24" i="20"/>
  <c r="F26" i="20"/>
  <c r="F25" i="20" s="1"/>
  <c r="J26" i="20"/>
  <c r="J25" i="20" s="1"/>
  <c r="N26" i="20"/>
  <c r="N25" i="20" s="1"/>
  <c r="R26" i="20"/>
  <c r="R25" i="20" s="1"/>
  <c r="F28" i="20"/>
  <c r="F27" i="20" s="1"/>
  <c r="J28" i="20"/>
  <c r="J27" i="20" s="1"/>
  <c r="N28" i="20"/>
  <c r="N27" i="20" s="1"/>
  <c r="R28" i="20"/>
  <c r="R27" i="20" s="1"/>
  <c r="F30" i="20"/>
  <c r="J30" i="20"/>
  <c r="N30" i="20"/>
  <c r="R30" i="20"/>
  <c r="G21" i="20"/>
  <c r="G20" i="20" s="1"/>
  <c r="K21" i="20"/>
  <c r="K20" i="20" s="1"/>
  <c r="O21" i="20"/>
  <c r="O20" i="20" s="1"/>
  <c r="S21" i="20"/>
  <c r="S20" i="20" s="1"/>
  <c r="E24" i="20"/>
  <c r="I24" i="20"/>
  <c r="M24" i="20"/>
  <c r="Q24" i="20"/>
  <c r="U24" i="20"/>
  <c r="E26" i="20"/>
  <c r="I26" i="20"/>
  <c r="I25" i="20" s="1"/>
  <c r="M26" i="20"/>
  <c r="M25" i="20" s="1"/>
  <c r="Q26" i="20"/>
  <c r="Q25" i="20" s="1"/>
  <c r="U26" i="20"/>
  <c r="U25" i="20" s="1"/>
  <c r="E28" i="20"/>
  <c r="I28" i="20"/>
  <c r="I27" i="20" s="1"/>
  <c r="M28" i="20"/>
  <c r="M27" i="20" s="1"/>
  <c r="Q28" i="20"/>
  <c r="Q27" i="20" s="1"/>
  <c r="U28" i="20"/>
  <c r="U27" i="20" s="1"/>
  <c r="E30" i="20"/>
  <c r="I30" i="20"/>
  <c r="M30" i="20"/>
  <c r="Q30" i="20"/>
  <c r="U30" i="20"/>
  <c r="W71" i="25"/>
  <c r="J52" i="25"/>
  <c r="J3" i="25" s="1"/>
  <c r="N52" i="25"/>
  <c r="N3" i="25" s="1"/>
  <c r="R52" i="25"/>
  <c r="R3" i="25" s="1"/>
  <c r="V52" i="25"/>
  <c r="V3" i="25" s="1"/>
  <c r="T52" i="25"/>
  <c r="T3" i="25" s="1"/>
  <c r="H85" i="25"/>
  <c r="W85" i="25" s="1"/>
  <c r="L85" i="25"/>
  <c r="L52" i="25" s="1"/>
  <c r="L3" i="25" s="1"/>
  <c r="P85" i="25"/>
  <c r="P52" i="25" s="1"/>
  <c r="P3" i="25" s="1"/>
  <c r="W73" i="25"/>
  <c r="W89" i="25"/>
  <c r="F73" i="25"/>
  <c r="F52" i="25" s="1"/>
  <c r="F3" i="25" s="1"/>
  <c r="F81" i="25"/>
  <c r="W81" i="25" s="1"/>
  <c r="E31" i="31"/>
  <c r="V40" i="31"/>
  <c r="V5" i="31"/>
  <c r="I4" i="31"/>
  <c r="M4" i="31"/>
  <c r="R4" i="31"/>
  <c r="R3" i="31" s="1"/>
  <c r="V13" i="31"/>
  <c r="M52" i="31"/>
  <c r="V75" i="31"/>
  <c r="O52" i="31"/>
  <c r="O3" i="31" s="1"/>
  <c r="S52" i="31"/>
  <c r="H85" i="31"/>
  <c r="V89" i="31"/>
  <c r="V79" i="31"/>
  <c r="V26" i="31"/>
  <c r="H52" i="31"/>
  <c r="U52" i="31"/>
  <c r="U3" i="31" s="1"/>
  <c r="V80" i="31"/>
  <c r="V81" i="31"/>
  <c r="E8" i="31"/>
  <c r="P4" i="31"/>
  <c r="P52" i="31"/>
  <c r="F10" i="31"/>
  <c r="F8" i="31" s="1"/>
  <c r="G24" i="31"/>
  <c r="E25" i="31"/>
  <c r="G26" i="31"/>
  <c r="G25" i="31" s="1"/>
  <c r="E27" i="31"/>
  <c r="G28" i="31"/>
  <c r="G27" i="31" s="1"/>
  <c r="L47" i="31"/>
  <c r="L31" i="31" s="1"/>
  <c r="E71" i="31"/>
  <c r="E73" i="31"/>
  <c r="V73" i="31" s="1"/>
  <c r="F20" i="31"/>
  <c r="F22" i="31"/>
  <c r="L23" i="31"/>
  <c r="L82" i="31"/>
  <c r="L81" i="31" s="1"/>
  <c r="L52" i="31" s="1"/>
  <c r="G21" i="31"/>
  <c r="G20" i="31" s="1"/>
  <c r="G23" i="31"/>
  <c r="L30" i="31"/>
  <c r="V30" i="31" s="1"/>
  <c r="G82" i="31"/>
  <c r="G81" i="31" s="1"/>
  <c r="G52" i="31" s="1"/>
  <c r="L24" i="31"/>
  <c r="V24" i="31" s="1"/>
  <c r="L26" i="31"/>
  <c r="L25" i="31" s="1"/>
  <c r="L5" i="21"/>
  <c r="G52" i="21"/>
  <c r="G3" i="21" s="1"/>
  <c r="K3" i="21"/>
  <c r="L30" i="21"/>
  <c r="J52" i="21"/>
  <c r="L85" i="21"/>
  <c r="L8" i="21"/>
  <c r="E31" i="21"/>
  <c r="L46" i="21"/>
  <c r="H80" i="21"/>
  <c r="H79" i="21" s="1"/>
  <c r="L79" i="21" s="1"/>
  <c r="H82" i="21"/>
  <c r="H81" i="21" s="1"/>
  <c r="L81" i="21" s="1"/>
  <c r="L6" i="21"/>
  <c r="L9" i="21"/>
  <c r="H21" i="21"/>
  <c r="H20" i="21" s="1"/>
  <c r="H23" i="21"/>
  <c r="H22" i="21" s="1"/>
  <c r="L22" i="21" s="1"/>
  <c r="H24" i="21"/>
  <c r="L24" i="21" s="1"/>
  <c r="H26" i="21"/>
  <c r="H25" i="21" s="1"/>
  <c r="L25" i="21" s="1"/>
  <c r="H28" i="21"/>
  <c r="H27" i="21" s="1"/>
  <c r="L27" i="21" s="1"/>
  <c r="H31" i="21"/>
  <c r="F52" i="21"/>
  <c r="F3" i="21" s="1"/>
  <c r="H72" i="21"/>
  <c r="H71" i="21" s="1"/>
  <c r="H52" i="21" s="1"/>
  <c r="E81" i="26"/>
  <c r="S5" i="26"/>
  <c r="G85" i="26"/>
  <c r="K85" i="26"/>
  <c r="O85" i="26"/>
  <c r="S45" i="26"/>
  <c r="S31" i="26"/>
  <c r="I52" i="26"/>
  <c r="G21" i="26"/>
  <c r="G20" i="26" s="1"/>
  <c r="K21" i="26"/>
  <c r="K20" i="26" s="1"/>
  <c r="O21" i="26"/>
  <c r="O20" i="26" s="1"/>
  <c r="E23" i="26"/>
  <c r="I23" i="26"/>
  <c r="F24" i="26"/>
  <c r="F22" i="26" s="1"/>
  <c r="J24" i="26"/>
  <c r="J22" i="26" s="1"/>
  <c r="L26" i="26"/>
  <c r="L25" i="26" s="1"/>
  <c r="P26" i="26"/>
  <c r="P25" i="26" s="1"/>
  <c r="F28" i="26"/>
  <c r="F27" i="26" s="1"/>
  <c r="J28" i="26"/>
  <c r="J27" i="26" s="1"/>
  <c r="L30" i="26"/>
  <c r="P30" i="26"/>
  <c r="G71" i="26"/>
  <c r="E73" i="26"/>
  <c r="E79" i="26"/>
  <c r="S79" i="26" s="1"/>
  <c r="L82" i="26"/>
  <c r="L81" i="26" s="1"/>
  <c r="P82" i="26"/>
  <c r="P81" i="26" s="1"/>
  <c r="P52" i="26" s="1"/>
  <c r="E85" i="26"/>
  <c r="E89" i="26"/>
  <c r="S89" i="26" s="1"/>
  <c r="K101" i="26"/>
  <c r="S101" i="26" s="1"/>
  <c r="F21" i="26"/>
  <c r="F20" i="26" s="1"/>
  <c r="J21" i="26"/>
  <c r="J20" i="26" s="1"/>
  <c r="L23" i="26"/>
  <c r="P23" i="26"/>
  <c r="E24" i="26"/>
  <c r="I24" i="26"/>
  <c r="G26" i="26"/>
  <c r="G25" i="26" s="1"/>
  <c r="K26" i="26"/>
  <c r="K25" i="26" s="1"/>
  <c r="O26" i="26"/>
  <c r="O25" i="26" s="1"/>
  <c r="E28" i="26"/>
  <c r="I28" i="26"/>
  <c r="I27" i="26" s="1"/>
  <c r="G30" i="26"/>
  <c r="K30" i="26"/>
  <c r="O30" i="26"/>
  <c r="S76" i="26"/>
  <c r="G82" i="26"/>
  <c r="G81" i="26" s="1"/>
  <c r="K82" i="26"/>
  <c r="K81" i="26" s="1"/>
  <c r="O82" i="26"/>
  <c r="O81" i="26" s="1"/>
  <c r="E21" i="26"/>
  <c r="I21" i="26"/>
  <c r="I20" i="26" s="1"/>
  <c r="G23" i="26"/>
  <c r="K23" i="26"/>
  <c r="O23" i="26"/>
  <c r="L24" i="26"/>
  <c r="P24" i="26"/>
  <c r="F26" i="26"/>
  <c r="F25" i="26" s="1"/>
  <c r="J26" i="26"/>
  <c r="J25" i="26" s="1"/>
  <c r="L28" i="26"/>
  <c r="L27" i="26" s="1"/>
  <c r="P28" i="26"/>
  <c r="P27" i="26" s="1"/>
  <c r="F30" i="26"/>
  <c r="J30" i="26"/>
  <c r="F82" i="26"/>
  <c r="F81" i="26" s="1"/>
  <c r="F52" i="26" s="1"/>
  <c r="J82" i="26"/>
  <c r="J81" i="26" s="1"/>
  <c r="J52" i="26" s="1"/>
  <c r="E15" i="26"/>
  <c r="S16" i="26"/>
  <c r="G24" i="26"/>
  <c r="K24" i="26"/>
  <c r="O24" i="26"/>
  <c r="E26" i="26"/>
  <c r="I26" i="26"/>
  <c r="I25" i="26" s="1"/>
  <c r="E30" i="26"/>
  <c r="I30" i="26"/>
  <c r="X5" i="32"/>
  <c r="AC5" i="32" s="1"/>
  <c r="I4" i="32"/>
  <c r="I7" i="32" s="1"/>
  <c r="K5" i="32"/>
  <c r="P5" i="32" s="1"/>
  <c r="V6" i="32"/>
  <c r="V4" i="32"/>
  <c r="T3" i="32"/>
  <c r="X3" i="32" s="1"/>
  <c r="AC3" i="32" s="1"/>
  <c r="I6" i="32"/>
  <c r="K3" i="32"/>
  <c r="P3" i="32" s="1"/>
  <c r="W6" i="32"/>
  <c r="G4" i="32"/>
  <c r="G7" i="32" s="1"/>
  <c r="T6" i="32"/>
  <c r="AD5" i="32"/>
  <c r="J4" i="32"/>
  <c r="W4" i="32"/>
  <c r="W7" i="32" s="1"/>
  <c r="G6" i="32"/>
  <c r="S6" i="32"/>
  <c r="J6" i="32"/>
  <c r="V85" i="31" l="1"/>
  <c r="I52" i="31"/>
  <c r="J7" i="32"/>
  <c r="V7" i="32"/>
  <c r="L22" i="26"/>
  <c r="L4" i="26" s="1"/>
  <c r="H4" i="21"/>
  <c r="L82" i="21"/>
  <c r="G22" i="31"/>
  <c r="V25" i="31"/>
  <c r="W10" i="25"/>
  <c r="E8" i="25"/>
  <c r="V29" i="31"/>
  <c r="I13" i="26"/>
  <c r="G4" i="31"/>
  <c r="G3" i="31" s="1"/>
  <c r="O4" i="20"/>
  <c r="O3" i="20" s="1"/>
  <c r="J8" i="22"/>
  <c r="E4" i="22"/>
  <c r="F4" i="22"/>
  <c r="F3" i="22" s="1"/>
  <c r="T3" i="31"/>
  <c r="K4" i="31"/>
  <c r="K3" i="31" s="1"/>
  <c r="S14" i="26"/>
  <c r="S30" i="26"/>
  <c r="G22" i="26"/>
  <c r="G4" i="26" s="1"/>
  <c r="G3" i="26" s="1"/>
  <c r="K52" i="26"/>
  <c r="G52" i="26"/>
  <c r="L23" i="21"/>
  <c r="V27" i="31"/>
  <c r="F4" i="31"/>
  <c r="F3" i="31" s="1"/>
  <c r="K4" i="20"/>
  <c r="U22" i="20"/>
  <c r="F52" i="20"/>
  <c r="L14" i="21"/>
  <c r="L80" i="21"/>
  <c r="P3" i="31"/>
  <c r="G4" i="20"/>
  <c r="G3" i="20" s="1"/>
  <c r="U13" i="20"/>
  <c r="V13" i="20" s="1"/>
  <c r="V53" i="31"/>
  <c r="S4" i="31"/>
  <c r="S3" i="31" s="1"/>
  <c r="L52" i="26"/>
  <c r="L3" i="26" s="1"/>
  <c r="O52" i="26"/>
  <c r="S53" i="26"/>
  <c r="M53" i="24"/>
  <c r="E4" i="24"/>
  <c r="M27" i="24"/>
  <c r="E85" i="24"/>
  <c r="J89" i="22"/>
  <c r="E85" i="22"/>
  <c r="J85" i="22" s="1"/>
  <c r="V26" i="20"/>
  <c r="E25" i="20"/>
  <c r="V25" i="20" s="1"/>
  <c r="E22" i="20"/>
  <c r="V23" i="20"/>
  <c r="V89" i="20"/>
  <c r="E85" i="20"/>
  <c r="V85" i="20" s="1"/>
  <c r="E20" i="20"/>
  <c r="V20" i="20" s="1"/>
  <c r="V21" i="20"/>
  <c r="V30" i="20"/>
  <c r="S4" i="20"/>
  <c r="S3" i="20" s="1"/>
  <c r="L4" i="20"/>
  <c r="L3" i="20" s="1"/>
  <c r="M22" i="20"/>
  <c r="V81" i="20"/>
  <c r="V24" i="20"/>
  <c r="Q22" i="20"/>
  <c r="Q4" i="20" s="1"/>
  <c r="Q3" i="20" s="1"/>
  <c r="F22" i="20"/>
  <c r="F4" i="20"/>
  <c r="F3" i="20" s="1"/>
  <c r="V28" i="20"/>
  <c r="E27" i="20"/>
  <c r="V27" i="20" s="1"/>
  <c r="V71" i="20"/>
  <c r="E52" i="20"/>
  <c r="V52" i="20" s="1"/>
  <c r="V8" i="20"/>
  <c r="J22" i="20"/>
  <c r="J4" i="20" s="1"/>
  <c r="J3" i="20" s="1"/>
  <c r="I22" i="20"/>
  <c r="I4" i="20" s="1"/>
  <c r="I3" i="20" s="1"/>
  <c r="M4" i="20"/>
  <c r="M3" i="20" s="1"/>
  <c r="N22" i="20"/>
  <c r="N4" i="20"/>
  <c r="N3" i="20" s="1"/>
  <c r="V82" i="20"/>
  <c r="K3" i="20"/>
  <c r="R22" i="20"/>
  <c r="R4" i="20" s="1"/>
  <c r="R3" i="20" s="1"/>
  <c r="H52" i="25"/>
  <c r="H3" i="25" s="1"/>
  <c r="V71" i="31"/>
  <c r="E52" i="31"/>
  <c r="V52" i="31" s="1"/>
  <c r="V47" i="31"/>
  <c r="V20" i="31"/>
  <c r="V10" i="31"/>
  <c r="V21" i="31"/>
  <c r="V82" i="31"/>
  <c r="I3" i="31"/>
  <c r="E4" i="31"/>
  <c r="V28" i="31"/>
  <c r="V8" i="31"/>
  <c r="V23" i="31"/>
  <c r="M3" i="31"/>
  <c r="V31" i="31"/>
  <c r="L22" i="31"/>
  <c r="L4" i="31" s="1"/>
  <c r="L3" i="31" s="1"/>
  <c r="H3" i="21"/>
  <c r="L4" i="21"/>
  <c r="E3" i="21"/>
  <c r="L3" i="21" s="1"/>
  <c r="L31" i="21"/>
  <c r="L26" i="21"/>
  <c r="L71" i="21"/>
  <c r="L28" i="21"/>
  <c r="L20" i="21"/>
  <c r="L21" i="21"/>
  <c r="L72" i="21"/>
  <c r="L52" i="21"/>
  <c r="S15" i="26"/>
  <c r="E13" i="26"/>
  <c r="S28" i="26"/>
  <c r="E27" i="26"/>
  <c r="S27" i="26" s="1"/>
  <c r="S73" i="26"/>
  <c r="E52" i="26"/>
  <c r="E25" i="26"/>
  <c r="S25" i="26" s="1"/>
  <c r="S26" i="26"/>
  <c r="E20" i="26"/>
  <c r="S20" i="26" s="1"/>
  <c r="S21" i="26"/>
  <c r="E22" i="26"/>
  <c r="S23" i="26"/>
  <c r="S24" i="26"/>
  <c r="K22" i="26"/>
  <c r="K4" i="26" s="1"/>
  <c r="K3" i="26" s="1"/>
  <c r="J4" i="26"/>
  <c r="J3" i="26" s="1"/>
  <c r="S85" i="26"/>
  <c r="O22" i="26"/>
  <c r="O4" i="26" s="1"/>
  <c r="O3" i="26" s="1"/>
  <c r="P22" i="26"/>
  <c r="P4" i="26" s="1"/>
  <c r="P3" i="26" s="1"/>
  <c r="I22" i="26"/>
  <c r="I4" i="26" s="1"/>
  <c r="I3" i="26" s="1"/>
  <c r="S71" i="26"/>
  <c r="S81" i="26"/>
  <c r="F4" i="26"/>
  <c r="F3" i="26" s="1"/>
  <c r="S82" i="26"/>
  <c r="T4" i="32"/>
  <c r="T7" i="32" s="1"/>
  <c r="AD3" i="32"/>
  <c r="K4" i="32"/>
  <c r="AC6" i="32"/>
  <c r="X6" i="32"/>
  <c r="AC4" i="32"/>
  <c r="X4" i="32"/>
  <c r="W8" i="25" l="1"/>
  <c r="E4" i="25"/>
  <c r="U4" i="20"/>
  <c r="U3" i="20" s="1"/>
  <c r="J4" i="22"/>
  <c r="X7" i="32"/>
  <c r="AC7" i="32"/>
  <c r="S52" i="26"/>
  <c r="M4" i="24"/>
  <c r="M85" i="24"/>
  <c r="E52" i="24"/>
  <c r="M52" i="24" s="1"/>
  <c r="E52" i="22"/>
  <c r="V22" i="20"/>
  <c r="E4" i="20"/>
  <c r="W52" i="25"/>
  <c r="V22" i="31"/>
  <c r="V4" i="31"/>
  <c r="E3" i="31"/>
  <c r="V3" i="31" s="1"/>
  <c r="S13" i="26"/>
  <c r="E4" i="26"/>
  <c r="S22" i="26"/>
  <c r="K6" i="32"/>
  <c r="K7" i="32" s="1"/>
  <c r="P4" i="32"/>
  <c r="AD4" i="32"/>
  <c r="W4" i="25" l="1"/>
  <c r="E3" i="25"/>
  <c r="W3" i="25" s="1"/>
  <c r="E3" i="24"/>
  <c r="M3" i="24" s="1"/>
  <c r="J52" i="22"/>
  <c r="E3" i="22"/>
  <c r="J3" i="22" s="1"/>
  <c r="V4" i="20"/>
  <c r="E3" i="20"/>
  <c r="V3" i="20" s="1"/>
  <c r="E3" i="26"/>
  <c r="S3" i="26" s="1"/>
  <c r="S4" i="26"/>
  <c r="AD6" i="32"/>
  <c r="AD7" i="32" s="1"/>
  <c r="P6" i="32"/>
  <c r="P7" i="32" s="1"/>
  <c r="F111" i="30" l="1"/>
  <c r="G111" i="30"/>
  <c r="H111" i="30"/>
  <c r="I111" i="30"/>
  <c r="J111" i="30"/>
  <c r="K111" i="30"/>
  <c r="L111" i="30"/>
  <c r="M111" i="30"/>
  <c r="E111" i="30"/>
  <c r="F110" i="30"/>
  <c r="G110" i="30"/>
  <c r="H110" i="30"/>
  <c r="I110" i="30"/>
  <c r="J110" i="30"/>
  <c r="K110" i="30"/>
  <c r="L110" i="30"/>
  <c r="M110" i="30"/>
  <c r="E110" i="30"/>
  <c r="N109" i="30" l="1"/>
  <c r="N108" i="30"/>
  <c r="N107" i="30"/>
  <c r="N106" i="30"/>
  <c r="N105" i="30"/>
  <c r="N104" i="30"/>
  <c r="N103" i="30"/>
  <c r="N102" i="30"/>
  <c r="N100" i="30"/>
  <c r="N99" i="30"/>
  <c r="N98" i="30"/>
  <c r="N97" i="30"/>
  <c r="N96" i="30"/>
  <c r="N95" i="30"/>
  <c r="N94" i="30"/>
  <c r="N92" i="30"/>
  <c r="N88" i="30"/>
  <c r="N87" i="30"/>
  <c r="N84" i="30"/>
  <c r="N83" i="30"/>
  <c r="N79" i="30"/>
  <c r="N78" i="30"/>
  <c r="N70" i="30"/>
  <c r="N69" i="30"/>
  <c r="N68" i="30"/>
  <c r="N67" i="30"/>
  <c r="N66" i="30"/>
  <c r="N65" i="30"/>
  <c r="N64" i="30"/>
  <c r="N63" i="30"/>
  <c r="N62" i="30"/>
  <c r="N61" i="30"/>
  <c r="N60" i="30"/>
  <c r="N59" i="30"/>
  <c r="N58" i="30"/>
  <c r="N57" i="30"/>
  <c r="N56" i="30"/>
  <c r="N55" i="30"/>
  <c r="N53" i="30"/>
  <c r="N51" i="30"/>
  <c r="N50" i="30"/>
  <c r="N49" i="30"/>
  <c r="N48" i="30"/>
  <c r="N46" i="30"/>
  <c r="N44" i="30"/>
  <c r="N43" i="30"/>
  <c r="N41" i="30"/>
  <c r="N39" i="30"/>
  <c r="N38" i="30"/>
  <c r="N37" i="30"/>
  <c r="N36" i="30"/>
  <c r="N35" i="30"/>
  <c r="N34" i="30"/>
  <c r="N33" i="30"/>
  <c r="N32" i="30"/>
  <c r="N29" i="30"/>
  <c r="P29" i="30" s="1"/>
  <c r="N19" i="30"/>
  <c r="P19" i="30" s="1"/>
  <c r="N17" i="30"/>
  <c r="P17" i="30" s="1"/>
  <c r="N15" i="30"/>
  <c r="P15" i="30" s="1"/>
  <c r="N11" i="30"/>
  <c r="P11" i="30" s="1"/>
  <c r="N9" i="30"/>
  <c r="P9" i="30" s="1"/>
  <c r="N7" i="30"/>
  <c r="P7" i="30" s="1"/>
  <c r="N6" i="30"/>
  <c r="P6" i="30" s="1"/>
  <c r="D119" i="17"/>
  <c r="G118" i="17"/>
  <c r="G117" i="17"/>
  <c r="G116" i="17"/>
  <c r="G115" i="17"/>
  <c r="G114" i="17"/>
  <c r="G113" i="17"/>
  <c r="G112" i="17"/>
  <c r="G111" i="17"/>
  <c r="G110" i="17"/>
  <c r="G109" i="17"/>
  <c r="D108" i="17"/>
  <c r="G107" i="17"/>
  <c r="G106" i="17"/>
  <c r="G105" i="17"/>
  <c r="G104" i="17"/>
  <c r="G103" i="17"/>
  <c r="G102" i="17"/>
  <c r="G101" i="17"/>
  <c r="G100" i="17"/>
  <c r="G99" i="17"/>
  <c r="G98" i="17"/>
  <c r="G97" i="17"/>
  <c r="G96" i="17"/>
  <c r="G95" i="17"/>
  <c r="G94" i="17"/>
  <c r="D93" i="17"/>
  <c r="G92" i="17"/>
  <c r="G91" i="17"/>
  <c r="G90" i="17"/>
  <c r="G89" i="17"/>
  <c r="G88" i="17"/>
  <c r="G87" i="17"/>
  <c r="G86" i="17"/>
  <c r="G85" i="17"/>
  <c r="D84" i="17"/>
  <c r="G83" i="17"/>
  <c r="G82" i="17"/>
  <c r="G81" i="17"/>
  <c r="G80" i="17"/>
  <c r="G79" i="17"/>
  <c r="G78" i="17"/>
  <c r="G77" i="17"/>
  <c r="G76" i="17"/>
  <c r="G75" i="17"/>
  <c r="G74" i="17"/>
  <c r="G73" i="17"/>
  <c r="G72" i="17"/>
  <c r="G84" i="17" s="1"/>
  <c r="D71" i="17"/>
  <c r="G70" i="17"/>
  <c r="G69" i="17"/>
  <c r="G68" i="17"/>
  <c r="G67" i="17"/>
  <c r="G66" i="17"/>
  <c r="G65" i="17"/>
  <c r="G64" i="17"/>
  <c r="G63" i="17"/>
  <c r="G62" i="17"/>
  <c r="G61" i="17"/>
  <c r="G60" i="17"/>
  <c r="G59" i="17"/>
  <c r="G58" i="17"/>
  <c r="G57" i="17"/>
  <c r="G56" i="17"/>
  <c r="G55" i="17"/>
  <c r="G54" i="17"/>
  <c r="G53" i="17"/>
  <c r="D52" i="17"/>
  <c r="G51" i="17"/>
  <c r="G50" i="17"/>
  <c r="G49" i="17"/>
  <c r="G48" i="17"/>
  <c r="G47" i="17"/>
  <c r="G46" i="17"/>
  <c r="G45" i="17"/>
  <c r="G44" i="17"/>
  <c r="G43" i="17"/>
  <c r="G42" i="17"/>
  <c r="G41" i="17"/>
  <c r="G40" i="17"/>
  <c r="G39" i="17"/>
  <c r="G38" i="17"/>
  <c r="G37" i="17"/>
  <c r="G36" i="17"/>
  <c r="G35" i="17"/>
  <c r="D34" i="17"/>
  <c r="G33" i="17"/>
  <c r="G32" i="17"/>
  <c r="G31" i="17"/>
  <c r="G30" i="17"/>
  <c r="G29" i="17"/>
  <c r="G28" i="17"/>
  <c r="G27" i="17"/>
  <c r="G26" i="17"/>
  <c r="G25" i="17"/>
  <c r="G24" i="17"/>
  <c r="G23" i="17"/>
  <c r="G22" i="17"/>
  <c r="G21" i="17"/>
  <c r="G20" i="17"/>
  <c r="G19" i="17"/>
  <c r="G18" i="17"/>
  <c r="G17" i="17"/>
  <c r="D16" i="17"/>
  <c r="G15" i="17"/>
  <c r="G14" i="17"/>
  <c r="G13" i="17"/>
  <c r="G12" i="17"/>
  <c r="G11" i="17"/>
  <c r="G10" i="17"/>
  <c r="G9" i="17"/>
  <c r="D8" i="17"/>
  <c r="G7" i="17"/>
  <c r="G6" i="17"/>
  <c r="G5" i="17"/>
  <c r="G4" i="17"/>
  <c r="G3" i="17"/>
  <c r="G8" i="17" l="1"/>
  <c r="G34" i="17"/>
  <c r="D120" i="17"/>
  <c r="G16" i="17"/>
  <c r="G52" i="17"/>
  <c r="G71" i="17"/>
  <c r="G119" i="17"/>
  <c r="G93" i="17"/>
  <c r="G108" i="17"/>
  <c r="N12" i="30"/>
  <c r="P12" i="30" s="1"/>
  <c r="N31" i="30"/>
  <c r="P31" i="30" s="1"/>
  <c r="N45" i="30"/>
  <c r="N74" i="30"/>
  <c r="N76" i="30"/>
  <c r="N89" i="30"/>
  <c r="N93" i="30"/>
  <c r="N101" i="30"/>
  <c r="N40" i="30"/>
  <c r="N47" i="30"/>
  <c r="N54" i="30"/>
  <c r="N86" i="30"/>
  <c r="N80" i="30"/>
  <c r="N91" i="30"/>
  <c r="N5" i="30"/>
  <c r="P5" i="30" s="1"/>
  <c r="N14" i="30"/>
  <c r="P14" i="30" s="1"/>
  <c r="N18" i="30"/>
  <c r="P18" i="30" s="1"/>
  <c r="N42" i="30"/>
  <c r="N75" i="30"/>
  <c r="N77" i="30"/>
  <c r="N90" i="30"/>
  <c r="N27" i="30"/>
  <c r="P27" i="30" s="1"/>
  <c r="N82" i="30"/>
  <c r="N73" i="30"/>
  <c r="N81" i="30"/>
  <c r="N24" i="30"/>
  <c r="P24" i="30" s="1"/>
  <c r="N25" i="30"/>
  <c r="P25" i="30" s="1"/>
  <c r="N13" i="30"/>
  <c r="P13" i="30" s="1"/>
  <c r="N16" i="30"/>
  <c r="P16" i="30" s="1"/>
  <c r="N30" i="30"/>
  <c r="P30" i="30" s="1"/>
  <c r="N20" i="30"/>
  <c r="P20" i="30" s="1"/>
  <c r="G120" i="17"/>
  <c r="N22" i="30" l="1"/>
  <c r="P22" i="30" s="1"/>
  <c r="N72" i="30"/>
  <c r="N23" i="30"/>
  <c r="P23" i="30" s="1"/>
  <c r="N85" i="30"/>
  <c r="N21" i="30"/>
  <c r="P21" i="30" s="1"/>
  <c r="N28" i="30"/>
  <c r="P28" i="30" s="1"/>
  <c r="N26" i="30"/>
  <c r="P26" i="30" s="1"/>
  <c r="N10" i="30"/>
  <c r="P10" i="30" s="1"/>
  <c r="N71" i="30" l="1"/>
  <c r="N52" i="30"/>
  <c r="P52" i="30" s="1"/>
  <c r="N8" i="30"/>
  <c r="N110" i="30" l="1"/>
  <c r="P8" i="30"/>
  <c r="N3" i="30"/>
  <c r="P3" i="30" s="1"/>
  <c r="N4" i="30"/>
  <c r="N111" i="30" l="1"/>
  <c r="P4" i="30"/>
  <c r="C13" i="3"/>
  <c r="B13" i="2"/>
  <c r="C12" i="2"/>
  <c r="C11" i="2"/>
  <c r="C10" i="2"/>
  <c r="C9" i="2"/>
  <c r="C8" i="2"/>
  <c r="C7" i="2"/>
  <c r="C6" i="2"/>
  <c r="C5" i="2"/>
  <c r="C4" i="2"/>
  <c r="C3" i="2"/>
  <c r="C13" i="2" l="1"/>
</calcChain>
</file>

<file path=xl/comments1.xml><?xml version="1.0" encoding="utf-8"?>
<comments xmlns="http://schemas.openxmlformats.org/spreadsheetml/2006/main">
  <authors>
    <author>User</author>
  </authors>
  <commentList>
    <comment ref="J68" authorId="0">
      <text>
        <r>
          <rPr>
            <b/>
            <sz val="9"/>
            <rFont val="宋体"/>
            <family val="3"/>
            <charset val="134"/>
          </rPr>
          <t>User:</t>
        </r>
        <r>
          <rPr>
            <sz val="9"/>
            <rFont val="宋体"/>
            <family val="3"/>
            <charset val="134"/>
          </rPr>
          <t xml:space="preserve">
1596000*15%</t>
        </r>
      </text>
    </comment>
  </commentList>
</comments>
</file>

<file path=xl/sharedStrings.xml><?xml version="1.0" encoding="utf-8"?>
<sst xmlns="http://schemas.openxmlformats.org/spreadsheetml/2006/main" count="13976" uniqueCount="3593">
  <si>
    <t>序号</t>
  </si>
  <si>
    <t>莘庄</t>
  </si>
  <si>
    <t>华漕</t>
  </si>
  <si>
    <t>合计</t>
    <phoneticPr fontId="1" type="noConversion"/>
  </si>
  <si>
    <t>镇属</t>
    <phoneticPr fontId="1" type="noConversion"/>
  </si>
  <si>
    <t>吴泾</t>
  </si>
  <si>
    <t>七宝</t>
  </si>
  <si>
    <t>浦江</t>
  </si>
  <si>
    <t>梅陇</t>
  </si>
  <si>
    <t>马桥</t>
  </si>
  <si>
    <t>颛桥</t>
  </si>
  <si>
    <t>虹桥</t>
  </si>
  <si>
    <t>工业区</t>
  </si>
  <si>
    <t>序号</t>
    <phoneticPr fontId="2" type="noConversion"/>
  </si>
  <si>
    <t>华漕镇社区学校</t>
    <phoneticPr fontId="2" type="noConversion"/>
  </si>
  <si>
    <t>虹桥镇社区学校</t>
    <phoneticPr fontId="2" type="noConversion"/>
  </si>
  <si>
    <t>七宝镇社区学校</t>
    <phoneticPr fontId="2" type="noConversion"/>
  </si>
  <si>
    <t>莘庄镇社区学校</t>
    <phoneticPr fontId="2" type="noConversion"/>
  </si>
  <si>
    <t>梅陇镇社区学校</t>
    <phoneticPr fontId="2" type="noConversion"/>
  </si>
  <si>
    <t>颛桥镇社区学校</t>
    <phoneticPr fontId="2" type="noConversion"/>
  </si>
  <si>
    <t>马桥镇社区学校</t>
    <phoneticPr fontId="2" type="noConversion"/>
  </si>
  <si>
    <t>吴泾镇社区学校</t>
    <phoneticPr fontId="2" type="noConversion"/>
  </si>
  <si>
    <t>浦江镇社区学校</t>
    <phoneticPr fontId="2" type="noConversion"/>
  </si>
  <si>
    <t>莘庄工业区社区学校</t>
    <phoneticPr fontId="2" type="noConversion"/>
  </si>
  <si>
    <t>镇级合计</t>
    <phoneticPr fontId="2" type="noConversion"/>
  </si>
  <si>
    <t>合计</t>
  </si>
  <si>
    <t>佳佳中心幼</t>
  </si>
  <si>
    <t>康城幼儿园</t>
  </si>
  <si>
    <t>闵行实验幼</t>
  </si>
  <si>
    <t>莘庄社校</t>
  </si>
  <si>
    <t>莘庄合计</t>
    <phoneticPr fontId="1" type="noConversion"/>
  </si>
  <si>
    <t>友爱中学</t>
  </si>
  <si>
    <t>景东小学</t>
  </si>
  <si>
    <t>永德实小</t>
  </si>
  <si>
    <t>塘湾中心幼</t>
  </si>
  <si>
    <t>吴泾三幼园</t>
  </si>
  <si>
    <t>永德实验幼</t>
  </si>
  <si>
    <t>吴泾社校</t>
  </si>
  <si>
    <t>航华中学</t>
  </si>
  <si>
    <t>航华二中</t>
  </si>
  <si>
    <t>七宝二中</t>
  </si>
  <si>
    <t>七宝实中</t>
  </si>
  <si>
    <t>七宝三中</t>
  </si>
  <si>
    <t>航华二小</t>
  </si>
  <si>
    <t>明强小学</t>
  </si>
  <si>
    <t>黎明小学</t>
  </si>
  <si>
    <t>七宝实小</t>
  </si>
  <si>
    <t>明强二小</t>
  </si>
  <si>
    <t>航华二幼园</t>
  </si>
  <si>
    <t>七宝中心幼</t>
  </si>
  <si>
    <t>星辰幼儿园</t>
  </si>
  <si>
    <t>春欣幼儿园</t>
  </si>
  <si>
    <t>七宝实验幼</t>
  </si>
  <si>
    <t>七宝社校</t>
  </si>
  <si>
    <t>浦江二中</t>
  </si>
  <si>
    <t>浦江三中</t>
  </si>
  <si>
    <t>浦江二小</t>
  </si>
  <si>
    <t>浦江三小</t>
  </si>
  <si>
    <t>上戏附小</t>
  </si>
  <si>
    <t>浦汇小学</t>
  </si>
  <si>
    <t>汇秀小学</t>
  </si>
  <si>
    <t>浦江二幼园</t>
  </si>
  <si>
    <t>浦江三幼园</t>
  </si>
  <si>
    <t>闸航路幼园</t>
  </si>
  <si>
    <t>浦江宝邸幼</t>
  </si>
  <si>
    <t>浦莲幼儿园</t>
  </si>
  <si>
    <t>浦江瑞和城幼</t>
  </si>
  <si>
    <t>浦航幼儿园</t>
  </si>
  <si>
    <t>浦江社校</t>
  </si>
  <si>
    <t>梅陇中学</t>
  </si>
  <si>
    <t>罗阳中学</t>
  </si>
  <si>
    <t>曹行中学</t>
  </si>
  <si>
    <t>晶城中学</t>
  </si>
  <si>
    <t>梅陇小学</t>
  </si>
  <si>
    <t>罗阳小学</t>
  </si>
  <si>
    <t>蔷薇小学</t>
  </si>
  <si>
    <t>曹行小学</t>
  </si>
  <si>
    <t>梅陇中心幼</t>
  </si>
  <si>
    <t>曹行中心幼</t>
  </si>
  <si>
    <t>春申景城幼</t>
  </si>
  <si>
    <t>罗阳河畔幼</t>
  </si>
  <si>
    <t>晶采坊幼园</t>
  </si>
  <si>
    <t>晶华坊幼园</t>
  </si>
  <si>
    <t>梅陇金都幼</t>
  </si>
  <si>
    <t>梅陇社校</t>
  </si>
  <si>
    <t>马桥万科</t>
  </si>
  <si>
    <t>强恕学校</t>
    <phoneticPr fontId="1" type="noConversion"/>
  </si>
  <si>
    <t>马桥实小</t>
  </si>
  <si>
    <t>文来外小</t>
  </si>
  <si>
    <t>马桥中心幼</t>
  </si>
  <si>
    <t>马桥元祥园</t>
  </si>
  <si>
    <t>马桥实验幼</t>
  </si>
  <si>
    <t>马桥富杰幼</t>
  </si>
  <si>
    <t>马桥启英幼</t>
  </si>
  <si>
    <t>马桥富卓幼</t>
  </si>
  <si>
    <t>马桥社校</t>
  </si>
  <si>
    <t>马桥合计</t>
    <phoneticPr fontId="1" type="noConversion"/>
  </si>
  <si>
    <t>纪王学校</t>
    <phoneticPr fontId="1" type="noConversion"/>
  </si>
  <si>
    <t>华漕纪王幼</t>
  </si>
  <si>
    <t>诸翟中心幼</t>
  </si>
  <si>
    <t>华漕中心幼</t>
  </si>
  <si>
    <t>华漕金色幼</t>
  </si>
  <si>
    <t>华漕社校</t>
  </si>
  <si>
    <t>华漕合计</t>
    <phoneticPr fontId="1" type="noConversion"/>
  </si>
  <si>
    <t>颛桥中学</t>
  </si>
  <si>
    <t>北桥中学</t>
  </si>
  <si>
    <t>田园外中</t>
  </si>
  <si>
    <t>颛桥小学</t>
  </si>
  <si>
    <t>田园外小</t>
  </si>
  <si>
    <t>北桥小学</t>
  </si>
  <si>
    <t>田园二小</t>
  </si>
  <si>
    <t>颛桥幼儿园</t>
  </si>
  <si>
    <t>颛桥一幼园</t>
  </si>
  <si>
    <t>君莲幼儿园</t>
  </si>
  <si>
    <t>上师闵行幼</t>
  </si>
  <si>
    <t>田园都市幼</t>
  </si>
  <si>
    <t>颛桥社校</t>
  </si>
  <si>
    <t>虹桥</t>
    <phoneticPr fontId="1" type="noConversion"/>
  </si>
  <si>
    <t>上虹中学</t>
  </si>
  <si>
    <t>龙柏中学</t>
  </si>
  <si>
    <t>虹桥小学</t>
  </si>
  <si>
    <t>龙柏一小</t>
  </si>
  <si>
    <t>虹桥中心幼</t>
  </si>
  <si>
    <t>虹鹿幼儿园</t>
  </si>
  <si>
    <t>龙柏一幼园</t>
  </si>
  <si>
    <t>龙柏二幼园</t>
  </si>
  <si>
    <t>虹桥社校</t>
  </si>
  <si>
    <t>虹桥合计</t>
    <phoneticPr fontId="1" type="noConversion"/>
  </si>
  <si>
    <t>工资福利支出</t>
  </si>
  <si>
    <t>单位</t>
  </si>
  <si>
    <t>小计</t>
  </si>
  <si>
    <t>莘庄</t>
    <phoneticPr fontId="1" type="noConversion"/>
  </si>
  <si>
    <t>七宝</t>
    <phoneticPr fontId="1" type="noConversion"/>
  </si>
  <si>
    <t>浦江</t>
    <phoneticPr fontId="1" type="noConversion"/>
  </si>
  <si>
    <t>马桥</t>
    <phoneticPr fontId="1" type="noConversion"/>
  </si>
  <si>
    <t>梅陇</t>
    <phoneticPr fontId="1" type="noConversion"/>
  </si>
  <si>
    <t>社区教育</t>
    <phoneticPr fontId="1" type="noConversion"/>
  </si>
  <si>
    <t>人数</t>
    <phoneticPr fontId="1" type="noConversion"/>
  </si>
  <si>
    <t>金额（3元/人）</t>
    <phoneticPr fontId="1" type="noConversion"/>
  </si>
  <si>
    <t>“1+14+14”社区教育志愿者联盟</t>
    <phoneticPr fontId="2" type="noConversion"/>
  </si>
  <si>
    <t>学校</t>
    <phoneticPr fontId="2" type="noConversion"/>
  </si>
  <si>
    <t>金额</t>
    <phoneticPr fontId="2" type="noConversion"/>
  </si>
  <si>
    <t>属性</t>
    <phoneticPr fontId="1" type="noConversion"/>
  </si>
  <si>
    <t>标准</t>
    <phoneticPr fontId="1" type="noConversion"/>
  </si>
  <si>
    <t>预计增量</t>
    <phoneticPr fontId="1" type="noConversion"/>
  </si>
  <si>
    <t>2021年镇管学校绩效估算</t>
    <phoneticPr fontId="1" type="noConversion"/>
  </si>
  <si>
    <t>学校</t>
    <phoneticPr fontId="1" type="noConversion"/>
  </si>
  <si>
    <t>预计总量</t>
    <phoneticPr fontId="1" type="noConversion"/>
  </si>
  <si>
    <t>九年一贯</t>
    <phoneticPr fontId="1" type="noConversion"/>
  </si>
  <si>
    <t xml:space="preserve">明星学校
</t>
    <phoneticPr fontId="1" type="noConversion"/>
  </si>
  <si>
    <t>幼儿园</t>
    <phoneticPr fontId="1" type="noConversion"/>
  </si>
  <si>
    <t>其他</t>
    <phoneticPr fontId="1" type="noConversion"/>
  </si>
  <si>
    <t>吴泾</t>
    <phoneticPr fontId="1" type="noConversion"/>
  </si>
  <si>
    <t>初中</t>
    <phoneticPr fontId="1" type="noConversion"/>
  </si>
  <si>
    <t>小学</t>
    <phoneticPr fontId="1" type="noConversion"/>
  </si>
  <si>
    <t>吴泾合计</t>
    <phoneticPr fontId="1" type="noConversion"/>
  </si>
  <si>
    <t>七宝皇都</t>
    <phoneticPr fontId="1" type="noConversion"/>
  </si>
  <si>
    <t>七宝合计</t>
    <phoneticPr fontId="1" type="noConversion"/>
  </si>
  <si>
    <t>浦航实验</t>
    <phoneticPr fontId="1" type="noConversion"/>
  </si>
  <si>
    <t>世外浦江</t>
    <phoneticPr fontId="1" type="noConversion"/>
  </si>
  <si>
    <t>浦江合计</t>
    <phoneticPr fontId="1" type="noConversion"/>
  </si>
  <si>
    <t>复旦实验</t>
    <phoneticPr fontId="1" type="noConversion"/>
  </si>
  <si>
    <t>梅陇梅锦</t>
    <phoneticPr fontId="1" type="noConversion"/>
  </si>
  <si>
    <t>梅陇合计</t>
    <phoneticPr fontId="1" type="noConversion"/>
  </si>
  <si>
    <t>马桥富国幼</t>
    <phoneticPr fontId="1" type="noConversion"/>
  </si>
  <si>
    <t>华漕</t>
    <phoneticPr fontId="1" type="noConversion"/>
  </si>
  <si>
    <t>诸翟学校</t>
    <phoneticPr fontId="1" type="noConversion"/>
  </si>
  <si>
    <t>华漕学校</t>
    <phoneticPr fontId="1" type="noConversion"/>
  </si>
  <si>
    <t>颛桥</t>
    <phoneticPr fontId="1" type="noConversion"/>
  </si>
  <si>
    <t>君莲学校</t>
    <phoneticPr fontId="1" type="noConversion"/>
  </si>
  <si>
    <t>颛桥合计</t>
    <phoneticPr fontId="1" type="noConversion"/>
  </si>
  <si>
    <t>金汇实验</t>
    <phoneticPr fontId="1" type="noConversion"/>
  </si>
  <si>
    <t>闵行区曹行中心幼儿园</t>
  </si>
  <si>
    <t>闵行区梅陇镇中心幼儿园</t>
  </si>
  <si>
    <t>闵行区罗阳小学</t>
  </si>
  <si>
    <t>闵行区梅陇中心小学</t>
  </si>
  <si>
    <t>上海市罗阳中学</t>
  </si>
  <si>
    <t>闵行区塘湾中心幼儿园</t>
  </si>
  <si>
    <t>实验幼儿园</t>
  </si>
  <si>
    <t>2021年基本支出预算表</t>
    <phoneticPr fontId="15" type="noConversion"/>
  </si>
  <si>
    <t>项目名称</t>
  </si>
  <si>
    <t>功能分类</t>
  </si>
  <si>
    <t>口径</t>
  </si>
  <si>
    <t>1</t>
  </si>
  <si>
    <t>基本支出总预算数</t>
  </si>
  <si>
    <t>公式计算</t>
  </si>
  <si>
    <t>2</t>
  </si>
  <si>
    <t>3</t>
  </si>
  <si>
    <t>　　基本工资</t>
  </si>
  <si>
    <t>4</t>
  </si>
  <si>
    <t>　　　　1、岗位工资</t>
  </si>
  <si>
    <t>主款项</t>
  </si>
  <si>
    <t>根据人事口径按实编制</t>
  </si>
  <si>
    <t>5</t>
  </si>
  <si>
    <t>　　　　2、薪级工资</t>
  </si>
  <si>
    <t>6</t>
  </si>
  <si>
    <t>　　津贴补贴</t>
  </si>
  <si>
    <t>7</t>
  </si>
  <si>
    <t>　　　　1、各类津贴★▲</t>
  </si>
  <si>
    <t>8</t>
  </si>
  <si>
    <t>　　　　2、各类补贴</t>
  </si>
  <si>
    <t>9</t>
  </si>
  <si>
    <t>　　　　　　(1)粮油补贴</t>
  </si>
  <si>
    <t>10</t>
  </si>
  <si>
    <t>　　　　　　(2)上下班交通费补贴</t>
  </si>
  <si>
    <t>11</t>
  </si>
  <si>
    <t>　　其他社会保障缴费</t>
  </si>
  <si>
    <t>注：社保缴费基数应该相同</t>
  </si>
  <si>
    <t>12</t>
  </si>
  <si>
    <t>　　　　1、残疾人就业保障金1.5%</t>
    <phoneticPr fontId="15" type="noConversion"/>
  </si>
  <si>
    <t>公式计算（请检查）</t>
  </si>
  <si>
    <t>13</t>
  </si>
  <si>
    <t>　　　　2、工伤保险费0.5%</t>
    <phoneticPr fontId="15" type="noConversion"/>
  </si>
  <si>
    <t>14</t>
  </si>
  <si>
    <t>　　　　3、失业保险0.5%</t>
    <phoneticPr fontId="15" type="noConversion"/>
  </si>
  <si>
    <t>15</t>
  </si>
  <si>
    <t>　　绩效工资</t>
  </si>
  <si>
    <t>16</t>
  </si>
  <si>
    <t>　　　　1、绩效工资</t>
  </si>
  <si>
    <t>根据人保科数字编制（待下发）</t>
  </si>
  <si>
    <t>17</t>
  </si>
  <si>
    <t>　　　　2、校长职级制</t>
  </si>
  <si>
    <t>根据校长职级制按实编制</t>
  </si>
  <si>
    <t>18</t>
  </si>
  <si>
    <t xml:space="preserve">   城镇职工基本医疗保险缴费</t>
  </si>
  <si>
    <t>19</t>
  </si>
  <si>
    <t xml:space="preserve">        1、医疗保险费10%</t>
    <phoneticPr fontId="15" type="noConversion"/>
  </si>
  <si>
    <t>事业单位医疗</t>
  </si>
  <si>
    <t>20</t>
  </si>
  <si>
    <t xml:space="preserve">   公务员医疗补助缴费</t>
  </si>
  <si>
    <t>21</t>
  </si>
  <si>
    <r>
      <t xml:space="preserve">          (</t>
    </r>
    <r>
      <rPr>
        <sz val="9"/>
        <color indexed="8"/>
        <rFont val="宋体"/>
        <family val="3"/>
        <charset val="134"/>
      </rPr>
      <t>1</t>
    </r>
    <r>
      <rPr>
        <sz val="9"/>
        <color indexed="8"/>
        <rFont val="宋体"/>
        <family val="3"/>
        <charset val="134"/>
      </rPr>
      <t>)其他保险2%(统筹)</t>
    </r>
  </si>
  <si>
    <t>公务员医疗补助</t>
  </si>
  <si>
    <t>22</t>
  </si>
  <si>
    <r>
      <t xml:space="preserve">          (</t>
    </r>
    <r>
      <rPr>
        <sz val="9"/>
        <color indexed="8"/>
        <rFont val="宋体"/>
        <family val="3"/>
        <charset val="134"/>
      </rPr>
      <t>2</t>
    </r>
    <r>
      <rPr>
        <sz val="9"/>
        <color indexed="8"/>
        <rFont val="宋体"/>
        <family val="3"/>
        <charset val="134"/>
      </rPr>
      <t>)其他保险2%(单位)</t>
    </r>
  </si>
  <si>
    <t>23</t>
  </si>
  <si>
    <t>　　事业单位基本养老保险缴费</t>
  </si>
  <si>
    <t>24</t>
  </si>
  <si>
    <t>　　　　1、基本养老保险16%</t>
    <phoneticPr fontId="15" type="noConversion"/>
  </si>
  <si>
    <t>养老保险</t>
  </si>
  <si>
    <t>25</t>
  </si>
  <si>
    <t>　　职业年金缴纳</t>
  </si>
  <si>
    <t>26</t>
  </si>
  <si>
    <t>　　　　1、职业年金8%</t>
  </si>
  <si>
    <t>职业年金</t>
  </si>
  <si>
    <t>27</t>
  </si>
  <si>
    <t>伙食补助费</t>
  </si>
  <si>
    <t>教职工人数*9600元（公式计算）</t>
  </si>
  <si>
    <t>28</t>
  </si>
  <si>
    <t>公积金</t>
  </si>
  <si>
    <t>29</t>
  </si>
  <si>
    <t>对个人和家庭补助</t>
  </si>
  <si>
    <t>30</t>
  </si>
  <si>
    <t>　　离休费</t>
  </si>
  <si>
    <t>31</t>
  </si>
  <si>
    <t>　　　　1、交通费</t>
  </si>
  <si>
    <t>离退休</t>
  </si>
  <si>
    <t>根据离休人员情况按实编制</t>
  </si>
  <si>
    <t>32</t>
  </si>
  <si>
    <t>　　　　2、护理费</t>
  </si>
  <si>
    <t>33</t>
  </si>
  <si>
    <t>　　　　3、体检费(仅老干部局填写)</t>
  </si>
  <si>
    <t>不填</t>
  </si>
  <si>
    <t>34</t>
  </si>
  <si>
    <t>　　　　4、电话费</t>
  </si>
  <si>
    <t>35</t>
  </si>
  <si>
    <t>　　　　5、特殊生活补助</t>
  </si>
  <si>
    <t>36</t>
  </si>
  <si>
    <t>　　　　6、离休干部补贴费</t>
  </si>
  <si>
    <t>37</t>
  </si>
  <si>
    <t>　　　　7、护工费</t>
  </si>
  <si>
    <t>38</t>
  </si>
  <si>
    <t>　　抚恤金</t>
  </si>
  <si>
    <t>39</t>
  </si>
  <si>
    <t>　　　　1、抚恤金</t>
  </si>
  <si>
    <t>年初预算为0</t>
  </si>
  <si>
    <t>40</t>
  </si>
  <si>
    <t>　　生活补助</t>
  </si>
  <si>
    <t>41</t>
  </si>
  <si>
    <t>　　　　1、长期赡养补助</t>
  </si>
  <si>
    <t>42</t>
  </si>
  <si>
    <t>　　　　2、退职补助</t>
  </si>
  <si>
    <t>43</t>
  </si>
  <si>
    <t>　　奖励金</t>
  </si>
  <si>
    <t>44</t>
  </si>
  <si>
    <t>　　　　1、独生子女奖励费▲</t>
  </si>
  <si>
    <t>45</t>
  </si>
  <si>
    <t>　　其他支出对个人和家庭补助</t>
  </si>
  <si>
    <t>46</t>
  </si>
  <si>
    <t>　　　　1、子女幼托费</t>
  </si>
  <si>
    <t>按实预测</t>
  </si>
  <si>
    <t>47</t>
  </si>
  <si>
    <t>　　　　2、补贴性人员经费</t>
  </si>
  <si>
    <t>没有，填0</t>
  </si>
  <si>
    <t>48</t>
  </si>
  <si>
    <t>　　　　3、带薪休假费</t>
  </si>
  <si>
    <t>49</t>
  </si>
  <si>
    <t>　　　　4、其他</t>
  </si>
  <si>
    <t>除罗阳小学3人及七宝二中1人的退休共享费外，其他学校填0</t>
  </si>
  <si>
    <t>50</t>
  </si>
  <si>
    <t>商品和服务支出和其他资本性支出</t>
  </si>
  <si>
    <t>51</t>
  </si>
  <si>
    <t>　　(一)公用定额</t>
  </si>
  <si>
    <t>学生人数*定额</t>
  </si>
  <si>
    <t>52</t>
  </si>
  <si>
    <t>　　　　1、办公费</t>
  </si>
  <si>
    <t>53</t>
  </si>
  <si>
    <t xml:space="preserve">        2、印刷费</t>
  </si>
  <si>
    <t>54</t>
  </si>
  <si>
    <t xml:space="preserve">        3、咨询费</t>
  </si>
  <si>
    <t>55</t>
  </si>
  <si>
    <t xml:space="preserve">        4、水费</t>
  </si>
  <si>
    <t>56</t>
  </si>
  <si>
    <t xml:space="preserve">       5、电费</t>
  </si>
  <si>
    <t>57</t>
  </si>
  <si>
    <t xml:space="preserve">       6、邮电费</t>
  </si>
  <si>
    <t>58</t>
  </si>
  <si>
    <t xml:space="preserve">       7、差旅费  </t>
  </si>
  <si>
    <t>59</t>
  </si>
  <si>
    <t xml:space="preserve">       8、维修（护）费</t>
  </si>
  <si>
    <t>60</t>
  </si>
  <si>
    <t xml:space="preserve">       9、会议费</t>
  </si>
  <si>
    <t>61</t>
  </si>
  <si>
    <t xml:space="preserve">       10、培训费</t>
    <phoneticPr fontId="15" type="noConversion"/>
  </si>
  <si>
    <t>主款项</t>
    <phoneticPr fontId="15" type="noConversion"/>
  </si>
  <si>
    <t>生均定额5%</t>
    <phoneticPr fontId="15" type="noConversion"/>
  </si>
  <si>
    <t>62</t>
  </si>
  <si>
    <t xml:space="preserve">       11、公务接待费★</t>
  </si>
  <si>
    <t>63</t>
  </si>
  <si>
    <t xml:space="preserve">       12、专用材料费</t>
  </si>
  <si>
    <t>64</t>
  </si>
  <si>
    <t xml:space="preserve">       13、劳务费</t>
  </si>
  <si>
    <t>65</t>
  </si>
  <si>
    <t xml:space="preserve">       14、委托业务费</t>
  </si>
  <si>
    <t>66</t>
  </si>
  <si>
    <t xml:space="preserve">       15、其他商品和服务支出</t>
  </si>
  <si>
    <t>67</t>
  </si>
  <si>
    <t xml:space="preserve">       16、办公设备配置</t>
  </si>
  <si>
    <t>68</t>
  </si>
  <si>
    <t xml:space="preserve">       17、专用设备</t>
  </si>
  <si>
    <t>69</t>
  </si>
  <si>
    <t>　　(二)培训费</t>
  </si>
  <si>
    <t>70</t>
  </si>
  <si>
    <t>　　　　1、进修、培训 400元/年教师</t>
  </si>
  <si>
    <t>教职工人数*400元（公式计算）</t>
  </si>
  <si>
    <t>71</t>
  </si>
  <si>
    <t>　　(三)维修(护)费</t>
  </si>
  <si>
    <t>72</t>
  </si>
  <si>
    <t>　　　　1、房屋维修费 15元/年平方米</t>
  </si>
  <si>
    <t>房屋面积*15元（公式计算）</t>
  </si>
  <si>
    <t>73</t>
  </si>
  <si>
    <t>　　(四)物业管理费</t>
  </si>
  <si>
    <t>74</t>
  </si>
  <si>
    <t>　　　　1、绿化维护费 8元/年平方米</t>
  </si>
  <si>
    <t>绿化面积*8元（公式计算）</t>
  </si>
  <si>
    <t>75</t>
  </si>
  <si>
    <t>　　(五)租赁费</t>
  </si>
  <si>
    <t>76</t>
  </si>
  <si>
    <t>　　　　1、租赁房租费</t>
  </si>
  <si>
    <t>77</t>
  </si>
  <si>
    <t>　　(六)福利费</t>
  </si>
  <si>
    <t>78</t>
  </si>
  <si>
    <t>　　　　1、福利费</t>
  </si>
  <si>
    <t>教职工人数*4320元（公式计算）</t>
  </si>
  <si>
    <t>79</t>
  </si>
  <si>
    <t>　　(七)工会经费</t>
  </si>
  <si>
    <t>80</t>
  </si>
  <si>
    <t>　　　　1、工会经费2%</t>
  </si>
  <si>
    <t>81</t>
  </si>
  <si>
    <t>　　(八)公务用车运行维护费★</t>
  </si>
  <si>
    <t>82</t>
  </si>
  <si>
    <t>　　　　1、教育系统，校/辆</t>
  </si>
  <si>
    <t>机关局有编制的车辆数*32000元/年（分园及分校预算在其他交通费中编制）</t>
  </si>
  <si>
    <t>83</t>
  </si>
  <si>
    <t>　　(九)其他商品和服务支出</t>
  </si>
  <si>
    <t>84</t>
  </si>
  <si>
    <t>　　　　1、离休公用支出</t>
  </si>
  <si>
    <t>85</t>
  </si>
  <si>
    <t>　　　　　　(1)十四级以上(含参局级、享受局级、正局级、副局级)</t>
  </si>
  <si>
    <t>86</t>
  </si>
  <si>
    <t>　　　　　　(2)十四级以下</t>
  </si>
  <si>
    <t>人数*4320元/年</t>
  </si>
  <si>
    <t>87</t>
  </si>
  <si>
    <t>　　　　2、退休公用支出</t>
  </si>
  <si>
    <t>88</t>
  </si>
  <si>
    <t>　　　　　　(1)活动费(活动费+活动费(托管))</t>
  </si>
  <si>
    <t>退休人数*400元/年（公式计算）</t>
  </si>
  <si>
    <t>89</t>
  </si>
  <si>
    <t>　　　　　　(2)福利费(福利费+福利费(托管)</t>
  </si>
  <si>
    <t>退休人数*4320元/年（公式计算）</t>
  </si>
  <si>
    <t>90</t>
  </si>
  <si>
    <t>　　　　3、其他</t>
  </si>
  <si>
    <t>91</t>
  </si>
  <si>
    <t>　　(十)其他交通费用</t>
  </si>
  <si>
    <t>92</t>
  </si>
  <si>
    <t>　　　　2、教育系统</t>
  </si>
  <si>
    <t xml:space="preserve">
无车辆按32000元编制预算
机关局有编制的车辆，每分校增加10000元，每个分园增加5000元编制预算</t>
    <phoneticPr fontId="15" type="noConversion"/>
  </si>
  <si>
    <t>93</t>
  </si>
  <si>
    <t>学校基本情况：</t>
  </si>
  <si>
    <t>94</t>
  </si>
  <si>
    <t>1、教职工(人数)</t>
  </si>
  <si>
    <t>填写2020年9月在编教职工人数</t>
    <phoneticPr fontId="15" type="noConversion"/>
  </si>
  <si>
    <t>95</t>
  </si>
  <si>
    <t xml:space="preserve">       初中</t>
  </si>
  <si>
    <t>96</t>
  </si>
  <si>
    <t xml:space="preserve">       小学</t>
  </si>
  <si>
    <t>97</t>
  </si>
  <si>
    <t xml:space="preserve">       幼儿园</t>
  </si>
  <si>
    <t>98</t>
  </si>
  <si>
    <t xml:space="preserve">       其他</t>
  </si>
  <si>
    <t>99</t>
  </si>
  <si>
    <t>2、学生(人数)</t>
  </si>
  <si>
    <t>填写2020年秋季学期学生人数，以招办人数为准（待下发）</t>
    <phoneticPr fontId="15" type="noConversion"/>
  </si>
  <si>
    <t>100</t>
  </si>
  <si>
    <t>101</t>
  </si>
  <si>
    <t>102</t>
  </si>
  <si>
    <t>103</t>
  </si>
  <si>
    <t>104</t>
  </si>
  <si>
    <t>3、事业离休人员人数</t>
  </si>
  <si>
    <t>105</t>
  </si>
  <si>
    <t>4、事业退休人员人数</t>
  </si>
  <si>
    <t>106</t>
  </si>
  <si>
    <t>5、教育单位房屋（面积）</t>
  </si>
  <si>
    <t>107</t>
  </si>
  <si>
    <t>6、教育单位绿化（面积）</t>
  </si>
  <si>
    <t>实验中学</t>
  </si>
  <si>
    <t>实验小学</t>
  </si>
  <si>
    <t>中心幼儿园</t>
  </si>
  <si>
    <t>航华二幼</t>
  </si>
  <si>
    <t>社区学校</t>
  </si>
  <si>
    <t>皇都幼</t>
    <phoneticPr fontId="15" type="noConversion"/>
  </si>
  <si>
    <t>上海市闵行区教育学院附属友爱实验中学</t>
  </si>
  <si>
    <t>上海市闵行区景东小学</t>
  </si>
  <si>
    <t>华东师范大学闵行永德实验小学</t>
  </si>
  <si>
    <t>上海市闵行区吴泾第三幼儿园</t>
  </si>
  <si>
    <t>华东师范大学闵行永德实验幼儿园</t>
  </si>
  <si>
    <t>上海市闵行区吴泾镇社区学校</t>
  </si>
  <si>
    <t>2021年基本支出预算表</t>
  </si>
  <si>
    <t>佳佳幼儿园</t>
  </si>
  <si>
    <t>明星学校</t>
  </si>
  <si>
    <t>　　　　1、残疾人就业保障金1.5%</t>
  </si>
  <si>
    <t>　　　　2、工伤保险费0.5%</t>
  </si>
  <si>
    <t>　　　　3、失业保险0.5%</t>
  </si>
  <si>
    <t xml:space="preserve">        1、医疗保险费10%</t>
  </si>
  <si>
    <t>　　　　1、基本养老保险16%</t>
  </si>
  <si>
    <t xml:space="preserve">       10、培训费</t>
  </si>
  <si>
    <t>生均定额5%</t>
  </si>
  <si>
    <t>填写2020年9月在编教职工人数</t>
  </si>
  <si>
    <t>填写2020年秋季学期学生人数，以招办人数为准（待下发）</t>
  </si>
  <si>
    <t>金汇实验</t>
  </si>
  <si>
    <t>龙柏一幼</t>
  </si>
  <si>
    <t>龙柏二幼</t>
  </si>
  <si>
    <t>上海市闵行区梅陇中学</t>
  </si>
  <si>
    <t>上海市闵行区曹行中学</t>
  </si>
  <si>
    <t>上海中医药大学附属闵行晶城中学</t>
    <phoneticPr fontId="15" type="noConversion"/>
  </si>
  <si>
    <t>复旦大学附属闵行实验学校</t>
    <phoneticPr fontId="15" type="noConversion"/>
  </si>
  <si>
    <t>上海市闵行区曹行小学</t>
  </si>
  <si>
    <t>上海中医药大学附属闵行蔷薇小学</t>
    <phoneticPr fontId="15" type="noConversion"/>
  </si>
  <si>
    <t>上海市闵行区春申景城幼儿园</t>
  </si>
  <si>
    <t>上海市闵行区晶采坊幼儿园</t>
  </si>
  <si>
    <t>上海市闵行区罗阳河畔幼儿园</t>
  </si>
  <si>
    <t>上海市闵行区晶华坊幼儿园</t>
  </si>
  <si>
    <t>上海市闵行区梅陇金都幼儿园</t>
    <phoneticPr fontId="15" type="noConversion"/>
  </si>
  <si>
    <t>上海市闵行区梅陇梅锦幼儿园</t>
    <phoneticPr fontId="15" type="noConversion"/>
  </si>
  <si>
    <t>上海市闵行区梅陇镇社区学校</t>
  </si>
  <si>
    <t>田园二外小</t>
  </si>
  <si>
    <t>颛桥一幼</t>
  </si>
  <si>
    <t>颛桥镇幼</t>
  </si>
  <si>
    <t>上师大幼</t>
  </si>
  <si>
    <t>君莲学校</t>
  </si>
  <si>
    <t>田园中学</t>
    <phoneticPr fontId="15" type="noConversion"/>
  </si>
  <si>
    <t>田园幼儿园</t>
    <phoneticPr fontId="15" type="noConversion"/>
  </si>
  <si>
    <t xml:space="preserve">          (1)其他保险2%(统筹)药费</t>
    <phoneticPr fontId="15" type="noConversion"/>
  </si>
  <si>
    <t xml:space="preserve">          (2)其他保险2%(单位)保险</t>
    <phoneticPr fontId="15" type="noConversion"/>
  </si>
  <si>
    <t>莘庄</t>
    <phoneticPr fontId="15" type="noConversion"/>
  </si>
  <si>
    <t>吴泾</t>
    <phoneticPr fontId="15" type="noConversion"/>
  </si>
  <si>
    <t>七宝</t>
    <phoneticPr fontId="15" type="noConversion"/>
  </si>
  <si>
    <t>浦江</t>
    <phoneticPr fontId="15" type="noConversion"/>
  </si>
  <si>
    <t>梅陇</t>
    <phoneticPr fontId="15" type="noConversion"/>
  </si>
  <si>
    <t>马桥</t>
    <phoneticPr fontId="15" type="noConversion"/>
  </si>
  <si>
    <t>华漕</t>
    <phoneticPr fontId="15" type="noConversion"/>
  </si>
  <si>
    <t>颛桥</t>
    <phoneticPr fontId="15" type="noConversion"/>
  </si>
  <si>
    <t>虹桥</t>
    <phoneticPr fontId="15" type="noConversion"/>
  </si>
  <si>
    <t>值班单价</t>
    <phoneticPr fontId="1" type="noConversion"/>
  </si>
  <si>
    <t>值班金额</t>
    <phoneticPr fontId="1" type="noConversion"/>
  </si>
  <si>
    <t>叠加门数</t>
    <phoneticPr fontId="1" type="noConversion"/>
  </si>
  <si>
    <t>叠加金额</t>
    <phoneticPr fontId="1" type="noConversion"/>
  </si>
  <si>
    <t>浦江二中</t>
    <phoneticPr fontId="15" type="noConversion"/>
  </si>
  <si>
    <t>浦江三中</t>
    <phoneticPr fontId="15" type="noConversion"/>
  </si>
  <si>
    <t>浦航实验学校</t>
  </si>
  <si>
    <t>世外浦江</t>
    <phoneticPr fontId="15" type="noConversion"/>
  </si>
  <si>
    <t>二小</t>
  </si>
  <si>
    <t>上戏附校</t>
  </si>
  <si>
    <t>浦汇小学</t>
    <phoneticPr fontId="15" type="noConversion"/>
  </si>
  <si>
    <t>浦江二幼</t>
  </si>
  <si>
    <t>瑞和城幼儿园</t>
  </si>
  <si>
    <t>2021年镇级单位保安经费预算</t>
    <phoneticPr fontId="1" type="noConversion"/>
  </si>
  <si>
    <t>单位</t>
    <phoneticPr fontId="1" type="noConversion"/>
  </si>
  <si>
    <r>
      <rPr>
        <sz val="11"/>
        <color theme="1"/>
        <rFont val="宋体"/>
        <family val="2"/>
        <charset val="134"/>
      </rPr>
      <t>所属街镇</t>
    </r>
    <phoneticPr fontId="1" type="noConversion"/>
  </si>
  <si>
    <r>
      <rPr>
        <sz val="11"/>
        <color theme="1"/>
        <rFont val="宋体"/>
        <family val="3"/>
        <charset val="134"/>
        <scheme val="minor"/>
      </rPr>
      <t>校区</t>
    </r>
    <r>
      <rPr>
        <sz val="11"/>
        <color theme="1"/>
        <rFont val="宋体"/>
        <family val="2"/>
        <charset val="134"/>
        <scheme val="minor"/>
      </rPr>
      <t xml:space="preserve">               </t>
    </r>
    <r>
      <rPr>
        <sz val="11"/>
        <color theme="1"/>
        <rFont val="宋体"/>
        <family val="3"/>
        <charset val="134"/>
        <scheme val="minor"/>
      </rPr>
      <t>门数</t>
    </r>
    <phoneticPr fontId="2" type="noConversion"/>
  </si>
  <si>
    <r>
      <rPr>
        <sz val="11"/>
        <rFont val="宋体"/>
        <family val="3"/>
        <charset val="134"/>
      </rPr>
      <t>在岗人数</t>
    </r>
    <phoneticPr fontId="2" type="noConversion"/>
  </si>
  <si>
    <t>叠加门次（45天）</t>
  </si>
  <si>
    <t>小计</t>
    <phoneticPr fontId="1" type="noConversion"/>
  </si>
  <si>
    <t>叠加门数
（寒托班）</t>
    <phoneticPr fontId="1" type="noConversion"/>
  </si>
  <si>
    <r>
      <rPr>
        <sz val="11"/>
        <rFont val="微软雅黑"/>
        <family val="2"/>
        <charset val="134"/>
      </rPr>
      <t>叠加天数</t>
    </r>
    <phoneticPr fontId="2" type="noConversion"/>
  </si>
  <si>
    <r>
      <rPr>
        <sz val="11"/>
        <rFont val="微软雅黑"/>
        <family val="2"/>
        <charset val="134"/>
      </rPr>
      <t>叠加时间（小时）</t>
    </r>
    <phoneticPr fontId="2" type="noConversion"/>
  </si>
  <si>
    <r>
      <rPr>
        <sz val="11"/>
        <rFont val="微软雅黑"/>
        <family val="2"/>
        <charset val="134"/>
      </rPr>
      <t>叠加金额</t>
    </r>
    <phoneticPr fontId="1" type="noConversion"/>
  </si>
  <si>
    <t>1-3月合计</t>
    <phoneticPr fontId="1" type="noConversion"/>
  </si>
  <si>
    <r>
      <rPr>
        <sz val="11"/>
        <rFont val="宋体"/>
        <family val="3"/>
        <charset val="134"/>
      </rPr>
      <t>校区</t>
    </r>
    <r>
      <rPr>
        <sz val="11"/>
        <rFont val="Arial"/>
        <family val="2"/>
      </rPr>
      <t xml:space="preserve">               </t>
    </r>
    <r>
      <rPr>
        <sz val="11"/>
        <rFont val="宋体"/>
        <family val="3"/>
        <charset val="134"/>
      </rPr>
      <t>门数</t>
    </r>
    <phoneticPr fontId="2" type="noConversion"/>
  </si>
  <si>
    <t>叠加门次（165天）</t>
  </si>
  <si>
    <t>叠加门数
（暑期叠加）</t>
    <phoneticPr fontId="1" type="noConversion"/>
  </si>
  <si>
    <t>叠加天数（45天）</t>
    <phoneticPr fontId="1" type="noConversion"/>
  </si>
  <si>
    <t>叠加时间（小时）</t>
    <phoneticPr fontId="1" type="noConversion"/>
  </si>
  <si>
    <t>4-12月合计</t>
    <phoneticPr fontId="1" type="noConversion"/>
  </si>
  <si>
    <t>总计</t>
    <phoneticPr fontId="1" type="noConversion"/>
  </si>
  <si>
    <r>
      <rPr>
        <sz val="9"/>
        <rFont val="宋体"/>
        <family val="3"/>
        <charset val="134"/>
      </rPr>
      <t>浦江社校</t>
    </r>
  </si>
  <si>
    <t>公办成人</t>
    <phoneticPr fontId="1" type="noConversion"/>
  </si>
  <si>
    <t>浦江合计</t>
    <phoneticPr fontId="1" type="noConversion"/>
  </si>
  <si>
    <t>吴泾合计</t>
    <phoneticPr fontId="1" type="noConversion"/>
  </si>
  <si>
    <t>吴泾社校</t>
    <phoneticPr fontId="1" type="noConversion"/>
  </si>
  <si>
    <t xml:space="preserve">
无车辆按32000元编制预算
机关局有编制的车辆，每分校增加10000元，每个分园增加5000元编制预算</t>
    <phoneticPr fontId="15" type="noConversion"/>
  </si>
  <si>
    <t>填写2020年9月在编教职工人数</t>
    <phoneticPr fontId="15" type="noConversion"/>
  </si>
  <si>
    <t>填写2020年秋季学期学生人数，以招办人数为准（待下发）</t>
    <phoneticPr fontId="15" type="noConversion"/>
  </si>
  <si>
    <t xml:space="preserve">
无车辆按32000元编制预算
机关局有编制的车辆，每分校增加10000元，每个分园增加5000元编制预算</t>
    <phoneticPr fontId="15" type="noConversion"/>
  </si>
  <si>
    <t>填写2020年9月在编教职工人数</t>
    <phoneticPr fontId="15" type="noConversion"/>
  </si>
  <si>
    <t>填写2020年秋季学期学生人数，以招办人数为准（待下发）</t>
    <phoneticPr fontId="15" type="noConversion"/>
  </si>
  <si>
    <t>汇秀小学</t>
    <phoneticPr fontId="15" type="noConversion"/>
  </si>
  <si>
    <t>浦江三幼</t>
    <phoneticPr fontId="15" type="noConversion"/>
  </si>
  <si>
    <t>宝邸幼儿园</t>
    <phoneticPr fontId="15" type="noConversion"/>
  </si>
  <si>
    <t>闸航幼</t>
    <phoneticPr fontId="15" type="noConversion"/>
  </si>
  <si>
    <t>浦江镇社区学校</t>
    <phoneticPr fontId="15" type="noConversion"/>
  </si>
  <si>
    <t xml:space="preserve">
无车辆按32000元编制预算
机关局有编制的车辆，每分校增加10000元，每个分园增加5000元编制预算</t>
    <phoneticPr fontId="15" type="noConversion"/>
  </si>
  <si>
    <t>填写2020年9月在编教职工人数</t>
    <phoneticPr fontId="15" type="noConversion"/>
  </si>
  <si>
    <t>填写2020年秋季学期学生人数，以招办人数为准（待下发）</t>
    <phoneticPr fontId="15" type="noConversion"/>
  </si>
  <si>
    <t xml:space="preserve">
无车辆按32000元编制预算
机关局有编制的车辆，每分校增加10000元，每个分园增加5000元编制预算</t>
    <phoneticPr fontId="15" type="noConversion"/>
  </si>
  <si>
    <t>华漕幼儿园</t>
    <phoneticPr fontId="15" type="noConversion"/>
  </si>
  <si>
    <t>华漕学校</t>
    <phoneticPr fontId="15" type="noConversion"/>
  </si>
  <si>
    <t>诸翟幼儿园</t>
    <phoneticPr fontId="15" type="noConversion"/>
  </si>
  <si>
    <t>纪王学校</t>
    <phoneticPr fontId="15" type="noConversion"/>
  </si>
  <si>
    <t>诸翟学校</t>
    <phoneticPr fontId="15" type="noConversion"/>
  </si>
  <si>
    <t>金色幼儿园</t>
    <phoneticPr fontId="15" type="noConversion"/>
  </si>
  <si>
    <t>纪王幼儿园</t>
    <phoneticPr fontId="15" type="noConversion"/>
  </si>
  <si>
    <t>华漕社区学校</t>
    <phoneticPr fontId="15" type="noConversion"/>
  </si>
  <si>
    <t>　　　　3、失业保险0.5%</t>
    <phoneticPr fontId="15" type="noConversion"/>
  </si>
  <si>
    <t>　　　　1、基本养老保险16%</t>
    <phoneticPr fontId="15" type="noConversion"/>
  </si>
  <si>
    <t>2021年基本支出预算表</t>
    <phoneticPr fontId="2" type="noConversion"/>
  </si>
  <si>
    <t>社区学校</t>
    <phoneticPr fontId="2" type="noConversion"/>
  </si>
  <si>
    <t>强恕学校</t>
    <phoneticPr fontId="2" type="noConversion"/>
  </si>
  <si>
    <t>实中</t>
    <phoneticPr fontId="2" type="noConversion"/>
  </si>
  <si>
    <t>实小</t>
    <phoneticPr fontId="2" type="noConversion"/>
  </si>
  <si>
    <t>文来外小</t>
    <phoneticPr fontId="2" type="noConversion"/>
  </si>
  <si>
    <t>中心幼</t>
    <phoneticPr fontId="2" type="noConversion"/>
  </si>
  <si>
    <t>元祥幼</t>
    <phoneticPr fontId="2" type="noConversion"/>
  </si>
  <si>
    <t>实幼</t>
    <phoneticPr fontId="2" type="noConversion"/>
  </si>
  <si>
    <t>启英</t>
    <phoneticPr fontId="2" type="noConversion"/>
  </si>
  <si>
    <t>富杰</t>
    <phoneticPr fontId="2" type="noConversion"/>
  </si>
  <si>
    <t>富卓</t>
    <phoneticPr fontId="2" type="noConversion"/>
  </si>
  <si>
    <t>富国</t>
    <phoneticPr fontId="2" type="noConversion"/>
  </si>
  <si>
    <t>　　　　1、残疾人就业保障金1.5%</t>
    <phoneticPr fontId="2" type="noConversion"/>
  </si>
  <si>
    <t>　　　　2、工伤保险费0.5%</t>
    <phoneticPr fontId="2" type="noConversion"/>
  </si>
  <si>
    <t>　　　　3、失业保险0.5%</t>
    <phoneticPr fontId="2" type="noConversion"/>
  </si>
  <si>
    <t xml:space="preserve">        1、医疗保险费10%</t>
    <phoneticPr fontId="2" type="noConversion"/>
  </si>
  <si>
    <r>
      <t xml:space="preserve">          (</t>
    </r>
    <r>
      <rPr>
        <sz val="9"/>
        <color indexed="8"/>
        <rFont val="宋体"/>
        <family val="3"/>
        <charset val="134"/>
      </rPr>
      <t>1</t>
    </r>
    <r>
      <rPr>
        <sz val="9"/>
        <color indexed="8"/>
        <rFont val="宋体"/>
        <family val="3"/>
        <charset val="134"/>
      </rPr>
      <t>)其他保险2%(统筹)</t>
    </r>
  </si>
  <si>
    <r>
      <t xml:space="preserve">          (</t>
    </r>
    <r>
      <rPr>
        <sz val="9"/>
        <color indexed="8"/>
        <rFont val="宋体"/>
        <family val="3"/>
        <charset val="134"/>
      </rPr>
      <t>2</t>
    </r>
    <r>
      <rPr>
        <sz val="9"/>
        <color indexed="8"/>
        <rFont val="宋体"/>
        <family val="3"/>
        <charset val="134"/>
      </rPr>
      <t>)其他保险2%(单位)</t>
    </r>
  </si>
  <si>
    <t>　　　　1、基本养老保险16%</t>
    <phoneticPr fontId="2" type="noConversion"/>
  </si>
  <si>
    <t xml:space="preserve">       10、培训费</t>
    <phoneticPr fontId="2" type="noConversion"/>
  </si>
  <si>
    <t>主款项</t>
    <phoneticPr fontId="2" type="noConversion"/>
  </si>
  <si>
    <t>生均定额5%</t>
    <phoneticPr fontId="2" type="noConversion"/>
  </si>
  <si>
    <t xml:space="preserve">
无车辆按32000元编制预算
机关局有编制的车辆，每分校增加10000元，每个分园增加5000元编制预算</t>
    <phoneticPr fontId="2" type="noConversion"/>
  </si>
  <si>
    <t>填写2020年9月在编教职工人数</t>
    <phoneticPr fontId="2" type="noConversion"/>
  </si>
  <si>
    <t>填写2020年秋季学期学生人数，以招办人数为准（待下发）</t>
    <phoneticPr fontId="2" type="noConversion"/>
  </si>
  <si>
    <t>学校</t>
    <phoneticPr fontId="15" type="noConversion"/>
  </si>
  <si>
    <t>备注</t>
  </si>
  <si>
    <t xml:space="preserve">
有车但机关局无编制的车辆按32000元编制预算
机关局有编制的车辆，每分校增加10000元，每个分园增加5000元编制预算</t>
  </si>
  <si>
    <t>2021年闵行教育信息化项目预算申报汇总明细（镇管项目）</t>
  </si>
  <si>
    <t>项目内容</t>
  </si>
  <si>
    <t>项目明细</t>
  </si>
  <si>
    <t>规格型号或数量单位</t>
  </si>
  <si>
    <t>数量</t>
  </si>
  <si>
    <t>单价</t>
  </si>
  <si>
    <t>金额</t>
  </si>
  <si>
    <t>上海市闵行区晶采坊幼儿园校园网络改造</t>
  </si>
  <si>
    <t>项</t>
  </si>
  <si>
    <t>上海市闵行区罗阳河畔幼儿园校园网络改造</t>
  </si>
  <si>
    <t>上海中医药大学附属闵行蔷薇小学</t>
  </si>
  <si>
    <t>上海中医药大学附属闵行蔷薇小学教育信息化应用标杆培育校创建项目（二期）</t>
  </si>
  <si>
    <t>梅陇小计</t>
  </si>
  <si>
    <t>闵行区佳佳中心幼儿园</t>
  </si>
  <si>
    <t>闵行区佳佳中心幼儿园校园网络改造</t>
  </si>
  <si>
    <t>莘庄小计</t>
  </si>
  <si>
    <t>闵行区七宝中心幼儿园</t>
  </si>
  <si>
    <t>闵行区七宝中心幼儿园校园网络改造</t>
  </si>
  <si>
    <t>七宝小计</t>
  </si>
  <si>
    <t>华东师范大学闵行永德实验幼儿园校园网络改造</t>
  </si>
  <si>
    <t>吴泾小计</t>
  </si>
  <si>
    <t>镇级总计</t>
  </si>
  <si>
    <t>学校</t>
  </si>
  <si>
    <t>特色课程建设</t>
  </si>
  <si>
    <t>基于园本阅读特色课程下
校园文化环境创设的研究</t>
  </si>
  <si>
    <t>课程的研发、课件的研发，培训、
指导费、环境布置费</t>
  </si>
  <si>
    <t>幼儿成长</t>
  </si>
  <si>
    <t>以科创启蒙阅读为载体，
促进幼儿全面发展的实践研究</t>
  </si>
  <si>
    <t>课题研究、科创培训、定制设备、
环境创设，幼儿发展评估</t>
  </si>
  <si>
    <t>教育保育</t>
  </si>
  <si>
    <t>保育工作</t>
  </si>
  <si>
    <t>美食之旅系列活动探究实践</t>
  </si>
  <si>
    <t>课程建设</t>
  </si>
  <si>
    <t>KDL运动游戏课程的实践研究</t>
  </si>
  <si>
    <t>闵行区吴泾镇教育委员会</t>
  </si>
  <si>
    <t>儿童学“四史”主题实践活动</t>
  </si>
  <si>
    <t>“四史”主题实践场馆体验配送</t>
  </si>
  <si>
    <t>吴泾镇学前研训基地工作开展</t>
  </si>
  <si>
    <t>1、专家指导
2、研训活动场地布置
3、成果印制、发表及宣传</t>
  </si>
  <si>
    <t>科学启迪智慧办园特色课程扶持</t>
  </si>
  <si>
    <t>1、科学启迪智慧课题研究经费及成果印制 
2、交流活动及宣传费</t>
  </si>
  <si>
    <t>吴泾镇小计</t>
  </si>
  <si>
    <t>闵行区浦江镇第二幼儿园</t>
  </si>
  <si>
    <t>幼儿环保体验活动</t>
  </si>
  <si>
    <t>从幼儿阶段起要增强幼儿关爱自然的情感，
丰富幼儿关爱自然的经验</t>
  </si>
  <si>
    <t>闵行区浦江镇第三幼儿园</t>
  </si>
  <si>
    <t>幼儿运动评价定制化设备的采购</t>
  </si>
  <si>
    <t>大班年龄段的运动手环定制</t>
  </si>
  <si>
    <t>大班年龄段的运动数据显示设备定制</t>
  </si>
  <si>
    <t>小中大班不同年龄段的运动评价设备定制</t>
  </si>
  <si>
    <t>幼儿园特色课程建设</t>
  </si>
  <si>
    <t>100000</t>
  </si>
  <si>
    <t>全国足球特色幼儿园</t>
  </si>
  <si>
    <t>50000</t>
  </si>
  <si>
    <t>上海市闵行区浦江宝邸幼儿园</t>
  </si>
  <si>
    <t>自主性活动构建表现性阅读课程</t>
  </si>
  <si>
    <t>自主性课程研究活动</t>
  </si>
  <si>
    <t>自主性课程展示活动</t>
  </si>
  <si>
    <t>上海市闵行区浦莲幼儿园</t>
  </si>
  <si>
    <t>快乐玩音乐课程的构建</t>
  </si>
  <si>
    <t>课程开发团队指导费、
课程环境打造、课程材料费、书籍费</t>
  </si>
  <si>
    <t>上海市闵行区浦航幼儿园</t>
  </si>
  <si>
    <t>幼儿语言发展特色课程的
开发和实践研究</t>
  </si>
  <si>
    <t>专家指导幼儿培训</t>
  </si>
  <si>
    <t>上海市闵行区浦江瑞和城幼儿园</t>
  </si>
  <si>
    <t>运用单项深度法优化幼儿园美术活动
的实践研究</t>
  </si>
  <si>
    <t>活动实践（操作工具和材料费）</t>
  </si>
  <si>
    <t>运用单项深度法优化幼儿园美术活动的实践研究</t>
  </si>
  <si>
    <t>课题研究（展示活动资料费）</t>
  </si>
  <si>
    <t>课题研究（专家指导费）</t>
  </si>
  <si>
    <t>课题研究（研发、制作费用）</t>
  </si>
  <si>
    <t>课题研究（软件、书籍费用）</t>
  </si>
  <si>
    <t>环境创设（设计、指导费）</t>
  </si>
  <si>
    <t>上海市闵行区浦江闸航路幼儿园</t>
  </si>
  <si>
    <t>环境创设与操作手册</t>
  </si>
  <si>
    <t>环境创设、手册制作</t>
  </si>
  <si>
    <t>书籍</t>
  </si>
  <si>
    <t>文本费</t>
  </si>
  <si>
    <t>新入职三大员规范操作演练</t>
  </si>
  <si>
    <t>呕吐包、急救包、道具费等</t>
  </si>
  <si>
    <t>星级三大员评定及展示交流</t>
  </si>
  <si>
    <t>评审费、材料费</t>
  </si>
  <si>
    <t>上海闵行区浦江之星幼儿园（民办）</t>
  </si>
  <si>
    <t>民办幼儿园园本课程建设</t>
  </si>
  <si>
    <t>浦江镇小计</t>
  </si>
  <si>
    <t>上海市闵行区马桥富卓幼儿园</t>
  </si>
  <si>
    <t>优质幼儿园创建</t>
  </si>
  <si>
    <t>闵行区马桥镇教育委员会</t>
  </si>
  <si>
    <t>智慧教育背景下教学活动的实践研究</t>
  </si>
  <si>
    <t xml:space="preserve">教学活动专题讲座 </t>
  </si>
  <si>
    <t>教学活动案例学习</t>
  </si>
  <si>
    <t>教学活动实践研究</t>
  </si>
  <si>
    <t>教学活动分享展示</t>
  </si>
  <si>
    <t>“悦读马桥,传承文化”
幼儿成长体验项目</t>
  </si>
  <si>
    <t>马桥富国幼儿园悦读马桥，玩转“水文化”项目</t>
  </si>
  <si>
    <t>马桥启英幼儿园“舞动童梦，唱响马桥”
幼儿成长体验项目</t>
  </si>
  <si>
    <t>马桥中心幼儿园“悦读马桥——小小手绘大变化”幼儿成长体验项目</t>
  </si>
  <si>
    <t>马桥实验幼儿园““悦读马桥，乐享生活”
幼儿生活体验项目</t>
  </si>
  <si>
    <t>马桥富卓幼儿园“快乐阅马桥”项目</t>
  </si>
  <si>
    <t>“悦读马桥,传承文化”幼儿成长体验项目</t>
  </si>
  <si>
    <t>马桥元祥幼儿园“悦读马桥—元宝乐淘陶”项目</t>
  </si>
  <si>
    <t>马桥富杰幼儿园
“童心阅马桥”多元阅读项目</t>
  </si>
  <si>
    <t>马桥镇小计</t>
  </si>
  <si>
    <t>上海市闵行区颛桥镇幼儿园</t>
  </si>
  <si>
    <t>幼儿园环保小社团项目活动建设</t>
  </si>
  <si>
    <t>小社团课程和教参的研发</t>
  </si>
  <si>
    <t>上海市闵行区颛桥镇第一幼儿园</t>
  </si>
  <si>
    <t>园本课程优化</t>
  </si>
  <si>
    <t>课程环境、教师专业技能、
信息化素养等方面的优化、课程资源库的丰实。</t>
  </si>
  <si>
    <t>上海师范大学闵行实验幼儿园</t>
  </si>
  <si>
    <t>内涵发展项目</t>
  </si>
  <si>
    <t>专家费等</t>
  </si>
  <si>
    <t>合作办学费</t>
  </si>
  <si>
    <t>上师大闵行实验幼儿园合作办学费</t>
  </si>
  <si>
    <t>上海市闵行区君莲幼儿园</t>
  </si>
  <si>
    <t>内涵发展(课程建设）</t>
  </si>
  <si>
    <t>内涵</t>
  </si>
  <si>
    <t>上海市闵行区颛桥镇田园都市幼儿园</t>
  </si>
  <si>
    <t>2021年内涵发展-优化美术创作空间，
提高幼儿审美能力的实践研究</t>
  </si>
  <si>
    <t>内涵建设</t>
  </si>
  <si>
    <t>闵行区颛桥镇教育委员会</t>
  </si>
  <si>
    <t>上海闵行区常春藤幼儿园（民办）</t>
  </si>
  <si>
    <t>上海闵行区颛桥镇颛溪幼儿园（民办）</t>
  </si>
  <si>
    <t>上海闵行区颛桥镇日月华亭幼儿园（民办）</t>
  </si>
  <si>
    <t>上海闵行区私立蒙特梭利幼儿园（民办）</t>
  </si>
  <si>
    <t>颛桥镇小计</t>
  </si>
  <si>
    <t>特色课程建设-“阅读E空间”
只会教育项目的延伸与推进</t>
  </si>
  <si>
    <t>上海市闵行区康城幼儿园</t>
  </si>
  <si>
    <t>课程其他项目</t>
  </si>
  <si>
    <t>调研、交通、书籍、宣传等</t>
  </si>
  <si>
    <t>专家指导</t>
  </si>
  <si>
    <t>讲课费、指导费等</t>
  </si>
  <si>
    <t>组织活动</t>
  </si>
  <si>
    <t>购置活动素材等</t>
  </si>
  <si>
    <t>上海市闵行区实验幼儿园</t>
  </si>
  <si>
    <t>案例集</t>
  </si>
  <si>
    <t>案例集的设计与编制</t>
  </si>
  <si>
    <t>乐创课程优化方案编制</t>
  </si>
  <si>
    <t>版面设计费、教参编制费</t>
  </si>
  <si>
    <t>评价量表设计</t>
  </si>
  <si>
    <t>量表设计</t>
  </si>
  <si>
    <t>评价量表应用手册设计</t>
  </si>
  <si>
    <t>手册设计</t>
  </si>
  <si>
    <t>其他</t>
  </si>
  <si>
    <t>讲课费、指导费</t>
  </si>
  <si>
    <t>上海闵行区今明莲浦幼儿园（民办）</t>
  </si>
  <si>
    <t>上海闵行区嘉臣爱伊幼儿园(民办）</t>
  </si>
  <si>
    <t>上海市闵行区绿世界实验幼儿园（民办）</t>
  </si>
  <si>
    <t>莘庄镇小计</t>
  </si>
  <si>
    <t>“梅厨美艺——幼儿营养膳食”视频集</t>
  </si>
  <si>
    <t>视频制作费</t>
  </si>
  <si>
    <t>画话联结课程建设</t>
  </si>
  <si>
    <t>资料材料费</t>
  </si>
  <si>
    <t>国粹润童心传承促发展</t>
  </si>
  <si>
    <t>京剧艺术启蒙</t>
  </si>
  <si>
    <t>中草药与美术相融合</t>
  </si>
  <si>
    <t>活动筹备费</t>
  </si>
  <si>
    <t>课程材料费</t>
  </si>
  <si>
    <t>资料统整</t>
  </si>
  <si>
    <t>项目研修</t>
  </si>
  <si>
    <t>方案研讨费</t>
  </si>
  <si>
    <t>项目研修费</t>
  </si>
  <si>
    <t>践行保育精细化管理，优化后勤队伍建设</t>
  </si>
  <si>
    <t>弘扬中华传统文化，丰实特色课程建设</t>
  </si>
  <si>
    <t>优化特色环境、创设茸茸百草种植园、
丰富特色课程活动</t>
  </si>
  <si>
    <t>罗阳河畔幼儿园课程研究</t>
  </si>
  <si>
    <t>国际象棋课程研究与保教管理</t>
  </si>
  <si>
    <t>家园携手，促体弱儿健康成长</t>
  </si>
  <si>
    <t>课程材料</t>
  </si>
  <si>
    <t>营养膳食</t>
  </si>
  <si>
    <t>上海市闵行区梅陇金都幼儿园</t>
  </si>
  <si>
    <t>优质保育打造幼儿品质生活——
借助信息化软件，
促进幼儿膳食营养与健康</t>
  </si>
  <si>
    <t>本项目主要围绕梅陇镇联合体共同申报的《优质保育打造幼儿品质生活》的保健管理实践研究下的子项目，根据我园保健工作中的重点，确立了《借助信息化软件，促进幼儿膳食营养与健康》的研究项目，共同实践研究提高幼儿整体膳食水平和幼儿健康体质</t>
  </si>
  <si>
    <t>开展体验式民间运动
培养幼儿运动兴趣与
品质的实践研究</t>
  </si>
  <si>
    <t>我园秉承“悦动精彩每一个”的办园理念，充分挖掘和利用民间运动材料，通过设立体验式民间运动小社团（民间运动集体活动；室内、户外民间区域性分散运动）创编中国风啦啦操活动，有效提高幼儿运动兴趣与运动品质，使幼儿得到全面的发展。</t>
  </si>
  <si>
    <t>上海市闵行区梅陇梅锦幼儿园</t>
  </si>
  <si>
    <t>上海米道，我来传唱</t>
  </si>
  <si>
    <t xml:space="preserve">班级环境，阅读表演室环境，
大厅、走廊环境 </t>
  </si>
  <si>
    <t>服装，道具</t>
  </si>
  <si>
    <t xml:space="preserve">课程材料 </t>
  </si>
  <si>
    <t xml:space="preserve">项目指导 </t>
  </si>
  <si>
    <t>梅陇镇小计</t>
  </si>
  <si>
    <t>幼儿传统武术普及课程</t>
  </si>
  <si>
    <t>授课费、武术表演编排、交流、
交流舞美、摄影、摄像、活动宣传单</t>
  </si>
  <si>
    <t>上海市闵行区星辰幼儿园</t>
  </si>
  <si>
    <t>思来氏</t>
  </si>
  <si>
    <t>思来氏评价</t>
  </si>
  <si>
    <t>闵行区航华第二幼儿园</t>
  </si>
  <si>
    <t>玩美育人</t>
  </si>
  <si>
    <t>完美课程建设</t>
  </si>
  <si>
    <t>上海市闵行区春欣幼儿园</t>
  </si>
  <si>
    <t>阅读课程的完善以及推进</t>
  </si>
  <si>
    <t>专家指导、课程环境丰富、
阅读材料购买、阅读课题推进</t>
  </si>
  <si>
    <t>七宝明强幼儿园委托管理费</t>
  </si>
  <si>
    <t>委托管理费</t>
  </si>
  <si>
    <t>闵行区七宝镇教育委员会</t>
  </si>
  <si>
    <t>幼儿艺术素养课程</t>
  </si>
  <si>
    <t>课程费</t>
  </si>
  <si>
    <t>上海闵行区维多利亚幼儿园（民办）</t>
  </si>
  <si>
    <t>上海市闵行区启英幼儿园</t>
  </si>
  <si>
    <t>七宝镇小计</t>
  </si>
  <si>
    <t>闵行区虹桥中心幼儿园</t>
  </si>
  <si>
    <t>STEM项目实践</t>
  </si>
  <si>
    <t>项目实践</t>
  </si>
  <si>
    <t>表演社团活动</t>
  </si>
  <si>
    <t>社团活动</t>
  </si>
  <si>
    <t>上海市闵行区虹鹿幼儿园</t>
  </si>
  <si>
    <t>借助信息化技术手段提升幼儿健康生活品质</t>
  </si>
  <si>
    <t>学生手环等</t>
  </si>
  <si>
    <t>闵行区龙柏第一幼儿园</t>
  </si>
  <si>
    <t>开发创意亲子活动，促进有效家园共育</t>
  </si>
  <si>
    <t>开发创意亲子活动，促进有效家园共育1</t>
  </si>
  <si>
    <t>闵行区龙柏第二幼儿园</t>
  </si>
  <si>
    <t>实践活动</t>
  </si>
  <si>
    <t>材料投放、活动开展</t>
  </si>
  <si>
    <t>虹桥镇合计</t>
  </si>
  <si>
    <t>上海市闵行区华漕镇金色幼儿园</t>
  </si>
  <si>
    <t>上海市闵行区诸翟中心幼儿园</t>
  </si>
  <si>
    <t>闵行区华漕镇教育委员会</t>
  </si>
  <si>
    <t>华漕中心幼儿园</t>
  </si>
  <si>
    <t>沪语</t>
  </si>
  <si>
    <t>尤克里里</t>
  </si>
  <si>
    <t>中国舞</t>
  </si>
  <si>
    <t>纪王幼儿园</t>
  </si>
  <si>
    <t>金色幼儿园</t>
  </si>
  <si>
    <t>诸翟幼儿园</t>
  </si>
  <si>
    <t>上海闵行区摩根亨利幼儿园（民办）</t>
  </si>
  <si>
    <t>华漕镇小计</t>
  </si>
  <si>
    <t>镇级合计</t>
  </si>
  <si>
    <t>预算单位</t>
  </si>
  <si>
    <t>闵行区虹桥中心小学</t>
  </si>
  <si>
    <t>学校少年宫</t>
  </si>
  <si>
    <t>运营管理补贴费</t>
  </si>
  <si>
    <t>非遗传承与发展 （陶笛）</t>
  </si>
  <si>
    <t>课时、专家指导费、陶笛耗材、社团建设等</t>
  </si>
  <si>
    <t>区级艺术</t>
  </si>
  <si>
    <t>闵行区龙柏小学</t>
  </si>
  <si>
    <t>足球特色建设</t>
  </si>
  <si>
    <t>全国校园足球特色学校项目培育</t>
  </si>
  <si>
    <t>闵行区上虹中学</t>
  </si>
  <si>
    <t xml:space="preserve">机器人WRO创新项目  </t>
  </si>
  <si>
    <t>课时、材料、活动与实践</t>
  </si>
  <si>
    <t>区科技特色</t>
  </si>
  <si>
    <t xml:space="preserve">啦啦操项目 </t>
  </si>
  <si>
    <t>区体育传统</t>
  </si>
  <si>
    <t>小型乐队建设</t>
  </si>
  <si>
    <t>专家指导、乐器耗材、交流展示等</t>
  </si>
  <si>
    <t>闵行区金汇实验学校</t>
  </si>
  <si>
    <t>美育特色联盟经费</t>
  </si>
  <si>
    <t xml:space="preserve">联盟学校戏剧美育推进活动 </t>
  </si>
  <si>
    <t>闵行区虹桥镇教育委员会</t>
  </si>
  <si>
    <t>中华传统体育项目培育</t>
  </si>
  <si>
    <t>武术社团建设、课时费、教学物料费用</t>
  </si>
  <si>
    <t>垃圾分类教育</t>
  </si>
  <si>
    <t>虹桥镇小计</t>
  </si>
  <si>
    <t>闵行区华博利星行小学</t>
  </si>
  <si>
    <t>舞蹈</t>
  </si>
  <si>
    <t>课时、专家指导费、社团建设等</t>
  </si>
  <si>
    <t>区一级艺术团</t>
  </si>
  <si>
    <t>区级体育</t>
  </si>
  <si>
    <t>闵行区诸翟学校</t>
  </si>
  <si>
    <t>新加</t>
  </si>
  <si>
    <t>闵行区纪王学校</t>
  </si>
  <si>
    <t>2021年篮球进校园项目</t>
  </si>
  <si>
    <t>课程培训费</t>
  </si>
  <si>
    <t>武术课程进校园</t>
  </si>
  <si>
    <t>课时费</t>
  </si>
  <si>
    <t>区传统体育</t>
  </si>
  <si>
    <t>闵行区华漕学校</t>
  </si>
  <si>
    <t xml:space="preserve">航模、车模和建模 </t>
  </si>
  <si>
    <t>授课费、材料费、学生比赛等</t>
  </si>
  <si>
    <t>区级科技</t>
  </si>
  <si>
    <t xml:space="preserve">区中小学生自行车项目建设 </t>
  </si>
  <si>
    <t>赛事组织、耗材、制作、专家指导等</t>
  </si>
  <si>
    <t>戏曲传承与发展（沪剧）</t>
  </si>
  <si>
    <t>上外初中</t>
  </si>
  <si>
    <t>美育联盟活动</t>
  </si>
  <si>
    <t>区儿童青少年近视防控主题活动</t>
  </si>
  <si>
    <t>区天蓝水清环保宣传教育系列活动</t>
  </si>
  <si>
    <t>闵行区马桥文来外国语小学</t>
  </si>
  <si>
    <t>车模机器人社团活动</t>
  </si>
  <si>
    <t>课时费、材料费、专家指导费</t>
  </si>
  <si>
    <t>闵行区马桥镇复旦万科实验中学</t>
  </si>
  <si>
    <t>马桥强恕学校</t>
  </si>
  <si>
    <t>校网球队项目</t>
  </si>
  <si>
    <t>网球队训练、学生观摩</t>
  </si>
  <si>
    <t>区级德育</t>
  </si>
  <si>
    <t>百草园环保教育主题（城市里的小农场）</t>
  </si>
  <si>
    <t>棋乐无穷育德益智教育</t>
  </si>
  <si>
    <t>闵行区蔷薇小学</t>
  </si>
  <si>
    <t>传统文化传承与发展</t>
  </si>
  <si>
    <t>陶笛教学、专家指导费、耗材、社团建设等</t>
  </si>
  <si>
    <t>区未成年人思想道德建设实践活动</t>
  </si>
  <si>
    <t>闵行区梅陇小学</t>
  </si>
  <si>
    <t>竹笛及民乐队建设</t>
  </si>
  <si>
    <t>闵行区罗阳中学</t>
  </si>
  <si>
    <t>传统文化琵琶教学、社团交流</t>
  </si>
  <si>
    <t>口袋音乐</t>
  </si>
  <si>
    <t>闵行区梅陇中学</t>
  </si>
  <si>
    <t>中医药闵行附属晶城中学</t>
  </si>
  <si>
    <t>传统文化培育与发展</t>
  </si>
  <si>
    <t>社团指导、活动开展、学生用品耗材</t>
  </si>
  <si>
    <t>闵行区梅陇镇教育委员会</t>
  </si>
  <si>
    <t>人与自然主题研学实践活动</t>
  </si>
  <si>
    <t>让学生们通过体验式学习，用科考、调研、演讲、创意、拓展等多种形式生态环保知识，提升人文素养，进一步培养环保意识、创新能力、合作能力和实践能力，提升学生综合素质。明白人与自然是生命共同体，人类必须尊重自然、顺应自然、保护自然</t>
  </si>
  <si>
    <t>家庭教育实践探索</t>
  </si>
  <si>
    <t>镇教委、学区办高度重视学生的家庭教育。将确保项目经费和工作人员，聘请专家团队，在区教育局和专家团队的指导下，在学校专业教师的配合下，有序推进涵盖中小幼不同学龄段的家庭教育的实践和探索。</t>
  </si>
  <si>
    <t>京剧文化特色项目</t>
  </si>
  <si>
    <t>课时、教材、教具、课程开发等</t>
  </si>
  <si>
    <t>闵行区浦江浦汇小学</t>
  </si>
  <si>
    <t>闵行区浦江汇秀小学</t>
  </si>
  <si>
    <t>教学课时费、专家指导费、活动耗材等</t>
  </si>
  <si>
    <t>棒垒球运动</t>
  </si>
  <si>
    <t>训练、比赛、社团活动等</t>
  </si>
  <si>
    <t>戏剧学院闵行附属学校</t>
  </si>
  <si>
    <t>无人机创客科技活动项目</t>
  </si>
  <si>
    <t>无人机创客科技活动材料费、课时费</t>
  </si>
  <si>
    <t>闵行区浦江第二中学</t>
  </si>
  <si>
    <t>地震科普特色项目</t>
  </si>
  <si>
    <t xml:space="preserve">科普馆展教具更新-VR蛋舱					 </t>
  </si>
  <si>
    <t>闵行区浦江第三中学</t>
  </si>
  <si>
    <t>闵行区浦航实验中学</t>
  </si>
  <si>
    <t>闵行区浦江镇教育委员会</t>
  </si>
  <si>
    <t>区家庭教育推进</t>
  </si>
  <si>
    <t>“家长慕课”平台、个案跟踪指导</t>
  </si>
  <si>
    <t>建党100周年主题宣传教育活动</t>
  </si>
  <si>
    <t>“我是小小升旗手”舞台剧，中小学巡演</t>
  </si>
  <si>
    <t>闵行区七宝镇明强小学</t>
  </si>
  <si>
    <t>培训费、讲师费、材料费</t>
  </si>
  <si>
    <t>闵行区七宝实验小学</t>
  </si>
  <si>
    <t>闵行区黎明小学</t>
  </si>
  <si>
    <t>联盟校活动经费</t>
  </si>
  <si>
    <t>区中小学生书法作品比赛</t>
  </si>
  <si>
    <t>书法创作、交流、展示</t>
  </si>
  <si>
    <t>学生影视教育</t>
  </si>
  <si>
    <t>戏曲传承与发展（越剧）</t>
  </si>
  <si>
    <t>戏曲教学、学生体验、专家指导</t>
  </si>
  <si>
    <t>闵行区七宝明强第二小学</t>
  </si>
  <si>
    <t>戏曲传承与发展</t>
  </si>
  <si>
    <t>教学课时费、专家指导费、学生活动与实践等</t>
  </si>
  <si>
    <t>青少年科技创新素养培育</t>
  </si>
  <si>
    <t>闵行区航华第二小学</t>
  </si>
  <si>
    <t>戏剧传承与发展（越剧）</t>
  </si>
  <si>
    <t>闵行区振兴小学</t>
  </si>
  <si>
    <t>七宝实验中学</t>
  </si>
  <si>
    <t>闵行区七宝实验中学</t>
  </si>
  <si>
    <t>闵行区七宝第二中学</t>
  </si>
  <si>
    <t>精英训练营基地建设</t>
  </si>
  <si>
    <t>口袋音乐教学</t>
  </si>
  <si>
    <t>专家指导、乐器耗材等</t>
  </si>
  <si>
    <t>闵行区七宝三中</t>
  </si>
  <si>
    <t>社团活动费、材料费、专家指导费</t>
  </si>
  <si>
    <t>区射击运动展示交流</t>
  </si>
  <si>
    <t>赛事组织、专家指导、学生用品</t>
  </si>
  <si>
    <t>文来初中</t>
  </si>
  <si>
    <t>区中小学生“红十字急救”比赛</t>
  </si>
  <si>
    <t>生态环保主题研学活动</t>
  </si>
  <si>
    <t>戏曲进校园活动</t>
  </si>
  <si>
    <t>各类体育活动费</t>
  </si>
  <si>
    <t>协和尚音</t>
  </si>
  <si>
    <t>闵行区莘庄镇教育委员会</t>
  </si>
  <si>
    <t>学生影视媒介素养培育-影视美育素养提升</t>
  </si>
  <si>
    <t>学生综合素养培育-中小学生传统文化研学活动</t>
  </si>
  <si>
    <t>健美操（啦啦操）共享课程-阳光体育活动</t>
  </si>
  <si>
    <t>学生艺术素养培育-美育素养提升（小型乐器）</t>
  </si>
  <si>
    <t>闵行区景东小学</t>
  </si>
  <si>
    <t>戏剧传承与发展（昆曲）</t>
  </si>
  <si>
    <t>闵行区永德小学</t>
  </si>
  <si>
    <t>戏剧传承与发展（京剧）</t>
  </si>
  <si>
    <t>非遗教学课时费、专家指导费、社团活动</t>
  </si>
  <si>
    <t>闵行区教育学院附属友爱实验中学</t>
  </si>
  <si>
    <t>青少年创意素养课程</t>
  </si>
  <si>
    <t>无人机教学与实践活动</t>
  </si>
  <si>
    <t>非遗文化传承</t>
  </si>
  <si>
    <t>陶笛教学、耗材、专家指导、社团活动</t>
  </si>
  <si>
    <t>区域学“四史”系列主题实践活动</t>
  </si>
  <si>
    <t>青少年科技主题实践教育活动</t>
  </si>
  <si>
    <t xml:space="preserve">区域特色科技实践课程 </t>
  </si>
  <si>
    <t>航海科技项目</t>
  </si>
  <si>
    <t>闵行区颛桥中心小学</t>
  </si>
  <si>
    <t>闵行区田园外语实验小学</t>
  </si>
  <si>
    <t>戏曲进校园</t>
  </si>
  <si>
    <t>口袋乐器走世界</t>
  </si>
  <si>
    <t>闵行区田园第二外语实验小学</t>
  </si>
  <si>
    <t>沪剧传统戏曲课程</t>
  </si>
  <si>
    <t>闵行区北桥中心小学</t>
  </si>
  <si>
    <t>学生体育健康素养提升</t>
  </si>
  <si>
    <t>闵行区颛桥中学</t>
  </si>
  <si>
    <t>闵行区北桥中学</t>
  </si>
  <si>
    <t>区禁毒教育主题教育实践活动</t>
  </si>
  <si>
    <t>剧目创编与演出，专家指导，活动物料等</t>
  </si>
  <si>
    <t>闵行区君莲学校</t>
  </si>
  <si>
    <t>区传统文化传承与发展</t>
  </si>
  <si>
    <t>扣好人生第一粒扣子</t>
  </si>
  <si>
    <t>六一节主题教育活动</t>
  </si>
  <si>
    <t>活动组织与开展</t>
  </si>
  <si>
    <t>初中强校工程</t>
  </si>
  <si>
    <t>校园空间育人提升、教师培训、课程建设</t>
  </si>
  <si>
    <t>闵行区第三轮新优质学校创建</t>
  </si>
  <si>
    <t>课程建设、教师培训、特色课程</t>
  </si>
  <si>
    <t>学区化集团化建设</t>
  </si>
  <si>
    <t>特色课程</t>
  </si>
  <si>
    <t>课程购买、材料设备、研讨交流、活动展示等</t>
  </si>
  <si>
    <t>镇本课程</t>
  </si>
  <si>
    <t>队伍建设</t>
  </si>
  <si>
    <t>虹桥小计</t>
  </si>
  <si>
    <t>诸翟学校</t>
  </si>
  <si>
    <t>纪王学校</t>
  </si>
  <si>
    <t>华漕学校</t>
  </si>
  <si>
    <t>steam</t>
  </si>
  <si>
    <t>纷分英语</t>
  </si>
  <si>
    <t>思赏行</t>
  </si>
  <si>
    <t>上闵外</t>
  </si>
  <si>
    <t>华漕小计</t>
  </si>
  <si>
    <t>马桥镇学区化（幼儿园）人工智能设备</t>
  </si>
  <si>
    <t>人工智能活动室设备</t>
  </si>
  <si>
    <t>学区化网球课程服务</t>
  </si>
  <si>
    <t>课程培训服务</t>
  </si>
  <si>
    <t>学区化网球器材</t>
  </si>
  <si>
    <t>网球、移动网、训练地标</t>
  </si>
  <si>
    <t>马桥小计</t>
  </si>
  <si>
    <t>中医药大学附属蔷薇小学</t>
  </si>
  <si>
    <t>学校特色课程</t>
  </si>
  <si>
    <t>中医药大学附属晶城中学</t>
  </si>
  <si>
    <t>复旦大学附属闵行实验学校</t>
  </si>
  <si>
    <t>教育均衡发展－优质资源引进（中小学）</t>
  </si>
  <si>
    <t>复旦大学合作项目</t>
  </si>
  <si>
    <t>合作托管费用</t>
  </si>
  <si>
    <t>创新实验室</t>
  </si>
  <si>
    <t>创新实验室设施设备</t>
  </si>
  <si>
    <t>构建以传承中医药国学传统文化为特色的镇本课程</t>
  </si>
  <si>
    <t xml:space="preserve"> 通过艺术、体育、人文、科技四大类课程设置，竹笛、武术、射箭等24项课程设计，建立覆盖梅陇20所公民办中、小、幼的镇本大课表，打造以中医国学、传统文化为特色的具有梅陇标签的课程体系</t>
  </si>
  <si>
    <t>创建“德教双馨”教师培养基地，打造学区特色教研团队</t>
  </si>
  <si>
    <t>以学区内“德教双馨”教师培养计划为抓手，通过集群办学，实现各校之间学习资源共享、师资共享，谋求共同发展，加速骨干和优秀青年教师的成长进程，形成学区内优秀教师团队，提升在闵行区乃至上海市的影响力，全面提高学区教师培养质量。</t>
  </si>
  <si>
    <t>世外教育附属浦江外国语学校</t>
  </si>
  <si>
    <t>世外合作项目</t>
  </si>
  <si>
    <t>初中学校携手共进计划</t>
  </si>
  <si>
    <t>世外教育集团托管费</t>
  </si>
  <si>
    <t>世外项目评估经费</t>
  </si>
  <si>
    <t>紧密型学区建设教育专项-初中教育联盟</t>
  </si>
  <si>
    <t>学区化交流展示活动</t>
  </si>
  <si>
    <t>紧密型学区建设教育专项-浦江戏剧教育园区</t>
  </si>
  <si>
    <t>浦江戏剧教育园区戏剧教育文化活动</t>
  </si>
  <si>
    <t>专家进校园戏剧课程活动</t>
  </si>
  <si>
    <t>紧密型学区建设教育专项-小学教育联盟</t>
  </si>
  <si>
    <t>外教进课堂</t>
  </si>
  <si>
    <t>紧密型学区建设教育专项-学前教育联盟</t>
  </si>
  <si>
    <t>联盟特色课程开展</t>
  </si>
  <si>
    <t>学前联盟大教研</t>
  </si>
  <si>
    <t>学前联盟课题研究</t>
  </si>
  <si>
    <t>浦江小计</t>
  </si>
  <si>
    <t>初中、小学、幼儿园</t>
  </si>
  <si>
    <t>建设费</t>
  </si>
  <si>
    <t>多元课程进校园</t>
  </si>
  <si>
    <t>讲课指导费、课程编制费、方案设计费、材料费、项目展示、活动组织、活动素材等</t>
  </si>
  <si>
    <t>太极文化进校园</t>
  </si>
  <si>
    <t>课时费、服装器材费、教材培训费、辅导课时费等</t>
  </si>
  <si>
    <t>整本书阅读的教学实践研究和教师培训</t>
  </si>
  <si>
    <t>师资培训、项目展示、撰写区域课程教材、区域课程教材定制等</t>
  </si>
  <si>
    <t>莘芽童声合唱团</t>
  </si>
  <si>
    <t>作品整理与创作、基础训练教材、师资训练指导费、演出服装、后勤、办公耗材等</t>
  </si>
  <si>
    <t>莘芽行进乐团</t>
  </si>
  <si>
    <t>专家指导费、训练设施、乐谱、购买乐器等</t>
  </si>
  <si>
    <t>莘庄镇小学教育联盟2021年深度推进均衡发展</t>
  </si>
  <si>
    <t>共享课程资料费、模型材料费、课程编制、开发、实施、辅导培训费、背景喷绘、证书、活动器材、活动宣传制作费、指导劳务费、活动纪念品、车辆租用费等</t>
  </si>
  <si>
    <t xml:space="preserve">华东师大为永德路系列学校提供咨询服务 </t>
  </si>
  <si>
    <t xml:space="preserve">与华东师大合作办学经费（按协议） </t>
  </si>
  <si>
    <t>吴泾镇骨干教师专业项目发展扶持</t>
  </si>
  <si>
    <t>1、骨干教师专业提升课程（100000元） 2、骨干教师成果交流展示 （100000元）</t>
  </si>
  <si>
    <t>吴泾镇学区化中小学教学内涵提升</t>
  </si>
  <si>
    <t xml:space="preserve">吴泾镇学区化中小学教学内涵提升 学校教学内涵项目扶持（20000元／所，15所共计300000元） </t>
  </si>
  <si>
    <t>吴泾镇中小幼办学特色辐射项目</t>
  </si>
  <si>
    <t>学校办学特色项目扶持（20000元／所，15所共计300000元）</t>
  </si>
  <si>
    <t>学区办工作推进和展示项目</t>
  </si>
  <si>
    <t>1、学区办推进工作经费（100000元） 2、学区化工作展示经费（100000元）</t>
  </si>
  <si>
    <t>颛桥学区一体化合作办学</t>
  </si>
  <si>
    <t>合作办学</t>
  </si>
  <si>
    <t>闵行区田园外国语中学</t>
  </si>
  <si>
    <t>田园初中冠名费</t>
  </si>
  <si>
    <t>星河湾托管</t>
  </si>
  <si>
    <t>与上宝中学合作</t>
  </si>
  <si>
    <t>颛桥小计</t>
  </si>
  <si>
    <t>学段</t>
  </si>
  <si>
    <t>义务</t>
  </si>
  <si>
    <t>标准化考场重大考试支持服务费</t>
  </si>
  <si>
    <t xml:space="preserve">标准化考场重大考试支持服务费 </t>
  </si>
  <si>
    <t>巡考、信号屏蔽、考生身份验证系统日常维护及考试期间的技术支持及服务费</t>
  </si>
  <si>
    <t>标准化考场网上视频巡查系统（2021运维）</t>
  </si>
  <si>
    <t>七宝第二中学</t>
  </si>
  <si>
    <t>七宝第三中学</t>
  </si>
  <si>
    <t>浦江第三中学</t>
  </si>
  <si>
    <t>友爱实验中学</t>
  </si>
  <si>
    <t>梅陇合计</t>
  </si>
  <si>
    <t>镇级金额</t>
  </si>
  <si>
    <t>七宝中心幼儿园</t>
  </si>
  <si>
    <t>非义务</t>
  </si>
  <si>
    <t>校园长培训基地工作经费</t>
  </si>
  <si>
    <t>骨干教师培养基地</t>
  </si>
  <si>
    <t>启音幼儿园(民办）</t>
  </si>
  <si>
    <t>区班主任工作室</t>
  </si>
  <si>
    <t>区德育实践研究基地</t>
  </si>
  <si>
    <t>区家庭健康教育分中心</t>
  </si>
  <si>
    <t>文来中学(民办）</t>
  </si>
  <si>
    <t>名师工作室</t>
  </si>
  <si>
    <t>文来中学（民办）</t>
  </si>
  <si>
    <t>双名基地（种子计划）基地</t>
  </si>
  <si>
    <t>友爱实中</t>
  </si>
  <si>
    <t>2021.9-2026.8</t>
    <phoneticPr fontId="1" type="noConversion"/>
  </si>
  <si>
    <t>5年</t>
    <phoneticPr fontId="1" type="noConversion"/>
  </si>
  <si>
    <t>协议未签订</t>
    <phoneticPr fontId="1" type="noConversion"/>
  </si>
  <si>
    <t>2021年莘庄镇校舍维修项目预算细化表</t>
    <phoneticPr fontId="2" type="noConversion"/>
  </si>
  <si>
    <t>学校全称</t>
  </si>
  <si>
    <t>地址</t>
  </si>
  <si>
    <t>建筑物名称</t>
  </si>
  <si>
    <t>校舍维修内容</t>
  </si>
  <si>
    <t>工程量</t>
  </si>
  <si>
    <t>单价（元）</t>
  </si>
  <si>
    <t>合价（元）</t>
  </si>
  <si>
    <t>踏勘意见</t>
    <phoneticPr fontId="1" type="noConversion"/>
  </si>
  <si>
    <t>㎡</t>
  </si>
  <si>
    <t>幼儿盥洗室</t>
  </si>
  <si>
    <t>更换洁具，装修墙、地、顶，水电重排</t>
  </si>
  <si>
    <t>间</t>
  </si>
  <si>
    <t>建安费合计</t>
  </si>
  <si>
    <t>二类费用(按10%计）</t>
    <phoneticPr fontId="1" type="noConversion"/>
  </si>
  <si>
    <t>不可预见费(按5%计）</t>
    <phoneticPr fontId="1" type="noConversion"/>
  </si>
  <si>
    <t>合计</t>
    <phoneticPr fontId="2" type="noConversion"/>
  </si>
  <si>
    <t>拆除原有屋面防水及垃圾外运</t>
    <phoneticPr fontId="1" type="noConversion"/>
  </si>
  <si>
    <t>铲除面层及垃圾外运</t>
  </si>
  <si>
    <t>m</t>
    <phoneticPr fontId="2" type="noConversion"/>
  </si>
  <si>
    <t>场地检测费</t>
    <phoneticPr fontId="1" type="noConversion"/>
  </si>
  <si>
    <t>场地建设</t>
  </si>
  <si>
    <t xml:space="preserve">校园围墙（包括校园铭牌门头） </t>
  </si>
  <si>
    <t>项</t>
    <phoneticPr fontId="1" type="noConversion"/>
  </si>
  <si>
    <t>改造修缮</t>
  </si>
  <si>
    <t xml:space="preserve">项目明细5：楼道扶手翻新 </t>
  </si>
  <si>
    <t>2021年吴泾镇校舍维修项目预算细化表</t>
    <phoneticPr fontId="1" type="noConversion"/>
  </si>
  <si>
    <t> ㎡</t>
  </si>
  <si>
    <t>景东路851号</t>
  </si>
  <si>
    <t>15厚EPDM塑胶场地</t>
    <phoneticPr fontId="2" type="noConversion"/>
  </si>
  <si>
    <t>厨房操作间</t>
  </si>
  <si>
    <t>吊顶</t>
  </si>
  <si>
    <t>多功能室外</t>
  </si>
  <si>
    <t>阳台防水</t>
  </si>
  <si>
    <t>保育操作间</t>
  </si>
  <si>
    <t>水电管道重排瓷砖地砖排风设备</t>
  </si>
  <si>
    <t>尚义路385号</t>
  </si>
  <si>
    <t>城市建造馆</t>
  </si>
  <si>
    <t>造型吊顶</t>
  </si>
  <si>
    <t>灯光</t>
  </si>
  <si>
    <t>地台</t>
  </si>
  <si>
    <t>墙面粉刷</t>
  </si>
  <si>
    <t>墙面造型</t>
  </si>
  <si>
    <t xml:space="preserve">城市奇妙屋 </t>
  </si>
  <si>
    <t>区域隔断</t>
  </si>
  <si>
    <t>艺术创想室</t>
  </si>
  <si>
    <t>几何艺术吊框</t>
  </si>
  <si>
    <t>墙面艺术造型</t>
  </si>
  <si>
    <t>艺术隔断</t>
  </si>
  <si>
    <t>艺术创想长廊吊顶</t>
  </si>
  <si>
    <t>艺术创想长廊灯光</t>
  </si>
  <si>
    <t>艺术创想长廊墙面造型</t>
  </si>
  <si>
    <t>总计</t>
  </si>
  <si>
    <t>2021年七宝镇校舍维修项目预算细化表</t>
    <phoneticPr fontId="2" type="noConversion"/>
  </si>
  <si>
    <t>木紫藤架更新</t>
  </si>
  <si>
    <t>七宝二中（北校区）</t>
  </si>
  <si>
    <t>场地</t>
  </si>
  <si>
    <t>面层脱落较多、面层薄。基层为水泥</t>
    <phoneticPr fontId="1" type="noConversion"/>
  </si>
  <si>
    <t>校园污水道维修</t>
  </si>
  <si>
    <t>总园大楼</t>
  </si>
  <si>
    <t>照明插座线路改造</t>
  </si>
  <si>
    <t>教室地板</t>
  </si>
  <si>
    <t>厨房</t>
  </si>
  <si>
    <t>整体改造</t>
  </si>
  <si>
    <t>围墙</t>
  </si>
  <si>
    <t>m</t>
  </si>
  <si>
    <t>篮球场</t>
  </si>
  <si>
    <t>校园沥青路面维修</t>
  </si>
  <si>
    <t>2021年浦江镇校舍维修项目预算细化表</t>
    <phoneticPr fontId="1" type="noConversion"/>
  </si>
  <si>
    <t>序号</t>
    <phoneticPr fontId="1" type="noConversion"/>
  </si>
  <si>
    <t>行政教学楼、综合楼</t>
  </si>
  <si>
    <t>闸航路2689号</t>
  </si>
  <si>
    <t>浦江镇江协路30号</t>
  </si>
  <si>
    <t>教学楼</t>
  </si>
  <si>
    <t>西楼屋面渗水</t>
  </si>
  <si>
    <t>西楼天沟漏水</t>
  </si>
  <si>
    <t>南楼屋面渗水</t>
  </si>
  <si>
    <t>南楼天沟漏水</t>
  </si>
  <si>
    <t>闵行区浦江镇汇臻路979号</t>
  </si>
  <si>
    <t>闵行区浦江镇江文路188号</t>
  </si>
  <si>
    <t>运动砖地</t>
  </si>
  <si>
    <t>玻璃棚</t>
  </si>
  <si>
    <t>上海市闵行区浦江宝邸幼儿园（水语分园）</t>
  </si>
  <si>
    <t>闵行区浦江镇浦涛路722号</t>
  </si>
  <si>
    <t>屋顶防水</t>
  </si>
  <si>
    <t>防水卷材</t>
  </si>
  <si>
    <t>浦涛路86号</t>
  </si>
  <si>
    <t>大班班级墙裙维修</t>
  </si>
  <si>
    <t>三楼PVC地面</t>
  </si>
  <si>
    <t>三楼走廊吊顶</t>
  </si>
  <si>
    <t>鲁浩路281号</t>
  </si>
  <si>
    <t>沙水改造</t>
  </si>
  <si>
    <t>沙池扩建，配套设施（出水口设置，水池设置改建）</t>
  </si>
  <si>
    <t>三楼5个教室活动区域吊顶改造</t>
  </si>
  <si>
    <t>木门更换</t>
  </si>
  <si>
    <t>车行道、马路改造</t>
  </si>
  <si>
    <t>学校马路柏油铺设</t>
  </si>
  <si>
    <t>排球场</t>
  </si>
  <si>
    <t>足球场</t>
  </si>
  <si>
    <t>田径场</t>
  </si>
  <si>
    <t>二类费用(按15%计）</t>
  </si>
  <si>
    <t>2021年梅陇镇校舍维修项目预算细化表</t>
    <phoneticPr fontId="2" type="noConversion"/>
  </si>
  <si>
    <t>晶华坊幼儿园</t>
  </si>
  <si>
    <t>业祥路228号</t>
  </si>
  <si>
    <t>场地修缮</t>
  </si>
  <si>
    <t>门口道路拓宽</t>
  </si>
  <si>
    <t>浇混凝土</t>
  </si>
  <si>
    <t>实验楼</t>
  </si>
  <si>
    <t xml:space="preserve"> 2021年马桥镇校舍维修项目预算细化表</t>
    <phoneticPr fontId="2" type="noConversion"/>
  </si>
  <si>
    <t>北楼3、4、5学生教室外走廊柱子书柜</t>
  </si>
  <si>
    <t xml:space="preserve"> 2021年华漕镇校舍维修项目预算细化表</t>
    <phoneticPr fontId="2" type="noConversion"/>
  </si>
  <si>
    <t>银杏新村29号</t>
  </si>
  <si>
    <t>教室地板更换</t>
    <phoneticPr fontId="1" type="noConversion"/>
  </si>
  <si>
    <t>复合地板局部松动下凹沉降</t>
    <phoneticPr fontId="1" type="noConversion"/>
  </si>
  <si>
    <t>纪高路688号</t>
  </si>
  <si>
    <t>每间教室的配套餐厅，较陈旧，局部几块开裂破损</t>
    <phoneticPr fontId="2" type="noConversion"/>
  </si>
  <si>
    <t>更换教室及办办公室实木复合地板</t>
    <phoneticPr fontId="1" type="noConversion"/>
  </si>
  <si>
    <t>局部复合地板破损，表面磨损较多</t>
    <phoneticPr fontId="1" type="noConversion"/>
  </si>
  <si>
    <t xml:space="preserve">          2021年颛桥镇校舍维修项目预算细化表</t>
    <phoneticPr fontId="2" type="noConversion"/>
  </si>
  <si>
    <t>老沪闵路3112号</t>
  </si>
  <si>
    <t>学校厨房</t>
  </si>
  <si>
    <t>厨房大修</t>
  </si>
  <si>
    <t>学校教工餐厅</t>
  </si>
  <si>
    <t>厕所改造</t>
  </si>
  <si>
    <t>北大楼</t>
  </si>
  <si>
    <t>屋顶沥青瓦更换</t>
  </si>
  <si>
    <t>消防管改造</t>
  </si>
  <si>
    <t>室内吊顶</t>
  </si>
  <si>
    <t>屋面维修</t>
  </si>
  <si>
    <t>上海市闵行区颛桥镇幼儿园（荣顺园）</t>
    <phoneticPr fontId="2" type="noConversion"/>
  </si>
  <si>
    <t>颛盛路135弄82号</t>
    <phoneticPr fontId="2" type="noConversion"/>
  </si>
  <si>
    <t>塑胶操场</t>
    <phoneticPr fontId="2" type="noConversion"/>
  </si>
  <si>
    <t>上海市闵行区君莲学校</t>
    <phoneticPr fontId="2" type="noConversion"/>
  </si>
  <si>
    <t>沪光路120号</t>
  </si>
  <si>
    <t>中学部爱莲楼-育莲楼</t>
  </si>
  <si>
    <t>上海市闵行区田园外语实验小学（银都）</t>
    <phoneticPr fontId="2" type="noConversion"/>
  </si>
  <si>
    <t>室外道路</t>
  </si>
  <si>
    <t>铺设黑色沥青路面</t>
    <phoneticPr fontId="2" type="noConversion"/>
  </si>
  <si>
    <t>雨污水分流改造</t>
    <phoneticPr fontId="2" type="noConversion"/>
  </si>
  <si>
    <t>雨污水管道</t>
    <phoneticPr fontId="2" type="noConversion"/>
  </si>
  <si>
    <t>检测井</t>
    <phoneticPr fontId="1" type="noConversion"/>
  </si>
  <si>
    <t>上海市闵行区君莲幼儿园</t>
    <phoneticPr fontId="2" type="noConversion"/>
  </si>
  <si>
    <t>春都路210号</t>
    <phoneticPr fontId="1" type="noConversion"/>
  </si>
  <si>
    <t>保育员操作室</t>
  </si>
  <si>
    <t xml:space="preserve">          2021年虹桥镇校舍维修项目预算细化表</t>
    <phoneticPr fontId="2" type="noConversion"/>
  </si>
  <si>
    <t>白樟路125号</t>
  </si>
  <si>
    <t>平屋顶防水、隔热层修缮</t>
    <phoneticPr fontId="1" type="noConversion"/>
  </si>
  <si>
    <t>闵行区龙柏第二幼儿园分园</t>
  </si>
  <si>
    <t>龙柏七村41号</t>
  </si>
  <si>
    <t>屋顶修缮</t>
  </si>
  <si>
    <t>上海市龙柏中学</t>
  </si>
  <si>
    <t>闵行区兰竹路8号</t>
  </si>
  <si>
    <t>食堂</t>
  </si>
  <si>
    <t>强电改造</t>
  </si>
  <si>
    <t>体育器械区</t>
  </si>
  <si>
    <t>红松路81弄18号</t>
  </si>
  <si>
    <t>中学部三楼语音中考考场1</t>
  </si>
  <si>
    <t>墙面吸音硬包</t>
  </si>
  <si>
    <t>双层隔音玻璃窗、窗台</t>
  </si>
  <si>
    <t>中学部四楼语音中考考场2</t>
  </si>
  <si>
    <t>中学部四楼语音中考考场3</t>
  </si>
  <si>
    <t>成美楼</t>
  </si>
  <si>
    <t>成美楼5楼管乐训练室墙面吸音硬包（9间）</t>
  </si>
  <si>
    <t>2020年镇管专项空气检测增加费用</t>
    <phoneticPr fontId="1" type="noConversion"/>
  </si>
  <si>
    <t>镇属</t>
    <phoneticPr fontId="1" type="noConversion"/>
  </si>
  <si>
    <t>学校名称</t>
    <phoneticPr fontId="1" type="noConversion"/>
  </si>
  <si>
    <t>学校地址</t>
    <phoneticPr fontId="1" type="noConversion"/>
  </si>
  <si>
    <t>增加费用</t>
  </si>
  <si>
    <t>群益路150号</t>
  </si>
  <si>
    <t>浦江小计</t>
    <phoneticPr fontId="1" type="noConversion"/>
  </si>
  <si>
    <t>华师大闵行永德路实验小学</t>
    <phoneticPr fontId="1" type="noConversion"/>
  </si>
  <si>
    <t>永德路1160号</t>
  </si>
  <si>
    <t>闵行区教育学院附属友爱中学</t>
    <phoneticPr fontId="1" type="noConversion"/>
  </si>
  <si>
    <t>剑川路408号</t>
  </si>
  <si>
    <t>民办塘湾小学（分校区）</t>
    <phoneticPr fontId="1" type="noConversion"/>
  </si>
  <si>
    <t>龙吴路5530号43弄</t>
  </si>
  <si>
    <t>虹鹿幼儿园（虹中园）</t>
    <phoneticPr fontId="1" type="noConversion"/>
  </si>
  <si>
    <t>虹中路780弄45号</t>
    <phoneticPr fontId="1" type="noConversion"/>
  </si>
  <si>
    <t>虹桥中心幼儿园（古北园）</t>
    <phoneticPr fontId="1" type="noConversion"/>
  </si>
  <si>
    <t>红松东路218号</t>
    <phoneticPr fontId="1" type="noConversion"/>
  </si>
  <si>
    <t>虹桥小计</t>
    <phoneticPr fontId="1" type="noConversion"/>
  </si>
  <si>
    <t>沪光路120号（中学部）</t>
  </si>
  <si>
    <t>田园都市幼儿园</t>
  </si>
  <si>
    <t>银都路3118弄3区36号</t>
  </si>
  <si>
    <t>颛桥小计</t>
    <phoneticPr fontId="1" type="noConversion"/>
  </si>
  <si>
    <t>通过开展环保小卫士主题研学活动，加强对青少年垃圾分类宣传教育活动，提升环保意识。</t>
  </si>
  <si>
    <t>学校体育项目培育（太极击剑）</t>
  </si>
  <si>
    <t>课堂教学与学生活动</t>
  </si>
  <si>
    <t>课程开发，活动开展、社团实践，服装道具等</t>
  </si>
  <si>
    <t>学生美育素养提升系列活动</t>
  </si>
  <si>
    <t>开展中外学生艺术节，促进中外文化交流。</t>
  </si>
  <si>
    <t>工作研讨、专家指导、会务资料、学生活动与用品等</t>
  </si>
  <si>
    <t>根据小学阶段学生特点，开展主题性剧目创编、组织演出，活动交流与总结，相关物料与配送。</t>
  </si>
  <si>
    <t>青少年创新素养培育</t>
  </si>
  <si>
    <t>模型创作与制作课时费、耗材、专家指导、学生活动与实践等</t>
  </si>
  <si>
    <t>课时费、专家指导费、耗材、陶笛文化交流与展示</t>
  </si>
  <si>
    <t>课程设计、活动物料、活动开展与实践、学生用品、专家指导等</t>
  </si>
  <si>
    <t>授课费、专家指导费、学生活动、赛事组织</t>
  </si>
  <si>
    <t>青少年传统文化传承与发展</t>
  </si>
  <si>
    <t>非遗文化探寻研学活动策划、课程设计、物料、活动组织等。</t>
  </si>
  <si>
    <t>建党100周年主题教育策划与实施、音视频制作、学生用品、总结表彰等</t>
  </si>
  <si>
    <t>区青少年美育素养提升主题教育活动</t>
  </si>
  <si>
    <t>“建党100周年”美育活动组织策划，音视频制作，物料及学生用品，项目制作配送，专家指导等</t>
  </si>
  <si>
    <t>授课费、专家指导费、耗材、活动开展、陶笛展示交流</t>
  </si>
  <si>
    <t>健康校园系列活动</t>
  </si>
  <si>
    <t>“爱的传递”心理剧主题教育活动、交流、研讨</t>
  </si>
  <si>
    <t>区中华传统文化传承与发展系列教育</t>
  </si>
  <si>
    <t>中小学生“非遗小达人”实践体验教育研学活动，交流互动、学生用品、总结表彰</t>
  </si>
  <si>
    <t>课程设计、专家指导、学生活动与实践</t>
  </si>
  <si>
    <t>车模教学课时费、专家指导费、耗材、社团活动等</t>
  </si>
  <si>
    <t>国学教育社团建设、学生用品、专家指导</t>
  </si>
  <si>
    <t>赛事组织、师生培训、专家指导、赛事物料、奖状奖杯、总结表彰等</t>
  </si>
  <si>
    <t>学生活动策划与组织、研学课程设计、物料及学生用品、专家指导等</t>
  </si>
  <si>
    <t>区戏曲展演策划与组织、专家指导、舞台道具、材料制作、学生用品等</t>
  </si>
  <si>
    <t>羽毛球，乒乓球竞赛活动</t>
  </si>
  <si>
    <t>中华传统体育项目（武术）</t>
  </si>
  <si>
    <t>授课费、社团培育、专家指导、学生活动开展</t>
  </si>
  <si>
    <t>影视美术课程设计制作、音视频制作、专家指导费、授课费等</t>
  </si>
  <si>
    <t>课程设计与实施、交通、保险、服装、餐饮、宣传、资料、学生用品等</t>
  </si>
  <si>
    <t>课时费、专家指导、项目展示、活动组织、交流与总结等</t>
  </si>
  <si>
    <t>专家指导、乐器耗材、交流展示、总结表彰等</t>
  </si>
  <si>
    <t xml:space="preserve">1、“四史”主题评选活动（20000元） 2、主题探访活动（20000元） </t>
  </si>
  <si>
    <t>爱祖国爱家乡系列教育</t>
  </si>
  <si>
    <t>环保生态宣传、剧目创编、舞台道具、校园巡演、学生用品、专家指导等</t>
  </si>
  <si>
    <t>课程设计与实施、专家指导、教学材料等</t>
  </si>
  <si>
    <t>小型乐器教学活动、指导费、社团音乐会</t>
  </si>
  <si>
    <t>授课费、物料费、交流展示等</t>
  </si>
  <si>
    <t>“一校多品”运动项目培育</t>
  </si>
  <si>
    <t>区中小学生主题教育活动、项目评比、展示交流、总结表彰等</t>
  </si>
  <si>
    <t>学生美育素养提升</t>
  </si>
  <si>
    <t>陶笛教育教学、学生实践活动</t>
  </si>
  <si>
    <t>庆祝建党100周年，开展中小学生传统文化研学活动，引导学生好好学习奋发向上。</t>
  </si>
  <si>
    <t>青少年学生美育素养提升</t>
  </si>
  <si>
    <t>儿童剧创编与演出，专家指导、舞台道具、物料损耗、音视频制作、交流与总结。</t>
  </si>
  <si>
    <t>2020年镇管学校校舍修缮专项投资计划尾款</t>
    <phoneticPr fontId="1" type="noConversion"/>
  </si>
  <si>
    <t>镇</t>
  </si>
  <si>
    <t>开办年份</t>
  </si>
  <si>
    <t>学校总务主任姓名/手机</t>
  </si>
  <si>
    <t>学校属性（幼儿园/小学/中学/九年一贯）</t>
  </si>
  <si>
    <t>维修类型</t>
  </si>
  <si>
    <t>合同价（元）</t>
    <phoneticPr fontId="1" type="noConversion"/>
  </si>
  <si>
    <t>审定价（元）</t>
    <phoneticPr fontId="1" type="noConversion"/>
  </si>
  <si>
    <t>补2020年尾款（元）</t>
    <phoneticPr fontId="1" type="noConversion"/>
  </si>
  <si>
    <t>局部维修</t>
  </si>
  <si>
    <t>幼儿园</t>
    <phoneticPr fontId="2" type="noConversion"/>
  </si>
  <si>
    <t>局部修缮</t>
    <phoneticPr fontId="2" type="noConversion"/>
  </si>
  <si>
    <t>小学</t>
  </si>
  <si>
    <t>马桥实验小学</t>
  </si>
  <si>
    <t>金荣明13611868528</t>
  </si>
  <si>
    <t>江协路151号</t>
  </si>
  <si>
    <t>中学</t>
  </si>
  <si>
    <t>局部修缮</t>
  </si>
  <si>
    <t>浦江三幼浦润分园</t>
  </si>
  <si>
    <t>姚翠红13817536795</t>
  </si>
  <si>
    <t>浦航路706号</t>
  </si>
  <si>
    <t>幼儿园</t>
  </si>
  <si>
    <t>张国昌18621987839</t>
  </si>
  <si>
    <t>谈中路128号</t>
  </si>
  <si>
    <t>孙斌13816852289</t>
  </si>
  <si>
    <t>浦航路199号</t>
  </si>
  <si>
    <t>宝邸幼儿园总园</t>
  </si>
  <si>
    <t>冯艳13641627432</t>
  </si>
  <si>
    <t>江文路188号</t>
  </si>
  <si>
    <t>闸航路幼儿园</t>
  </si>
  <si>
    <t>姚斌15800511770</t>
  </si>
  <si>
    <t>闸航路4290号</t>
  </si>
  <si>
    <t>宝邸水语分园</t>
  </si>
  <si>
    <t>浦涛路722号</t>
  </si>
  <si>
    <t>浦江二幼总园</t>
  </si>
  <si>
    <t>曹惠仙13166018530</t>
  </si>
  <si>
    <t>浦莲幼儿园佳兴分园</t>
  </si>
  <si>
    <t>陈春花15201880824</t>
  </si>
  <si>
    <t>永跃路706号</t>
  </si>
  <si>
    <t>闵瑞路501号</t>
  </si>
  <si>
    <t>闵行区虹桥中心幼儿园古北园</t>
  </si>
  <si>
    <t>祝培丽  15000309531</t>
  </si>
  <si>
    <t>红松东路218号</t>
  </si>
  <si>
    <t>黄海娟  13818844231</t>
  </si>
  <si>
    <t>虹中路780弄45号</t>
  </si>
  <si>
    <t xml:space="preserve">
局部修缮</t>
  </si>
  <si>
    <t>上海市闵行区虹鹿幼儿园井亭分园</t>
  </si>
  <si>
    <t>虹莘路3799弄50号</t>
  </si>
  <si>
    <t>闵行区龙柏第二幼儿园（分园）</t>
  </si>
  <si>
    <t>唐菁  13524636091</t>
  </si>
  <si>
    <t>华虹小学</t>
  </si>
  <si>
    <t>紫藤路125弄59号</t>
  </si>
  <si>
    <t>闵行区春欣幼儿园</t>
  </si>
  <si>
    <t>胡冬妮17701822702</t>
  </si>
  <si>
    <t>沪松公路565弄26号</t>
  </si>
  <si>
    <t>实验小学(静安新城校区）</t>
  </si>
  <si>
    <t>崔炎18721327758</t>
  </si>
  <si>
    <t>漕宝路1467弄4区64号</t>
  </si>
  <si>
    <t>张卫忠13651839612</t>
  </si>
  <si>
    <t>宝南路88号</t>
  </si>
  <si>
    <t>联明路180号</t>
  </si>
  <si>
    <t>闵行区航华第二幼儿园（分园）</t>
  </si>
  <si>
    <t>顾17321303588</t>
  </si>
  <si>
    <t>航华一村71号</t>
  </si>
  <si>
    <t>上海市闵行区七宝二中（北校区）</t>
  </si>
  <si>
    <t>航新路75号</t>
  </si>
  <si>
    <t>合   计</t>
  </si>
  <si>
    <t>九年一贯制</t>
  </si>
  <si>
    <t>吴剑林、13501803104</t>
  </si>
  <si>
    <t>纪翟路1655号</t>
  </si>
  <si>
    <t>1994年</t>
  </si>
  <si>
    <t>武海燕（15821966819）</t>
  </si>
  <si>
    <t>平乐路125号</t>
  </si>
  <si>
    <r>
      <t xml:space="preserve">吴勇德 </t>
    </r>
    <r>
      <rPr>
        <sz val="9"/>
        <color indexed="8"/>
        <rFont val="宋体"/>
        <family val="3"/>
        <charset val="134"/>
      </rPr>
      <t xml:space="preserve"> 15900568393</t>
    </r>
  </si>
  <si>
    <r>
      <t>申长路2</t>
    </r>
    <r>
      <rPr>
        <sz val="9"/>
        <color indexed="8"/>
        <rFont val="宋体"/>
        <family val="3"/>
        <charset val="134"/>
      </rPr>
      <t>051弄32号</t>
    </r>
  </si>
  <si>
    <t>9.5折下达</t>
    <phoneticPr fontId="1" type="noConversion"/>
  </si>
  <si>
    <t>踏勘意见</t>
    <phoneticPr fontId="1" type="noConversion"/>
  </si>
  <si>
    <t>9.5折下达</t>
    <phoneticPr fontId="1" type="noConversion"/>
  </si>
  <si>
    <t>踏勘意见</t>
    <phoneticPr fontId="1" type="noConversion"/>
  </si>
  <si>
    <t>闵行区佳佳中心幼儿园联东分园</t>
    <phoneticPr fontId="2" type="noConversion"/>
  </si>
  <si>
    <t>春申路2768弄56号</t>
    <phoneticPr fontId="2" type="noConversion"/>
  </si>
  <si>
    <t>户外</t>
    <phoneticPr fontId="1" type="noConversion"/>
  </si>
  <si>
    <t>拆除原有，新做塑木地板</t>
    <phoneticPr fontId="1" type="noConversion"/>
  </si>
  <si>
    <t>局部细缝、局部漏水，整体尚可，创优质示范学校</t>
    <phoneticPr fontId="1" type="noConversion"/>
  </si>
  <si>
    <t>13年做，较硬</t>
    <phoneticPr fontId="1" type="noConversion"/>
  </si>
  <si>
    <t>二类费用(按10%计）</t>
    <phoneticPr fontId="1" type="noConversion"/>
  </si>
  <si>
    <t>不可预见费(按5%计）</t>
    <phoneticPr fontId="1" type="noConversion"/>
  </si>
  <si>
    <t>合计</t>
    <phoneticPr fontId="2" type="noConversion"/>
  </si>
  <si>
    <t>上海市闵行区康城幼儿园</t>
    <phoneticPr fontId="2" type="noConversion"/>
  </si>
  <si>
    <t>莘松路958弄大浪湾道64-65号</t>
    <phoneticPr fontId="2" type="noConversion"/>
  </si>
  <si>
    <t>二类费用(按10%计）</t>
    <phoneticPr fontId="1" type="noConversion"/>
  </si>
  <si>
    <t>不可预见费(按5%计）</t>
    <phoneticPr fontId="1" type="noConversion"/>
  </si>
  <si>
    <t>合计</t>
    <phoneticPr fontId="2" type="noConversion"/>
  </si>
  <si>
    <t>教学楼</t>
    <phoneticPr fontId="1" type="noConversion"/>
  </si>
  <si>
    <t>拆除原有屋面防水及垃圾外运</t>
    <phoneticPr fontId="1" type="noConversion"/>
  </si>
  <si>
    <t>室外</t>
    <phoneticPr fontId="1" type="noConversion"/>
  </si>
  <si>
    <t>m</t>
    <phoneticPr fontId="1" type="noConversion"/>
  </si>
  <si>
    <t>场地检测费</t>
    <phoneticPr fontId="1" type="noConversion"/>
  </si>
  <si>
    <t>项</t>
    <phoneticPr fontId="1" type="noConversion"/>
  </si>
  <si>
    <t>M</t>
    <phoneticPr fontId="1" type="noConversion"/>
  </si>
  <si>
    <t>总计</t>
    <phoneticPr fontId="1" type="noConversion"/>
  </si>
  <si>
    <t>教学楼
（卫生间）</t>
    <phoneticPr fontId="1" type="noConversion"/>
  </si>
  <si>
    <t>幼儿盥洗室及保育员操作间</t>
    <phoneticPr fontId="1" type="noConversion"/>
  </si>
  <si>
    <t>2011年开办，16年维修，玻化砖空鼓，部分掉落学校已整改，感观尚可</t>
    <phoneticPr fontId="1" type="noConversion"/>
  </si>
  <si>
    <t>卫生间及消洗间，都是300*600的玻化砖，工程质量差，空鼓率大</t>
    <phoneticPr fontId="2" type="noConversion"/>
  </si>
  <si>
    <t>佳佳幼儿园名都分园</t>
    <phoneticPr fontId="1" type="noConversion"/>
  </si>
  <si>
    <t>宝城路155弄名都新城15号</t>
    <phoneticPr fontId="1" type="noConversion"/>
  </si>
  <si>
    <t>厨房间</t>
    <phoneticPr fontId="1" type="noConversion"/>
  </si>
  <si>
    <t>厨房整体改造</t>
    <phoneticPr fontId="1" type="noConversion"/>
  </si>
  <si>
    <t>教学楼</t>
    <phoneticPr fontId="1" type="noConversion"/>
  </si>
  <si>
    <t>门厅改造</t>
    <phoneticPr fontId="1" type="noConversion"/>
  </si>
  <si>
    <t>3间专用教室</t>
    <phoneticPr fontId="1" type="noConversion"/>
  </si>
  <si>
    <t>内墙涂料</t>
    <phoneticPr fontId="1" type="noConversion"/>
  </si>
  <si>
    <t>外墙面砖开裂空鼓脱落修补，基层处理、脚手架</t>
    <phoneticPr fontId="1" type="noConversion"/>
  </si>
  <si>
    <t>外墙面涂料及窗台涂料修粉、脚手架</t>
    <phoneticPr fontId="1" type="noConversion"/>
  </si>
  <si>
    <t>走廊吊顶</t>
    <phoneticPr fontId="1" type="noConversion"/>
  </si>
  <si>
    <t>洗消间及消毒间</t>
    <phoneticPr fontId="1" type="noConversion"/>
  </si>
  <si>
    <t>屋面</t>
    <phoneticPr fontId="1" type="noConversion"/>
  </si>
  <si>
    <t>屋顶新做防水保温</t>
    <phoneticPr fontId="1" type="noConversion"/>
  </si>
  <si>
    <t>拆除原有屋面防水及垃圾外运</t>
    <phoneticPr fontId="1" type="noConversion"/>
  </si>
  <si>
    <t>室外</t>
    <phoneticPr fontId="1" type="noConversion"/>
  </si>
  <si>
    <t>防腐木更新</t>
    <phoneticPr fontId="1" type="noConversion"/>
  </si>
  <si>
    <t>15厚EPDM塑胶场地及直跑</t>
    <phoneticPr fontId="2" type="noConversion"/>
  </si>
  <si>
    <t>广场砖更新透水砖、铲除、外运</t>
    <phoneticPr fontId="1" type="noConversion"/>
  </si>
  <si>
    <t>北面绿地透水砖通道、基础</t>
    <phoneticPr fontId="1" type="noConversion"/>
  </si>
  <si>
    <t>室外雨污水管道修复</t>
    <phoneticPr fontId="1" type="noConversion"/>
  </si>
  <si>
    <t>m</t>
    <phoneticPr fontId="1" type="noConversion"/>
  </si>
  <si>
    <t>场地检测费</t>
    <phoneticPr fontId="1" type="noConversion"/>
  </si>
  <si>
    <t>上海市闵行区实验幼儿园</t>
    <phoneticPr fontId="1" type="noConversion"/>
  </si>
  <si>
    <t>莘朱路710号</t>
    <phoneticPr fontId="1" type="noConversion"/>
  </si>
  <si>
    <t>项</t>
    <phoneticPr fontId="1" type="noConversion"/>
  </si>
  <si>
    <t>较好</t>
    <phoneticPr fontId="1" type="noConversion"/>
  </si>
  <si>
    <t>M</t>
    <phoneticPr fontId="1" type="noConversion"/>
  </si>
  <si>
    <t>木扶手拼接处断裂</t>
    <phoneticPr fontId="1" type="noConversion"/>
  </si>
  <si>
    <t>总计</t>
    <phoneticPr fontId="1" type="noConversion"/>
  </si>
  <si>
    <t>民办塘湾小学（南校区）</t>
    <phoneticPr fontId="1" type="noConversion"/>
  </si>
  <si>
    <t>龙吴路5530弄43号</t>
    <phoneticPr fontId="1" type="noConversion"/>
  </si>
  <si>
    <t>南北教学楼</t>
    <phoneticPr fontId="1" type="noConversion"/>
  </si>
  <si>
    <t>走廊应急指示灯</t>
    <phoneticPr fontId="1" type="noConversion"/>
  </si>
  <si>
    <t>项</t>
    <phoneticPr fontId="2" type="noConversion"/>
  </si>
  <si>
    <t>屋面修漏</t>
    <phoneticPr fontId="1" type="noConversion"/>
  </si>
  <si>
    <t>㎡</t>
    <phoneticPr fontId="2" type="noConversion"/>
  </si>
  <si>
    <t>室外场地</t>
    <phoneticPr fontId="2" type="noConversion"/>
  </si>
  <si>
    <t>原场地混凝土修补</t>
    <phoneticPr fontId="2" type="noConversion"/>
  </si>
  <si>
    <t>合计</t>
    <phoneticPr fontId="1" type="noConversion"/>
  </si>
  <si>
    <t>吴泾三幼</t>
    <phoneticPr fontId="1" type="noConversion"/>
  </si>
  <si>
    <t>塑胶场地</t>
    <phoneticPr fontId="1" type="noConversion"/>
  </si>
  <si>
    <t>15厚EPDM塑胶场地</t>
    <phoneticPr fontId="2" type="noConversion"/>
  </si>
  <si>
    <t>华东师范大学闵行永德实验幼儿园（总园）</t>
    <phoneticPr fontId="1" type="noConversion"/>
  </si>
  <si>
    <t>EPDM塑胶运动场地</t>
    <phoneticPr fontId="1" type="noConversion"/>
  </si>
  <si>
    <t>15厚EPDM运动场地（西）</t>
    <phoneticPr fontId="1" type="noConversion"/>
  </si>
  <si>
    <t>15厚EPDM运动场地（中）</t>
    <phoneticPr fontId="1" type="noConversion"/>
  </si>
  <si>
    <t>外墙面修缮</t>
    <phoneticPr fontId="1" type="noConversion"/>
  </si>
  <si>
    <t>外墙面涂料</t>
    <phoneticPr fontId="1" type="noConversion"/>
  </si>
  <si>
    <t>华东师范大学闵行永德实验幼儿园（尚德园）</t>
    <phoneticPr fontId="1" type="noConversion"/>
  </si>
  <si>
    <t>曹家塘路180号</t>
    <phoneticPr fontId="1" type="noConversion"/>
  </si>
  <si>
    <t>地面PVC</t>
    <phoneticPr fontId="1" type="noConversion"/>
  </si>
  <si>
    <t>屋面修漏</t>
    <phoneticPr fontId="1" type="noConversion"/>
  </si>
  <si>
    <t>㎡</t>
    <phoneticPr fontId="2" type="noConversion"/>
  </si>
  <si>
    <t>合计</t>
    <phoneticPr fontId="1" type="noConversion"/>
  </si>
  <si>
    <t>15厚EPDM塑胶场地</t>
    <phoneticPr fontId="2" type="noConversion"/>
  </si>
  <si>
    <t>外墙面涂料</t>
    <phoneticPr fontId="1" type="noConversion"/>
  </si>
  <si>
    <t>不可预见费(按5%计）</t>
    <phoneticPr fontId="1" type="noConversion"/>
  </si>
  <si>
    <t>场地检测费</t>
    <phoneticPr fontId="1" type="noConversion"/>
  </si>
  <si>
    <t>项</t>
    <phoneticPr fontId="1" type="noConversion"/>
  </si>
  <si>
    <t>总计</t>
    <phoneticPr fontId="1" type="noConversion"/>
  </si>
  <si>
    <t>黎明小学</t>
    <phoneticPr fontId="1" type="noConversion"/>
  </si>
  <si>
    <t>联明路180号</t>
    <phoneticPr fontId="1" type="noConversion"/>
  </si>
  <si>
    <t>㎡</t>
    <phoneticPr fontId="1" type="noConversion"/>
  </si>
  <si>
    <t>防腐木紫藤架05年建，开裂、倾斜</t>
    <phoneticPr fontId="1" type="noConversion"/>
  </si>
  <si>
    <t>13厚塑胶跑道场地</t>
    <phoneticPr fontId="1" type="noConversion"/>
  </si>
  <si>
    <t>03年建，场地较硬无弹性</t>
    <phoneticPr fontId="1" type="noConversion"/>
  </si>
  <si>
    <t>大操场人工草坪（草高5cm）</t>
    <phoneticPr fontId="1" type="noConversion"/>
  </si>
  <si>
    <t>面层磨光、石英砂脱落</t>
    <phoneticPr fontId="1" type="noConversion"/>
  </si>
  <si>
    <t>航新路75号</t>
    <phoneticPr fontId="1" type="noConversion"/>
  </si>
  <si>
    <t>半圆活动区铺13厚塑胶（含基础）</t>
    <phoneticPr fontId="1" type="noConversion"/>
  </si>
  <si>
    <t>部分水泥路面开裂、高差，部分是沥青</t>
    <phoneticPr fontId="1" type="noConversion"/>
  </si>
  <si>
    <t>13厚跑道及半圆活动区</t>
    <phoneticPr fontId="1" type="noConversion"/>
  </si>
  <si>
    <t>校园污水管道维修</t>
    <phoneticPr fontId="1" type="noConversion"/>
  </si>
  <si>
    <t>污水管道溢流</t>
    <phoneticPr fontId="1" type="noConversion"/>
  </si>
  <si>
    <t>航华二村61号</t>
    <phoneticPr fontId="1" type="noConversion"/>
  </si>
  <si>
    <t>照明及插座线路跳闸、短路；空调线路已单独改造</t>
    <phoneticPr fontId="1" type="noConversion"/>
  </si>
  <si>
    <t>内墙面粉刷</t>
    <phoneticPr fontId="1" type="noConversion"/>
  </si>
  <si>
    <t>涂料脱落，原基层未铲，走廊涂料霉黑</t>
    <phoneticPr fontId="1" type="noConversion"/>
  </si>
  <si>
    <t>复合地板松动、开裂严重</t>
    <phoneticPr fontId="1" type="noConversion"/>
  </si>
  <si>
    <t>漕宝路1467弄10区7号</t>
    <phoneticPr fontId="1" type="noConversion"/>
  </si>
  <si>
    <t>瓷砖开裂、地砖破损、局部彩钢搭接处漏水</t>
    <phoneticPr fontId="1" type="noConversion"/>
  </si>
  <si>
    <t>改造</t>
    <phoneticPr fontId="1" type="noConversion"/>
  </si>
  <si>
    <t>围墙边大树，引起围墙开裂、倾斜</t>
    <phoneticPr fontId="1" type="noConversion"/>
  </si>
  <si>
    <t>航南路350号</t>
    <phoneticPr fontId="1" type="noConversion"/>
  </si>
  <si>
    <t>8MM硅PU篮球场地</t>
    <phoneticPr fontId="1" type="noConversion"/>
  </si>
  <si>
    <t>10年开办，外墙（有保温层），局部有细缝、5层顶檐口板有细缝</t>
    <phoneticPr fontId="1" type="noConversion"/>
  </si>
  <si>
    <t>12年做，尚可</t>
    <phoneticPr fontId="1" type="noConversion"/>
  </si>
  <si>
    <t>航华中学</t>
    <phoneticPr fontId="1" type="noConversion"/>
  </si>
  <si>
    <t>航北路328号</t>
    <phoneticPr fontId="1" type="noConversion"/>
  </si>
  <si>
    <t>污水管道（瓦筒）、破损，引起地面下沉、高低不平</t>
    <phoneticPr fontId="1" type="noConversion"/>
  </si>
  <si>
    <t>污水管道</t>
    <phoneticPr fontId="1" type="noConversion"/>
  </si>
  <si>
    <t>食堂</t>
    <phoneticPr fontId="1" type="noConversion"/>
  </si>
  <si>
    <t>食堂维修改造</t>
    <phoneticPr fontId="1" type="noConversion"/>
  </si>
  <si>
    <t>瓷砖开裂、地砖破损、线路跳闸短路</t>
    <phoneticPr fontId="1" type="noConversion"/>
  </si>
  <si>
    <t>序号</t>
    <phoneticPr fontId="1" type="noConversion"/>
  </si>
  <si>
    <t>江协路151号</t>
    <phoneticPr fontId="1" type="noConversion"/>
  </si>
  <si>
    <t>篮球场</t>
    <phoneticPr fontId="1" type="noConversion"/>
  </si>
  <si>
    <t>8MM硅PU运动场地</t>
    <phoneticPr fontId="1" type="noConversion"/>
  </si>
  <si>
    <t>面砖局部脱落</t>
    <phoneticPr fontId="1" type="noConversion"/>
  </si>
  <si>
    <t>屋面维修</t>
    <phoneticPr fontId="1" type="noConversion"/>
  </si>
  <si>
    <t>局部渗水</t>
    <phoneticPr fontId="1" type="noConversion"/>
  </si>
  <si>
    <t>运动场</t>
    <phoneticPr fontId="1" type="noConversion"/>
  </si>
  <si>
    <t>13厚塑胶跑道</t>
    <phoneticPr fontId="1" type="noConversion"/>
  </si>
  <si>
    <t>多处开裂</t>
    <phoneticPr fontId="1" type="noConversion"/>
  </si>
  <si>
    <t>室内涂料、地面复合地板</t>
    <phoneticPr fontId="1" type="noConversion"/>
  </si>
  <si>
    <t>拆除原有屋面防水及垃圾外运</t>
    <phoneticPr fontId="1" type="noConversion"/>
  </si>
  <si>
    <t>二类费用(按10%计）</t>
    <phoneticPr fontId="1" type="noConversion"/>
  </si>
  <si>
    <t>不可预见费(按5%计）</t>
    <phoneticPr fontId="1" type="noConversion"/>
  </si>
  <si>
    <t>8MMpu篮球场</t>
    <phoneticPr fontId="1" type="noConversion"/>
  </si>
  <si>
    <t>破损</t>
    <phoneticPr fontId="1" type="noConversion"/>
  </si>
  <si>
    <t>排水沟修复</t>
    <phoneticPr fontId="1" type="noConversion"/>
  </si>
  <si>
    <t>m</t>
    <phoneticPr fontId="1" type="noConversion"/>
  </si>
  <si>
    <t>排球场</t>
    <phoneticPr fontId="1" type="noConversion"/>
  </si>
  <si>
    <t>足球场自然草修整</t>
    <phoneticPr fontId="1" type="noConversion"/>
  </si>
  <si>
    <t>天然草</t>
    <phoneticPr fontId="1" type="noConversion"/>
  </si>
  <si>
    <t>田径场地面</t>
    <phoneticPr fontId="1" type="noConversion"/>
  </si>
  <si>
    <t>多年未用，破损</t>
    <phoneticPr fontId="1" type="noConversion"/>
  </si>
  <si>
    <t>60年代建造，破旧</t>
    <phoneticPr fontId="1" type="noConversion"/>
  </si>
  <si>
    <t>东北教学楼屋顶翻新</t>
    <phoneticPr fontId="1" type="noConversion"/>
  </si>
  <si>
    <t>面层起鼓严重</t>
    <phoneticPr fontId="1" type="noConversion"/>
  </si>
  <si>
    <t>上海市闵行区浦江镇第二幼儿园（金硕分园）</t>
    <phoneticPr fontId="1" type="noConversion"/>
  </si>
  <si>
    <t>天沟防水卷材损坏严重</t>
    <phoneticPr fontId="1" type="noConversion"/>
  </si>
  <si>
    <t>屋面天沟维修</t>
    <phoneticPr fontId="1" type="noConversion"/>
  </si>
  <si>
    <t>天沟渗水局部</t>
    <phoneticPr fontId="1" type="noConversion"/>
  </si>
  <si>
    <t>室外青砖更换</t>
    <phoneticPr fontId="1" type="noConversion"/>
  </si>
  <si>
    <t>青砖风华、破损</t>
    <phoneticPr fontId="1" type="noConversion"/>
  </si>
  <si>
    <t>玻璃棚钢结构油漆、损坏配件更换</t>
    <phoneticPr fontId="1" type="noConversion"/>
  </si>
  <si>
    <t>连廊玻璃顶棚渗水，配件损坏</t>
    <phoneticPr fontId="1" type="noConversion"/>
  </si>
  <si>
    <t>上海市闵行区浦航幼儿园</t>
    <phoneticPr fontId="1" type="noConversion"/>
  </si>
  <si>
    <t>厕所吊顶局部损坏</t>
    <phoneticPr fontId="1" type="noConversion"/>
  </si>
  <si>
    <t>原一、二楼已装修</t>
    <phoneticPr fontId="1" type="noConversion"/>
  </si>
  <si>
    <t>走廊墙砖改PVC护墙板</t>
    <phoneticPr fontId="1" type="noConversion"/>
  </si>
  <si>
    <t>墙砖</t>
    <phoneticPr fontId="1" type="noConversion"/>
  </si>
  <si>
    <t>多功能厅吊顶改造（加钢梁、钢柱）</t>
    <phoneticPr fontId="1" type="noConversion"/>
  </si>
  <si>
    <t>原吊顶存在安全隐患</t>
    <phoneticPr fontId="1" type="noConversion"/>
  </si>
  <si>
    <t>损坏严重，下水堵塞</t>
    <phoneticPr fontId="1" type="noConversion"/>
  </si>
  <si>
    <t>三楼班级教室</t>
    <phoneticPr fontId="1" type="noConversion"/>
  </si>
  <si>
    <t>平顶面渗水处做防水</t>
    <phoneticPr fontId="1" type="noConversion"/>
  </si>
  <si>
    <t>100</t>
    <phoneticPr fontId="1" type="noConversion"/>
  </si>
  <si>
    <t>150</t>
    <phoneticPr fontId="1" type="noConversion"/>
  </si>
  <si>
    <t>渗水严重</t>
    <phoneticPr fontId="1" type="noConversion"/>
  </si>
  <si>
    <t>浦莲幼儿园（总园）</t>
    <phoneticPr fontId="1" type="noConversion"/>
  </si>
  <si>
    <t>鲁康路1000号</t>
    <phoneticPr fontId="1" type="noConversion"/>
  </si>
  <si>
    <t>地砖，较滑</t>
    <phoneticPr fontId="1" type="noConversion"/>
  </si>
  <si>
    <t>上海戏剧学院闵行附属学校</t>
    <phoneticPr fontId="1" type="noConversion"/>
  </si>
  <si>
    <t>闵瑞路501号</t>
    <phoneticPr fontId="1" type="noConversion"/>
  </si>
  <si>
    <t>浦江高中原校址，多年未使用，绿化差</t>
    <phoneticPr fontId="1" type="noConversion"/>
  </si>
  <si>
    <t>春申景城幼儿园（高兴分园）</t>
    <phoneticPr fontId="2" type="noConversion"/>
  </si>
  <si>
    <t>莘朱路879弄64号</t>
    <phoneticPr fontId="2" type="noConversion"/>
  </si>
  <si>
    <t>教学楼</t>
    <phoneticPr fontId="2" type="noConversion"/>
  </si>
  <si>
    <t>屋面防水卷材</t>
    <phoneticPr fontId="2" type="noConversion"/>
  </si>
  <si>
    <t xml:space="preserve">多处渗漏。南楼2层，上人屋面，防水层在上面。北楼3层，非上人屋面。
</t>
    <phoneticPr fontId="1" type="noConversion"/>
  </si>
  <si>
    <t>闵行区曹行中心幼儿园总园</t>
    <phoneticPr fontId="2" type="noConversion"/>
  </si>
  <si>
    <t>景联路1108号</t>
    <phoneticPr fontId="2" type="noConversion"/>
  </si>
  <si>
    <t>教学楼窗户</t>
    <phoneticPr fontId="2" type="noConversion"/>
  </si>
  <si>
    <t>拆除外墙原有门窗，更换彩铝钢门窗。</t>
    <phoneticPr fontId="2" type="noConversion"/>
  </si>
  <si>
    <t>窗变形、链接角断裂、玻璃掉落</t>
    <phoneticPr fontId="1" type="noConversion"/>
  </si>
  <si>
    <t>多功能室大门改造</t>
    <phoneticPr fontId="2" type="noConversion"/>
  </si>
  <si>
    <t>封堵小门，东墙开门，粉刷涂料</t>
    <phoneticPr fontId="2" type="noConversion"/>
  </si>
  <si>
    <t>两侧边门小，东墙开大门</t>
    <phoneticPr fontId="1" type="noConversion"/>
  </si>
  <si>
    <t>晶采坊幼儿园</t>
    <phoneticPr fontId="2" type="noConversion"/>
  </si>
  <si>
    <t>闵行区兴南路336号</t>
    <phoneticPr fontId="2" type="noConversion"/>
  </si>
  <si>
    <t xml:space="preserve">教学楼          </t>
    <phoneticPr fontId="2" type="noConversion"/>
  </si>
  <si>
    <t>教室墙面、地面维修</t>
    <phoneticPr fontId="2" type="noConversion"/>
  </si>
  <si>
    <t>13年开办，复合地板尚可，午睡间空调洞处局部涂料脱落；局部护墙损坏（小过道处）</t>
    <phoneticPr fontId="1" type="noConversion"/>
  </si>
  <si>
    <t xml:space="preserve"> 保育员操作间改造</t>
    <phoneticPr fontId="2" type="noConversion"/>
  </si>
  <si>
    <t>传染与洗消合在一间，消毒间与餐梯合在一间，无窗不通风，需改到每个教室内（独立操作间）</t>
    <phoneticPr fontId="1" type="noConversion"/>
  </si>
  <si>
    <t>15厚EPDM塑胶场地</t>
    <phoneticPr fontId="1" type="noConversion"/>
  </si>
  <si>
    <t>13年建，15年开办，开裂、面层脱落较多</t>
    <phoneticPr fontId="1" type="noConversion"/>
  </si>
  <si>
    <t>上海市闵行区梅陇中学</t>
    <phoneticPr fontId="1" type="noConversion"/>
  </si>
  <si>
    <t>镇西路299号</t>
    <phoneticPr fontId="1" type="noConversion"/>
  </si>
  <si>
    <t>新做屋面保温及防水</t>
    <phoneticPr fontId="1" type="noConversion"/>
  </si>
  <si>
    <t>屋顶漏水</t>
    <phoneticPr fontId="1" type="noConversion"/>
  </si>
  <si>
    <t>东楼梯间墙面涂料</t>
    <phoneticPr fontId="1" type="noConversion"/>
  </si>
  <si>
    <t>西楼梯间墙面涂料</t>
    <phoneticPr fontId="1" type="noConversion"/>
  </si>
  <si>
    <t>教学楼</t>
    <phoneticPr fontId="1" type="noConversion"/>
  </si>
  <si>
    <t>教室PVC地面</t>
    <phoneticPr fontId="1" type="noConversion"/>
  </si>
  <si>
    <t>走廊PVC地面</t>
    <phoneticPr fontId="1" type="noConversion"/>
  </si>
  <si>
    <t>罗阳中学</t>
    <phoneticPr fontId="2" type="noConversion"/>
  </si>
  <si>
    <t>龙里路89号</t>
    <phoneticPr fontId="2" type="noConversion"/>
  </si>
  <si>
    <t>教学楼</t>
    <phoneticPr fontId="2" type="noConversion"/>
  </si>
  <si>
    <t>电路改造</t>
    <phoneticPr fontId="2" type="noConversion"/>
  </si>
  <si>
    <t>㎡</t>
    <phoneticPr fontId="2" type="noConversion"/>
  </si>
  <si>
    <t>老教学楼除灯具、空调线外
改造，跳闸，98年建成，总容量够</t>
    <phoneticPr fontId="1" type="noConversion"/>
  </si>
  <si>
    <t>合计</t>
    <phoneticPr fontId="1" type="noConversion"/>
  </si>
  <si>
    <t>总计</t>
    <phoneticPr fontId="1" type="noConversion"/>
  </si>
  <si>
    <t>教学楼</t>
    <phoneticPr fontId="2" type="noConversion"/>
  </si>
  <si>
    <t>马桥实验幼儿园</t>
    <phoneticPr fontId="2" type="noConversion"/>
  </si>
  <si>
    <t>银春路1800弄150号</t>
    <phoneticPr fontId="2" type="noConversion"/>
  </si>
  <si>
    <t>屋顶</t>
    <phoneticPr fontId="2" type="noConversion"/>
  </si>
  <si>
    <t>防水维修</t>
    <phoneticPr fontId="2" type="noConversion"/>
  </si>
  <si>
    <t>操场</t>
    <phoneticPr fontId="2" type="noConversion"/>
  </si>
  <si>
    <t>马桥强恕学校</t>
    <phoneticPr fontId="2" type="noConversion"/>
  </si>
  <si>
    <t>马桥镇北松路2258号</t>
    <phoneticPr fontId="2" type="noConversion"/>
  </si>
  <si>
    <t>新做屋面隔热及防水</t>
    <phoneticPr fontId="1" type="noConversion"/>
  </si>
  <si>
    <t>m²</t>
    <phoneticPr fontId="2" type="noConversion"/>
  </si>
  <si>
    <t>闵行区马桥实验小学</t>
    <phoneticPr fontId="1" type="noConversion"/>
  </si>
  <si>
    <t>银春路1750号</t>
    <phoneticPr fontId="1" type="noConversion"/>
  </si>
  <si>
    <t>北楼屋顶伸缩缝</t>
    <phoneticPr fontId="1" type="noConversion"/>
  </si>
  <si>
    <t>北楼3、4楼教室局部修缮</t>
    <phoneticPr fontId="1" type="noConversion"/>
  </si>
  <si>
    <t>北楼5楼专用教室修缮</t>
    <phoneticPr fontId="1" type="noConversion"/>
  </si>
  <si>
    <t>厕所</t>
    <phoneticPr fontId="1" type="noConversion"/>
  </si>
  <si>
    <t>间</t>
    <phoneticPr fontId="2" type="noConversion"/>
  </si>
  <si>
    <t>北楼1、2楼教师办公室恢复成学生教室</t>
    <phoneticPr fontId="1" type="noConversion"/>
  </si>
  <si>
    <t>3、4楼侧楼3间教师办公室</t>
    <phoneticPr fontId="1" type="noConversion"/>
  </si>
  <si>
    <t>底楼化学实验室</t>
    <phoneticPr fontId="1" type="noConversion"/>
  </si>
  <si>
    <t>5楼工会、校务管理部办公室</t>
    <phoneticPr fontId="1" type="noConversion"/>
  </si>
  <si>
    <t>套</t>
    <phoneticPr fontId="2" type="noConversion"/>
  </si>
  <si>
    <t>马桥富杰幼儿园（银康分园）</t>
    <phoneticPr fontId="2" type="noConversion"/>
  </si>
  <si>
    <t>银康路825号</t>
    <phoneticPr fontId="2" type="noConversion"/>
  </si>
  <si>
    <t>总计</t>
    <phoneticPr fontId="2" type="noConversion"/>
  </si>
  <si>
    <t>间</t>
    <phoneticPr fontId="1" type="noConversion"/>
  </si>
  <si>
    <t xml:space="preserve"> </t>
    <phoneticPr fontId="1" type="noConversion"/>
  </si>
  <si>
    <t>闵行区华漕镇纪王幼儿园（银杏园）</t>
    <phoneticPr fontId="1" type="noConversion"/>
  </si>
  <si>
    <t>天井钢架油漆及修漏打硅胶等</t>
    <phoneticPr fontId="1" type="noConversion"/>
  </si>
  <si>
    <t>中厅天井钢架锈蚀、滴水。</t>
    <phoneticPr fontId="2" type="noConversion"/>
  </si>
  <si>
    <t>局部开裂，露底，室内多处墙体渗水</t>
    <phoneticPr fontId="1" type="noConversion"/>
  </si>
  <si>
    <t>闵行区华漕镇纪王幼儿园总园</t>
    <phoneticPr fontId="1" type="noConversion"/>
  </si>
  <si>
    <t>食堂地沟局部盖板、内侧瓷砖更换</t>
    <phoneticPr fontId="1" type="noConversion"/>
  </si>
  <si>
    <t>地沟移位（离灶台近，盖板滑）；地沟内侧瓷砖分化脱落</t>
    <phoneticPr fontId="1" type="noConversion"/>
  </si>
  <si>
    <t>教室餐厅地砖改pvc地面</t>
    <phoneticPr fontId="1" type="noConversion"/>
  </si>
  <si>
    <t>华漕镇平乐路125号</t>
    <phoneticPr fontId="1" type="noConversion"/>
  </si>
  <si>
    <t>厕所修缮</t>
    <phoneticPr fontId="1" type="noConversion"/>
  </si>
  <si>
    <t>间</t>
    <phoneticPr fontId="1" type="noConversion"/>
  </si>
  <si>
    <t>教师厕所修缮</t>
    <phoneticPr fontId="1" type="noConversion"/>
  </si>
  <si>
    <t>诸翟中心幼儿园</t>
    <phoneticPr fontId="1" type="noConversion"/>
  </si>
  <si>
    <t>9.5折</t>
    <phoneticPr fontId="1" type="noConversion"/>
  </si>
  <si>
    <t>上海市闵行区颛桥中学</t>
    <phoneticPr fontId="2" type="noConversion"/>
  </si>
  <si>
    <t>教工餐厅局部改造</t>
    <phoneticPr fontId="1" type="noConversion"/>
  </si>
  <si>
    <t>闵行区北桥中心小学</t>
    <phoneticPr fontId="2" type="noConversion"/>
  </si>
  <si>
    <t>金阳路355号</t>
    <phoneticPr fontId="2" type="noConversion"/>
  </si>
  <si>
    <t>闵行区颛桥中心小学</t>
    <phoneticPr fontId="2" type="noConversion"/>
  </si>
  <si>
    <t>中沟路89号</t>
    <phoneticPr fontId="2" type="noConversion"/>
  </si>
  <si>
    <t>运动场维修</t>
    <phoneticPr fontId="2" type="noConversion"/>
  </si>
  <si>
    <t>人造草坪（草高5cm）</t>
    <phoneticPr fontId="1" type="noConversion"/>
  </si>
  <si>
    <t>13厚塑胶场地</t>
    <phoneticPr fontId="1" type="noConversion"/>
  </si>
  <si>
    <t>上海市闵行区颛桥镇第一幼儿园（向阳园）</t>
    <phoneticPr fontId="2" type="noConversion"/>
  </si>
  <si>
    <t>向阳路2098弄19号</t>
    <phoneticPr fontId="2" type="noConversion"/>
  </si>
  <si>
    <t>教学楼多功能厅</t>
    <phoneticPr fontId="2" type="noConversion"/>
  </si>
  <si>
    <t>外墙涂料</t>
    <phoneticPr fontId="1" type="noConversion"/>
  </si>
  <si>
    <t>上海市闵行区颛桥镇第一幼儿园（银桥园）</t>
    <phoneticPr fontId="2" type="noConversion"/>
  </si>
  <si>
    <t>沪闵路3131弄222号</t>
    <phoneticPr fontId="2" type="noConversion"/>
  </si>
  <si>
    <t>卫生间改建</t>
    <phoneticPr fontId="2" type="noConversion"/>
  </si>
  <si>
    <t>教室操作间改建</t>
    <phoneticPr fontId="2" type="noConversion"/>
  </si>
  <si>
    <t>消毒间</t>
    <phoneticPr fontId="1" type="noConversion"/>
  </si>
  <si>
    <t>走廊吊顶及灯光</t>
    <phoneticPr fontId="2" type="noConversion"/>
  </si>
  <si>
    <t>都市路4388号</t>
    <phoneticPr fontId="1" type="noConversion"/>
  </si>
  <si>
    <t>盥洗室（两个班级）</t>
    <phoneticPr fontId="2" type="noConversion"/>
  </si>
  <si>
    <t>墙砖</t>
    <phoneticPr fontId="2" type="noConversion"/>
  </si>
  <si>
    <t>洗手池</t>
    <phoneticPr fontId="2" type="noConversion"/>
  </si>
  <si>
    <t>二楼走廊</t>
    <phoneticPr fontId="2" type="noConversion"/>
  </si>
  <si>
    <t>护墙板改益涂（高分子纳米涂膜）</t>
    <phoneticPr fontId="2" type="noConversion"/>
  </si>
  <si>
    <t>教室（两个班级）</t>
    <phoneticPr fontId="2" type="noConversion"/>
  </si>
  <si>
    <t>护墙板改涂料</t>
    <phoneticPr fontId="2" type="noConversion"/>
  </si>
  <si>
    <t>m2</t>
    <phoneticPr fontId="2" type="noConversion"/>
  </si>
  <si>
    <t>上海市闵行区颛桥镇田园都市幼儿园</t>
    <phoneticPr fontId="2" type="noConversion"/>
  </si>
  <si>
    <t>银都路3118弄3区36号</t>
    <phoneticPr fontId="2" type="noConversion"/>
  </si>
  <si>
    <t>阅览室</t>
    <phoneticPr fontId="2" type="noConversion"/>
  </si>
  <si>
    <t>保健室</t>
    <phoneticPr fontId="2" type="noConversion"/>
  </si>
  <si>
    <t>室外总体</t>
    <phoneticPr fontId="2" type="noConversion"/>
  </si>
  <si>
    <t>幼儿园门口室外洗手池改建</t>
    <phoneticPr fontId="2" type="noConversion"/>
  </si>
  <si>
    <t>围墙局部改造（5处）</t>
    <phoneticPr fontId="2" type="noConversion"/>
  </si>
  <si>
    <t>M</t>
    <phoneticPr fontId="2" type="noConversion"/>
  </si>
  <si>
    <r>
      <t>m</t>
    </r>
    <r>
      <rPr>
        <vertAlign val="superscript"/>
        <sz val="9"/>
        <color theme="1"/>
        <rFont val="宋体"/>
        <family val="3"/>
        <charset val="134"/>
      </rPr>
      <t>2</t>
    </r>
    <phoneticPr fontId="2" type="noConversion"/>
  </si>
  <si>
    <t>漏水，隔热板破损</t>
    <phoneticPr fontId="1" type="noConversion"/>
  </si>
  <si>
    <t>隔热板破损，屋面漏水</t>
    <phoneticPr fontId="1" type="noConversion"/>
  </si>
  <si>
    <t>线路跳闸、短路</t>
    <phoneticPr fontId="1" type="noConversion"/>
  </si>
  <si>
    <t>综合楼连廊办公区</t>
    <phoneticPr fontId="1" type="noConversion"/>
  </si>
  <si>
    <t>漏水</t>
    <phoneticPr fontId="1" type="noConversion"/>
  </si>
  <si>
    <t>塑胶面层脱落</t>
    <phoneticPr fontId="1" type="noConversion"/>
  </si>
  <si>
    <t>铲除道板砖做水泥基层</t>
    <phoneticPr fontId="1" type="noConversion"/>
  </si>
  <si>
    <t>上海市金汇实验学校</t>
    <phoneticPr fontId="1" type="noConversion"/>
  </si>
  <si>
    <t>墙面护墙</t>
    <phoneticPr fontId="1" type="noConversion"/>
  </si>
  <si>
    <t>顶吸音板吊顶及灯光</t>
    <phoneticPr fontId="1" type="noConversion"/>
  </si>
  <si>
    <t>顶面涂料</t>
    <phoneticPr fontId="1" type="noConversion"/>
  </si>
  <si>
    <t>学校管乐特色，目前墙顶涂料吸音效果差</t>
    <phoneticPr fontId="1" type="noConversion"/>
  </si>
  <si>
    <t>成美楼5楼管乐训练室吸音板吊顶及灯光（9间）</t>
    <phoneticPr fontId="1" type="noConversion"/>
  </si>
  <si>
    <t>合计</t>
    <phoneticPr fontId="1" type="noConversion"/>
  </si>
  <si>
    <t>浦江</t>
    <phoneticPr fontId="1" type="noConversion"/>
  </si>
  <si>
    <t>颛桥</t>
    <phoneticPr fontId="2" type="noConversion"/>
  </si>
  <si>
    <t>上海市闵行区北桥中学</t>
    <phoneticPr fontId="2" type="noConversion"/>
  </si>
  <si>
    <t>1965年</t>
    <phoneticPr fontId="2" type="noConversion"/>
  </si>
  <si>
    <t>林敏/13916995755</t>
    <phoneticPr fontId="2" type="noConversion"/>
  </si>
  <si>
    <t>沪闵路1785号</t>
    <phoneticPr fontId="2" type="noConversion"/>
  </si>
  <si>
    <t>初中</t>
    <phoneticPr fontId="2" type="noConversion"/>
  </si>
  <si>
    <t>2004年</t>
    <phoneticPr fontId="2" type="noConversion"/>
  </si>
  <si>
    <t>顾培红13501754105</t>
    <phoneticPr fontId="2" type="noConversion"/>
  </si>
  <si>
    <r>
      <t>颛盛路1</t>
    </r>
    <r>
      <rPr>
        <sz val="9"/>
        <color indexed="8"/>
        <rFont val="宋体"/>
        <family val="3"/>
        <charset val="134"/>
      </rPr>
      <t>35弄82号</t>
    </r>
    <phoneticPr fontId="2" type="noConversion"/>
  </si>
  <si>
    <t>上海市闵行区颛桥镇第一幼儿园</t>
    <phoneticPr fontId="2" type="noConversion"/>
  </si>
  <si>
    <t>2007年</t>
    <phoneticPr fontId="2" type="noConversion"/>
  </si>
  <si>
    <t>潘剑芸/13761969668</t>
    <phoneticPr fontId="2" type="noConversion"/>
  </si>
  <si>
    <t>君莲学校</t>
    <phoneticPr fontId="2" type="noConversion"/>
  </si>
  <si>
    <t>沪光路120号</t>
    <phoneticPr fontId="2" type="noConversion"/>
  </si>
  <si>
    <t>九年一贯制</t>
    <phoneticPr fontId="2" type="noConversion"/>
  </si>
  <si>
    <t>局部修缮</t>
    <phoneticPr fontId="2" type="noConversion"/>
  </si>
  <si>
    <t>合计</t>
    <phoneticPr fontId="2" type="noConversion"/>
  </si>
  <si>
    <t>吴泾</t>
    <phoneticPr fontId="2" type="noConversion"/>
  </si>
  <si>
    <t>沈臣/13795409685</t>
    <phoneticPr fontId="2" type="noConversion"/>
  </si>
  <si>
    <t>上海市闵行区永德路1160号</t>
    <phoneticPr fontId="2" type="noConversion"/>
  </si>
  <si>
    <t>二次装修</t>
    <phoneticPr fontId="2" type="noConversion"/>
  </si>
  <si>
    <t>马桥</t>
    <phoneticPr fontId="1" type="noConversion"/>
  </si>
  <si>
    <t>马桥中心幼儿园</t>
    <phoneticPr fontId="2" type="noConversion"/>
  </si>
  <si>
    <t>钱群/13818212625</t>
    <phoneticPr fontId="2" type="noConversion"/>
  </si>
  <si>
    <t>银春路1955弄181号</t>
    <phoneticPr fontId="2" type="noConversion"/>
  </si>
  <si>
    <t>幼儿园</t>
    <phoneticPr fontId="2" type="noConversion"/>
  </si>
  <si>
    <t>马桥强恕学校</t>
    <phoneticPr fontId="2" type="noConversion"/>
  </si>
  <si>
    <t>89年搬至现址</t>
    <phoneticPr fontId="2" type="noConversion"/>
  </si>
  <si>
    <t>赵金荣/13671741138</t>
    <phoneticPr fontId="2" type="noConversion"/>
  </si>
  <si>
    <t>北松路2258号</t>
    <phoneticPr fontId="2" type="noConversion"/>
  </si>
  <si>
    <t>九年一贯制</t>
    <phoneticPr fontId="2" type="noConversion"/>
  </si>
  <si>
    <t>局部修缮</t>
    <phoneticPr fontId="2" type="noConversion"/>
  </si>
  <si>
    <t>蔡伟/18916148897</t>
    <phoneticPr fontId="2" type="noConversion"/>
  </si>
  <si>
    <t>银春路1750号</t>
    <phoneticPr fontId="2" type="noConversion"/>
  </si>
  <si>
    <t>小学</t>
    <phoneticPr fontId="2" type="noConversion"/>
  </si>
  <si>
    <t>合计</t>
    <phoneticPr fontId="2" type="noConversion"/>
  </si>
  <si>
    <t>上戏附校（小剧场尾款）</t>
    <phoneticPr fontId="1" type="noConversion"/>
  </si>
  <si>
    <t>虹桥</t>
    <phoneticPr fontId="1" type="noConversion"/>
  </si>
  <si>
    <t>上海市闵行区春欣幼儿园</t>
    <phoneticPr fontId="2" type="noConversion"/>
  </si>
  <si>
    <t>沪松公路565弄26号</t>
    <phoneticPr fontId="2" type="noConversion"/>
  </si>
  <si>
    <t>宋黎明/13564821526</t>
    <phoneticPr fontId="2" type="noConversion"/>
  </si>
  <si>
    <t>中学</t>
    <phoneticPr fontId="2" type="noConversion"/>
  </si>
  <si>
    <t>闵行区曹行中心幼儿园 （总园）</t>
  </si>
  <si>
    <t>1998年</t>
  </si>
  <si>
    <t>朱茂华/15000272998</t>
  </si>
  <si>
    <t>景联路1108号</t>
  </si>
  <si>
    <t>闵行区梅陇镇中心幼儿园二村分园</t>
  </si>
  <si>
    <r>
      <t>焦慧慧/</t>
    </r>
    <r>
      <rPr>
        <sz val="9"/>
        <color indexed="8"/>
        <rFont val="宋体"/>
        <family val="3"/>
        <charset val="134"/>
      </rPr>
      <t>13761969882</t>
    </r>
  </si>
  <si>
    <r>
      <t>梅陇二村61</t>
    </r>
    <r>
      <rPr>
        <sz val="9"/>
        <color indexed="8"/>
        <rFont val="宋体"/>
        <family val="3"/>
        <charset val="134"/>
      </rPr>
      <t>号</t>
    </r>
  </si>
  <si>
    <t xml:space="preserve"> 梅陇中心小学</t>
  </si>
  <si>
    <t>1992年</t>
  </si>
  <si>
    <t>张萍13916760626</t>
  </si>
  <si>
    <t>镇西路255号</t>
  </si>
  <si>
    <t>1998年9</t>
  </si>
  <si>
    <t>李春韶 13818019069</t>
  </si>
  <si>
    <t>龙里路89号</t>
  </si>
  <si>
    <t>2012年</t>
  </si>
  <si>
    <t>朱彦燕 13917838212</t>
  </si>
  <si>
    <t>闵行区兴南路336号</t>
  </si>
  <si>
    <t>三团一队建设系列主题推进——口袋音乐</t>
  </si>
  <si>
    <t>备注2</t>
    <phoneticPr fontId="1" type="noConversion"/>
  </si>
  <si>
    <t>学区化新三年方案及年度细则等</t>
  </si>
  <si>
    <t>专家指导费、方案撰写费等</t>
  </si>
  <si>
    <t>学区各学科品牌教师培训共建</t>
  </si>
  <si>
    <t>包括教学教研、教师培训、教师论坛、校长论坛等所需培训会务资料、专家讲课费等</t>
  </si>
  <si>
    <t>学区化办学共享共建课程</t>
  </si>
  <si>
    <t>包括镇域特色课程教材编撰、编印，学区化可视地图、研学地图绘制，研学手册编印等</t>
  </si>
  <si>
    <t>学区化办学框架下项目化内涵发展课题建设研究</t>
  </si>
  <si>
    <t>专家指导费、项目论证、专家评估、成果展示费等</t>
  </si>
  <si>
    <t>学区化办学社会效应建设</t>
  </si>
  <si>
    <t>包括学区化办学网络平台的建立，学区化办学工作以及成效的多形式宣传等</t>
  </si>
  <si>
    <t>学区化办学展示活动</t>
  </si>
  <si>
    <t>各学段学校特色培育以及阶段展示活动所涉及到的各种奖状、证书、奖杯、场地费、展示活动耗材等</t>
  </si>
  <si>
    <t>君莲幼儿园《以乐玩腰鼓活动为载体，促进幼儿表达表现能力发展的实践研究》（小计90000元）</t>
  </si>
  <si>
    <t>颛桥镇幼儿园《绿色小社团——环保教育课程开发》（小计70000元）</t>
  </si>
  <si>
    <t>颛桥镇第一幼儿园《基于“智慧教育”背景下的园本课程优化的实践研究》（小计80000元）</t>
  </si>
  <si>
    <t>上师大闵实幼《家园社会一体化背景下的SEL游戏材料开发与制作研究》（小计90000元）</t>
  </si>
  <si>
    <t>田园都市幼儿园《优化美术创作空间，提高幼儿审美能力的实践研究》（小计90000元）</t>
  </si>
  <si>
    <t>材料添置（幼儿腰鼓含鼓带）</t>
  </si>
  <si>
    <t>教材编制和印刷（包括方案集、教案集）</t>
  </si>
  <si>
    <t>专家指导费（腰鼓文化达人进校园）</t>
  </si>
  <si>
    <t>童心民艺民艺节活动（宣传版面总、分部）</t>
  </si>
  <si>
    <t>童心民艺民艺节活动（宣传册）</t>
  </si>
  <si>
    <t>童心民艺民艺节活动（民艺节活动表演服装）</t>
  </si>
  <si>
    <t>研讨活动（片级研讨展示1次资料费）</t>
  </si>
  <si>
    <t>研讨活动（学区化研讨展示2次资料费）</t>
  </si>
  <si>
    <t>课程开发参考资料</t>
  </si>
  <si>
    <t>社团活动实施材料</t>
  </si>
  <si>
    <t>环保节活动材料（三个分园）</t>
  </si>
  <si>
    <t>社团活动展示活动（4次）</t>
  </si>
  <si>
    <t>课程环境创设（两个园部）</t>
  </si>
  <si>
    <t>课程资源库（教学软件的添置与维护）</t>
  </si>
  <si>
    <t>课程展示于交流（教师教学、信息化技能等评比交流）</t>
  </si>
  <si>
    <t>专家咨询费（讲座费）</t>
  </si>
  <si>
    <t>研讨活动（片级、学区化研讨展示资料费）</t>
  </si>
  <si>
    <t>宣传版面、资料费等</t>
  </si>
  <si>
    <t>资源材料包（购买市场上有关材料包）</t>
  </si>
  <si>
    <t>图书印刷宣传册</t>
  </si>
  <si>
    <t>材料制作费（环境创设材料费）</t>
  </si>
  <si>
    <t>美术相关书籍</t>
  </si>
  <si>
    <t>课程实施材料</t>
  </si>
  <si>
    <t>创意美术艺术节</t>
  </si>
  <si>
    <t>专家指导费</t>
  </si>
  <si>
    <t>宣传短片VCR设计制作费</t>
  </si>
  <si>
    <t>36课时</t>
  </si>
  <si>
    <t>33面</t>
  </si>
  <si>
    <t>25学时</t>
  </si>
  <si>
    <t>1项</t>
  </si>
  <si>
    <t>10000/分钟</t>
  </si>
  <si>
    <t>6套</t>
  </si>
  <si>
    <t>2套</t>
  </si>
  <si>
    <t>10个半天</t>
  </si>
  <si>
    <t>有协议</t>
    <phoneticPr fontId="1" type="noConversion"/>
  </si>
  <si>
    <t>有协议</t>
    <phoneticPr fontId="1" type="noConversion"/>
  </si>
  <si>
    <t>有协议</t>
    <phoneticPr fontId="1" type="noConversion"/>
  </si>
  <si>
    <t>有会议纪要</t>
    <phoneticPr fontId="1" type="noConversion"/>
  </si>
  <si>
    <t>颛桥镇教育委员会</t>
    <phoneticPr fontId="1" type="noConversion"/>
  </si>
  <si>
    <t>闵行区第三轮新优质学校创建</t>
    <phoneticPr fontId="1" type="noConversion"/>
  </si>
  <si>
    <t>2021年镇管单位经费预算（学前科）</t>
    <phoneticPr fontId="1" type="noConversion"/>
  </si>
  <si>
    <t>2021年镇管单位专项预算（普教一科）</t>
    <phoneticPr fontId="1" type="noConversion"/>
  </si>
  <si>
    <t>2021年镇级单位专项预算（普教二科）</t>
    <phoneticPr fontId="1" type="noConversion"/>
  </si>
  <si>
    <t>2021年镇管单位专项预算（考试中心）</t>
    <phoneticPr fontId="1" type="noConversion"/>
  </si>
  <si>
    <t>2021年镇管单位专项预算（教育学院）</t>
    <phoneticPr fontId="1" type="noConversion"/>
  </si>
  <si>
    <r>
      <rPr>
        <b/>
        <sz val="9"/>
        <rFont val="宋体"/>
        <family val="3"/>
        <charset val="134"/>
      </rPr>
      <t>序号</t>
    </r>
  </si>
  <si>
    <r>
      <rPr>
        <b/>
        <sz val="9"/>
        <color indexed="8"/>
        <rFont val="宋体"/>
        <family val="3"/>
        <charset val="134"/>
      </rPr>
      <t>单位名称</t>
    </r>
  </si>
  <si>
    <r>
      <rPr>
        <b/>
        <sz val="9"/>
        <color indexed="8"/>
        <rFont val="宋体"/>
        <family val="3"/>
        <charset val="134"/>
      </rPr>
      <t>项目内容</t>
    </r>
  </si>
  <si>
    <r>
      <rPr>
        <b/>
        <sz val="9"/>
        <color indexed="8"/>
        <rFont val="宋体"/>
        <family val="3"/>
        <charset val="134"/>
      </rPr>
      <t>项目明细</t>
    </r>
  </si>
  <si>
    <r>
      <rPr>
        <b/>
        <sz val="9"/>
        <color indexed="8"/>
        <rFont val="宋体"/>
        <family val="3"/>
        <charset val="134"/>
      </rPr>
      <t>规格型号</t>
    </r>
  </si>
  <si>
    <r>
      <rPr>
        <b/>
        <sz val="9"/>
        <color indexed="8"/>
        <rFont val="宋体"/>
        <family val="3"/>
        <charset val="134"/>
      </rPr>
      <t>单价</t>
    </r>
  </si>
  <si>
    <r>
      <rPr>
        <b/>
        <sz val="9"/>
        <color indexed="8"/>
        <rFont val="宋体"/>
        <family val="3"/>
        <charset val="134"/>
      </rPr>
      <t>数量</t>
    </r>
  </si>
  <si>
    <t>预算金额</t>
    <phoneticPr fontId="1" type="noConversion"/>
  </si>
  <si>
    <t>标准化考场视频巡查系统建设</t>
    <phoneticPr fontId="1" type="noConversion"/>
  </si>
  <si>
    <t>考试网络环境建设</t>
    <phoneticPr fontId="104" type="noConversion"/>
  </si>
  <si>
    <t>考试和评卷管理主要软件系统建设</t>
    <phoneticPr fontId="1" type="noConversion"/>
  </si>
  <si>
    <t>浦江二中小计</t>
    <phoneticPr fontId="104" type="noConversion"/>
  </si>
  <si>
    <t>浦航实验中学</t>
  </si>
  <si>
    <t>浦航实验中学</t>
    <phoneticPr fontId="2" type="noConversion"/>
  </si>
  <si>
    <t>浦航实验中学小计</t>
    <phoneticPr fontId="104" type="noConversion"/>
  </si>
  <si>
    <t>友爱中学小计</t>
    <phoneticPr fontId="104" type="noConversion"/>
  </si>
  <si>
    <t>马桥万科</t>
    <phoneticPr fontId="2" type="noConversion"/>
  </si>
  <si>
    <t>马桥万科小计</t>
    <phoneticPr fontId="104" type="noConversion"/>
  </si>
  <si>
    <t>北桥中学小计</t>
    <phoneticPr fontId="104" type="noConversion"/>
  </si>
  <si>
    <t>颛桥中学小计</t>
    <phoneticPr fontId="104" type="noConversion"/>
  </si>
  <si>
    <t>君莲学校(初中校区)</t>
  </si>
  <si>
    <t>君莲学校(初中校区)</t>
    <phoneticPr fontId="104" type="noConversion"/>
  </si>
  <si>
    <t>君莲学校(初中校区)小计</t>
    <phoneticPr fontId="104" type="noConversion"/>
  </si>
  <si>
    <t>标准化考场视频巡查系统建设</t>
    <phoneticPr fontId="1" type="noConversion"/>
  </si>
  <si>
    <t>考试网络环境建设</t>
    <phoneticPr fontId="104" type="noConversion"/>
  </si>
  <si>
    <t>考试和评卷管理主要软件系统建设</t>
    <phoneticPr fontId="1" type="noConversion"/>
  </si>
  <si>
    <t>梅陇中学小计</t>
    <phoneticPr fontId="104" type="noConversion"/>
  </si>
  <si>
    <t>晶城中学小计</t>
    <phoneticPr fontId="104" type="noConversion"/>
  </si>
  <si>
    <t>七宝三中小计</t>
    <phoneticPr fontId="104" type="noConversion"/>
  </si>
  <si>
    <t>七宝实验</t>
  </si>
  <si>
    <t>七宝实验小计</t>
    <phoneticPr fontId="104" type="noConversion"/>
  </si>
  <si>
    <t>航华中学小计</t>
    <phoneticPr fontId="104" type="noConversion"/>
  </si>
  <si>
    <t>七宝二中(南校区)</t>
  </si>
  <si>
    <t>七宝二中(南校区)小计</t>
    <phoneticPr fontId="104" type="noConversion"/>
  </si>
  <si>
    <t>七宝二中(北校区)（航华二中）</t>
  </si>
  <si>
    <t>七宝二中(北校区)（航华二中）小计</t>
    <phoneticPr fontId="104" type="noConversion"/>
  </si>
  <si>
    <t>金汇实验小计</t>
    <phoneticPr fontId="104" type="noConversion"/>
  </si>
  <si>
    <t>诸翟学校小计</t>
    <phoneticPr fontId="104" type="noConversion"/>
  </si>
  <si>
    <t>纪王学校小计</t>
    <phoneticPr fontId="104" type="noConversion"/>
  </si>
  <si>
    <t>华漕学校</t>
    <phoneticPr fontId="2" type="noConversion"/>
  </si>
  <si>
    <t>华漕学校小计</t>
    <phoneticPr fontId="104" type="noConversion"/>
  </si>
  <si>
    <t>明星学校小计</t>
    <phoneticPr fontId="104" type="noConversion"/>
  </si>
  <si>
    <t>浦江镇合计</t>
    <phoneticPr fontId="1" type="noConversion"/>
  </si>
  <si>
    <t>吴泾镇合计</t>
    <phoneticPr fontId="1" type="noConversion"/>
  </si>
  <si>
    <t>马桥镇合计</t>
    <phoneticPr fontId="1" type="noConversion"/>
  </si>
  <si>
    <t>颛桥镇合计</t>
    <phoneticPr fontId="1" type="noConversion"/>
  </si>
  <si>
    <t>梅陇镇合计</t>
    <phoneticPr fontId="1" type="noConversion"/>
  </si>
  <si>
    <t>七宝镇合计</t>
    <phoneticPr fontId="1" type="noConversion"/>
  </si>
  <si>
    <t>虹桥镇合计</t>
    <phoneticPr fontId="1" type="noConversion"/>
  </si>
  <si>
    <t>华漕镇合计</t>
    <phoneticPr fontId="1" type="noConversion"/>
  </si>
  <si>
    <t>莘庄镇合计</t>
    <phoneticPr fontId="1" type="noConversion"/>
  </si>
  <si>
    <t>镇级合计</t>
    <phoneticPr fontId="104" type="noConversion"/>
  </si>
  <si>
    <r>
      <rPr>
        <b/>
        <sz val="10"/>
        <rFont val="宋体"/>
        <family val="3"/>
        <charset val="134"/>
      </rPr>
      <t>序号</t>
    </r>
    <phoneticPr fontId="2" type="noConversion"/>
  </si>
  <si>
    <t>理化实验室视频采集系统</t>
    <phoneticPr fontId="1" type="noConversion"/>
  </si>
  <si>
    <t>物理实验室视频采集系统</t>
  </si>
  <si>
    <t>幼儿园</t>
    <phoneticPr fontId="1" type="noConversion"/>
  </si>
  <si>
    <t>闵行区佳佳中心幼儿园分园</t>
    <phoneticPr fontId="1" type="noConversion"/>
  </si>
  <si>
    <t>8班规模开4班测算，维多利亚幼儿园（民转公）</t>
  </si>
  <si>
    <r>
      <rPr>
        <sz val="10"/>
        <rFont val="宋体"/>
        <family val="3"/>
        <charset val="134"/>
      </rPr>
      <t>折扣系数</t>
    </r>
    <r>
      <rPr>
        <sz val="10"/>
        <rFont val="Times New Roman"/>
        <family val="1"/>
      </rPr>
      <t>0.90</t>
    </r>
    <phoneticPr fontId="1" type="noConversion"/>
  </si>
  <si>
    <r>
      <rPr>
        <b/>
        <sz val="10"/>
        <rFont val="宋体"/>
        <family val="3"/>
        <charset val="134"/>
      </rPr>
      <t>设备名称</t>
    </r>
    <phoneticPr fontId="2" type="noConversion"/>
  </si>
  <si>
    <r>
      <rPr>
        <b/>
        <sz val="10"/>
        <rFont val="宋体"/>
        <family val="3"/>
        <charset val="134"/>
      </rPr>
      <t>单位</t>
    </r>
    <phoneticPr fontId="2" type="noConversion"/>
  </si>
  <si>
    <r>
      <rPr>
        <b/>
        <sz val="10"/>
        <rFont val="宋体"/>
        <family val="3"/>
        <charset val="134"/>
      </rPr>
      <t>规格型号</t>
    </r>
    <phoneticPr fontId="2" type="noConversion"/>
  </si>
  <si>
    <r>
      <rPr>
        <b/>
        <sz val="10"/>
        <rFont val="宋体"/>
        <family val="3"/>
        <charset val="134"/>
      </rPr>
      <t>参考单价</t>
    </r>
    <phoneticPr fontId="2" type="noConversion"/>
  </si>
  <si>
    <t>备注</t>
    <phoneticPr fontId="2" type="noConversion"/>
  </si>
  <si>
    <r>
      <rPr>
        <b/>
        <sz val="10"/>
        <rFont val="宋体"/>
        <family val="3"/>
        <charset val="134"/>
      </rPr>
      <t>一</t>
    </r>
    <phoneticPr fontId="2" type="noConversion"/>
  </si>
  <si>
    <t>户外（内）活动场地</t>
    <phoneticPr fontId="2" type="noConversion"/>
  </si>
  <si>
    <t>户外中大型运动组合器械</t>
    <phoneticPr fontId="2" type="noConversion"/>
  </si>
  <si>
    <r>
      <rPr>
        <sz val="10"/>
        <rFont val="宋体"/>
        <family val="3"/>
        <charset val="134"/>
      </rPr>
      <t>批</t>
    </r>
    <phoneticPr fontId="2" type="noConversion"/>
  </si>
  <si>
    <t>参照《上海市幼儿园装备指南》征求意见配备</t>
    <phoneticPr fontId="2" type="noConversion"/>
  </si>
  <si>
    <t>户外小型单项运动器械</t>
    <phoneticPr fontId="2" type="noConversion"/>
  </si>
  <si>
    <t>户外运动玩具</t>
    <phoneticPr fontId="2" type="noConversion"/>
  </si>
  <si>
    <t>含玩沙、玩水、种植等</t>
    <phoneticPr fontId="2" type="noConversion"/>
  </si>
  <si>
    <t>户内运动器械</t>
    <phoneticPr fontId="2" type="noConversion"/>
  </si>
  <si>
    <t>幼儿室内运动室</t>
    <phoneticPr fontId="2" type="noConversion"/>
  </si>
  <si>
    <r>
      <rPr>
        <b/>
        <sz val="10"/>
        <rFont val="宋体"/>
        <family val="3"/>
        <charset val="134"/>
      </rPr>
      <t>小</t>
    </r>
    <r>
      <rPr>
        <b/>
        <sz val="10"/>
        <rFont val="Times New Roman"/>
        <family val="1"/>
      </rPr>
      <t xml:space="preserve">    </t>
    </r>
    <r>
      <rPr>
        <b/>
        <sz val="10"/>
        <rFont val="宋体"/>
        <family val="3"/>
        <charset val="134"/>
      </rPr>
      <t>计</t>
    </r>
    <phoneticPr fontId="2" type="noConversion"/>
  </si>
  <si>
    <t>二</t>
    <phoneticPr fontId="2" type="noConversion"/>
  </si>
  <si>
    <t>活动及辅助用房</t>
    <phoneticPr fontId="2" type="noConversion"/>
  </si>
  <si>
    <t>A</t>
    <phoneticPr fontId="2" type="noConversion"/>
  </si>
  <si>
    <t>幼（托）儿用房</t>
    <phoneticPr fontId="2" type="noConversion"/>
  </si>
  <si>
    <t>a</t>
    <phoneticPr fontId="2" type="noConversion"/>
  </si>
  <si>
    <t>幼（托）儿活动室（含餐厅）</t>
    <phoneticPr fontId="2" type="noConversion"/>
  </si>
  <si>
    <r>
      <rPr>
        <sz val="10"/>
        <rFont val="宋体"/>
        <family val="3"/>
        <charset val="134"/>
      </rPr>
      <t>时钟</t>
    </r>
  </si>
  <si>
    <r>
      <rPr>
        <sz val="10"/>
        <rFont val="宋体"/>
        <family val="3"/>
        <charset val="134"/>
      </rPr>
      <t>只</t>
    </r>
    <phoneticPr fontId="2" type="noConversion"/>
  </si>
  <si>
    <r>
      <rPr>
        <sz val="10"/>
        <rFont val="宋体"/>
        <family val="3"/>
        <charset val="134"/>
      </rPr>
      <t>钢琴</t>
    </r>
  </si>
  <si>
    <r>
      <rPr>
        <sz val="10"/>
        <rFont val="宋体"/>
        <family val="3"/>
        <charset val="134"/>
      </rPr>
      <t>架</t>
    </r>
    <phoneticPr fontId="2" type="noConversion"/>
  </si>
  <si>
    <t>含琴凳、琴套、</t>
    <phoneticPr fontId="2" type="noConversion"/>
  </si>
  <si>
    <r>
      <rPr>
        <sz val="10"/>
        <rFont val="宋体"/>
        <family val="3"/>
        <charset val="134"/>
      </rPr>
      <t>书写板</t>
    </r>
    <phoneticPr fontId="2" type="noConversion"/>
  </si>
  <si>
    <r>
      <rPr>
        <sz val="10"/>
        <rFont val="宋体"/>
        <family val="3"/>
        <charset val="134"/>
      </rPr>
      <t>块</t>
    </r>
    <phoneticPr fontId="2" type="noConversion"/>
  </si>
  <si>
    <r>
      <rPr>
        <sz val="10"/>
        <rFont val="宋体"/>
        <family val="3"/>
        <charset val="134"/>
      </rPr>
      <t>或绒板、移动</t>
    </r>
    <phoneticPr fontId="2" type="noConversion"/>
  </si>
  <si>
    <t>幼儿桌椅</t>
    <phoneticPr fontId="2" type="noConversion"/>
  </si>
  <si>
    <r>
      <rPr>
        <sz val="10"/>
        <rFont val="宋体"/>
        <family val="3"/>
        <charset val="134"/>
      </rPr>
      <t>套</t>
    </r>
    <phoneticPr fontId="2" type="noConversion"/>
  </si>
  <si>
    <r>
      <rPr>
        <sz val="10"/>
        <rFont val="宋体"/>
        <family val="3"/>
        <charset val="134"/>
      </rPr>
      <t>一桌六椅、木质</t>
    </r>
    <phoneticPr fontId="2" type="noConversion"/>
  </si>
  <si>
    <r>
      <rPr>
        <sz val="10"/>
        <rFont val="宋体"/>
        <family val="3"/>
        <charset val="134"/>
      </rPr>
      <t>玩具柜</t>
    </r>
  </si>
  <si>
    <r>
      <rPr>
        <sz val="10"/>
        <rFont val="宋体"/>
        <family val="3"/>
        <charset val="134"/>
      </rPr>
      <t>组</t>
    </r>
    <phoneticPr fontId="2" type="noConversion"/>
  </si>
  <si>
    <t>一组九件（含展示板）、木质、开放式可移动</t>
    <phoneticPr fontId="2" type="noConversion"/>
  </si>
  <si>
    <r>
      <t>65</t>
    </r>
    <r>
      <rPr>
        <sz val="10"/>
        <rFont val="宋体"/>
        <family val="3"/>
        <charset val="134"/>
      </rPr>
      <t>寸交互式智能一体机</t>
    </r>
  </si>
  <si>
    <r>
      <rPr>
        <sz val="10"/>
        <rFont val="宋体"/>
        <family val="3"/>
        <charset val="134"/>
      </rPr>
      <t>台</t>
    </r>
    <phoneticPr fontId="2" type="noConversion"/>
  </si>
  <si>
    <t>含视频展台、电脑等</t>
    <phoneticPr fontId="2" type="noConversion"/>
  </si>
  <si>
    <t>录音机</t>
    <phoneticPr fontId="1" type="noConversion"/>
  </si>
  <si>
    <t>数码</t>
    <phoneticPr fontId="1" type="noConversion"/>
  </si>
  <si>
    <t>教玩具设备</t>
    <phoneticPr fontId="2" type="noConversion"/>
  </si>
  <si>
    <t>含桌面玩具、角色游戏、益智玩具等</t>
    <phoneticPr fontId="2" type="noConversion"/>
  </si>
  <si>
    <t>幼儿活动室空调</t>
  </si>
  <si>
    <r>
      <t>5</t>
    </r>
    <r>
      <rPr>
        <sz val="10"/>
        <rFont val="宋体"/>
        <family val="3"/>
        <charset val="134"/>
      </rPr>
      <t>匹吸顶式</t>
    </r>
    <phoneticPr fontId="2" type="noConversion"/>
  </si>
  <si>
    <t>保温桶、茶水柜等，应具备锁定装置、木质</t>
    <phoneticPr fontId="2" type="noConversion"/>
  </si>
  <si>
    <t>b</t>
    <phoneticPr fontId="2" type="noConversion"/>
  </si>
  <si>
    <t>木质、可固定或叠放收藏</t>
    <phoneticPr fontId="2" type="noConversion"/>
  </si>
  <si>
    <t>幼儿卧室空调</t>
  </si>
  <si>
    <t>c</t>
    <phoneticPr fontId="2" type="noConversion"/>
  </si>
  <si>
    <r>
      <rPr>
        <sz val="10"/>
        <rFont val="宋体"/>
        <family val="3"/>
        <charset val="134"/>
      </rPr>
      <t>热水器</t>
    </r>
    <phoneticPr fontId="2" type="noConversion"/>
  </si>
  <si>
    <t>电热式，带限温装置</t>
    <phoneticPr fontId="2" type="noConversion"/>
  </si>
  <si>
    <t>d</t>
    <phoneticPr fontId="2" type="noConversion"/>
  </si>
  <si>
    <t>含教师储物柜，</t>
    <phoneticPr fontId="2" type="noConversion"/>
  </si>
  <si>
    <t>e</t>
    <phoneticPr fontId="2" type="noConversion"/>
  </si>
  <si>
    <r>
      <rPr>
        <sz val="10"/>
        <rFont val="宋体"/>
        <family val="3"/>
        <charset val="134"/>
      </rPr>
      <t>每园不少于</t>
    </r>
    <r>
      <rPr>
        <sz val="10"/>
        <rFont val="Times New Roman"/>
        <family val="1"/>
      </rPr>
      <t>2</t>
    </r>
    <r>
      <rPr>
        <sz val="10"/>
        <rFont val="宋体"/>
        <family val="3"/>
        <charset val="134"/>
      </rPr>
      <t>间（含传染病消毒）</t>
    </r>
    <phoneticPr fontId="2" type="noConversion"/>
  </si>
  <si>
    <r>
      <rPr>
        <sz val="10"/>
        <rFont val="宋体"/>
        <family val="3"/>
        <charset val="134"/>
      </rPr>
      <t>洗衣机</t>
    </r>
  </si>
  <si>
    <t>按班级安排</t>
    <phoneticPr fontId="2" type="noConversion"/>
  </si>
  <si>
    <r>
      <rPr>
        <sz val="10"/>
        <rFont val="宋体"/>
        <family val="3"/>
        <charset val="134"/>
      </rPr>
      <t>烘干机</t>
    </r>
  </si>
  <si>
    <t>含已消毒、未消毒</t>
    <phoneticPr fontId="2" type="noConversion"/>
  </si>
  <si>
    <t>按楼层安排</t>
    <phoneticPr fontId="2" type="noConversion"/>
  </si>
  <si>
    <t>有蒸汽并带集气罩</t>
    <phoneticPr fontId="2" type="noConversion"/>
  </si>
  <si>
    <t>按楼层安排。其中1台为传染病专用消毒间使用。</t>
    <phoneticPr fontId="2" type="noConversion"/>
  </si>
  <si>
    <t>B</t>
    <phoneticPr fontId="2" type="noConversion"/>
  </si>
  <si>
    <t>兼幼儿音乐表演室</t>
    <phoneticPr fontId="2" type="noConversion"/>
  </si>
  <si>
    <t>包括音响设备、灯光设备、显视屏</t>
    <phoneticPr fontId="2" type="noConversion"/>
  </si>
  <si>
    <t>含幼儿和成人桌椅</t>
    <phoneticPr fontId="2" type="noConversion"/>
  </si>
  <si>
    <t>含琴凳、琴套</t>
    <phoneticPr fontId="2" type="noConversion"/>
  </si>
  <si>
    <t>含舞台布景与表演道具、打击乐器、木偶、表演服装等</t>
    <phoneticPr fontId="2" type="noConversion"/>
  </si>
  <si>
    <t>C</t>
    <phoneticPr fontId="2" type="noConversion"/>
  </si>
  <si>
    <r>
      <rPr>
        <b/>
        <sz val="10"/>
        <rFont val="宋体"/>
        <family val="3"/>
        <charset val="134"/>
      </rPr>
      <t>幼儿活动专用室</t>
    </r>
    <phoneticPr fontId="2" type="noConversion"/>
  </si>
  <si>
    <t>阅读室、科探室、美术室、结构游戏室、益智室、角色游戏</t>
    <phoneticPr fontId="2" type="noConversion"/>
  </si>
  <si>
    <t>各幼儿园自定、《上海市幼儿园专用活动室建设要求》（征求意见稿）</t>
    <phoneticPr fontId="2" type="noConversion"/>
  </si>
  <si>
    <t>阅读室、科探室、美术室、</t>
  </si>
  <si>
    <r>
      <rPr>
        <sz val="10"/>
        <rFont val="宋体"/>
        <family val="3"/>
        <charset val="134"/>
      </rPr>
      <t>生均</t>
    </r>
    <r>
      <rPr>
        <sz val="10"/>
        <rFont val="Times New Roman"/>
        <family val="1"/>
      </rPr>
      <t>4</t>
    </r>
    <r>
      <rPr>
        <sz val="10"/>
        <rFont val="宋体"/>
        <family val="3"/>
        <charset val="134"/>
      </rPr>
      <t>册</t>
    </r>
    <r>
      <rPr>
        <sz val="10"/>
        <rFont val="Times New Roman"/>
        <family val="1"/>
      </rPr>
      <t>*30</t>
    </r>
    <r>
      <rPr>
        <sz val="10"/>
        <rFont val="宋体"/>
        <family val="3"/>
        <charset val="134"/>
      </rPr>
      <t>人</t>
    </r>
    <r>
      <rPr>
        <sz val="10"/>
        <rFont val="Times New Roman"/>
        <family val="1"/>
      </rPr>
      <t>/</t>
    </r>
    <r>
      <rPr>
        <sz val="10"/>
        <rFont val="宋体"/>
        <family val="3"/>
        <charset val="134"/>
      </rPr>
      <t>班</t>
    </r>
    <r>
      <rPr>
        <sz val="10"/>
        <rFont val="Times New Roman"/>
        <family val="1"/>
      </rPr>
      <t>*16</t>
    </r>
    <r>
      <rPr>
        <sz val="10"/>
        <rFont val="宋体"/>
        <family val="3"/>
        <charset val="134"/>
      </rPr>
      <t>元</t>
    </r>
    <r>
      <rPr>
        <sz val="10"/>
        <rFont val="Times New Roman"/>
        <family val="1"/>
      </rPr>
      <t>/</t>
    </r>
    <r>
      <rPr>
        <sz val="10"/>
        <rFont val="宋体"/>
        <family val="3"/>
        <charset val="134"/>
      </rPr>
      <t>册</t>
    </r>
    <r>
      <rPr>
        <sz val="10"/>
        <rFont val="Times New Roman"/>
        <family val="1"/>
      </rPr>
      <t>*</t>
    </r>
    <r>
      <rPr>
        <sz val="10"/>
        <rFont val="宋体"/>
        <family val="3"/>
        <charset val="134"/>
      </rPr>
      <t>班级数</t>
    </r>
    <phoneticPr fontId="2" type="noConversion"/>
  </si>
  <si>
    <t>行政及教师办公室</t>
  </si>
  <si>
    <t>园长（书记）室</t>
  </si>
  <si>
    <r>
      <rPr>
        <sz val="10"/>
        <rFont val="宋体"/>
        <family val="3"/>
        <charset val="134"/>
      </rPr>
      <t>园长办公桌椅</t>
    </r>
    <phoneticPr fontId="2" type="noConversion"/>
  </si>
  <si>
    <r>
      <rPr>
        <sz val="10"/>
        <rFont val="宋体"/>
        <family val="3"/>
        <charset val="134"/>
      </rPr>
      <t>沙发</t>
    </r>
  </si>
  <si>
    <t>含茶几</t>
    <phoneticPr fontId="2" type="noConversion"/>
  </si>
  <si>
    <t>台</t>
  </si>
  <si>
    <r>
      <t>3.5</t>
    </r>
    <r>
      <rPr>
        <sz val="10"/>
        <rFont val="宋体"/>
        <family val="3"/>
        <charset val="134"/>
      </rPr>
      <t>人</t>
    </r>
    <r>
      <rPr>
        <sz val="10"/>
        <rFont val="Times New Roman"/>
        <family val="1"/>
      </rPr>
      <t>*</t>
    </r>
    <r>
      <rPr>
        <sz val="10"/>
        <rFont val="宋体"/>
        <family val="3"/>
        <charset val="134"/>
      </rPr>
      <t>班级数</t>
    </r>
    <phoneticPr fontId="2" type="noConversion"/>
  </si>
  <si>
    <r>
      <rPr>
        <sz val="10"/>
        <rFont val="宋体"/>
        <family val="3"/>
        <charset val="134"/>
      </rPr>
      <t>台式一体机</t>
    </r>
    <phoneticPr fontId="2" type="noConversion"/>
  </si>
  <si>
    <r>
      <rPr>
        <sz val="10"/>
        <rFont val="宋体"/>
        <family val="3"/>
        <charset val="134"/>
      </rPr>
      <t>空调</t>
    </r>
    <phoneticPr fontId="2" type="noConversion"/>
  </si>
  <si>
    <r>
      <t>2</t>
    </r>
    <r>
      <rPr>
        <sz val="10"/>
        <rFont val="宋体"/>
        <family val="3"/>
        <charset val="134"/>
      </rPr>
      <t>匹</t>
    </r>
    <phoneticPr fontId="2" type="noConversion"/>
  </si>
  <si>
    <r>
      <rPr>
        <sz val="10"/>
        <rFont val="宋体"/>
        <family val="3"/>
        <charset val="134"/>
      </rPr>
      <t>财务票据拍摄仪</t>
    </r>
  </si>
  <si>
    <r>
      <rPr>
        <sz val="10"/>
        <rFont val="宋体"/>
        <family val="3"/>
        <charset val="134"/>
      </rPr>
      <t>打印机</t>
    </r>
    <phoneticPr fontId="2" type="noConversion"/>
  </si>
  <si>
    <r>
      <rPr>
        <sz val="10"/>
        <rFont val="宋体"/>
        <family val="3"/>
        <charset val="134"/>
      </rPr>
      <t>档案柜</t>
    </r>
    <phoneticPr fontId="2" type="noConversion"/>
  </si>
  <si>
    <r>
      <rPr>
        <sz val="10"/>
        <rFont val="宋体"/>
        <family val="3"/>
        <charset val="134"/>
      </rPr>
      <t>资料橱</t>
    </r>
  </si>
  <si>
    <r>
      <rPr>
        <sz val="10"/>
        <rFont val="宋体"/>
        <family val="3"/>
        <charset val="134"/>
      </rPr>
      <t>数码照相机</t>
    </r>
    <phoneticPr fontId="2" type="noConversion"/>
  </si>
  <si>
    <r>
      <rPr>
        <sz val="10"/>
        <rFont val="宋体"/>
        <family val="3"/>
        <charset val="134"/>
      </rPr>
      <t>单反含镜头</t>
    </r>
    <phoneticPr fontId="2" type="noConversion"/>
  </si>
  <si>
    <r>
      <rPr>
        <sz val="10"/>
        <rFont val="宋体"/>
        <family val="3"/>
        <charset val="134"/>
      </rPr>
      <t>会议桌</t>
    </r>
  </si>
  <si>
    <r>
      <rPr>
        <sz val="10"/>
        <rFont val="宋体"/>
        <family val="3"/>
        <charset val="134"/>
      </rPr>
      <t>会议椅</t>
    </r>
    <phoneticPr fontId="2" type="noConversion"/>
  </si>
  <si>
    <r>
      <t>70</t>
    </r>
    <r>
      <rPr>
        <sz val="10"/>
        <rFont val="宋体"/>
        <family val="3"/>
        <charset val="134"/>
      </rPr>
      <t>寸交互式智能一体机</t>
    </r>
    <phoneticPr fontId="2" type="noConversion"/>
  </si>
  <si>
    <t>空调</t>
    <phoneticPr fontId="2" type="noConversion"/>
  </si>
  <si>
    <t>书橱</t>
    <phoneticPr fontId="2" type="noConversion"/>
  </si>
  <si>
    <t>D</t>
    <phoneticPr fontId="2" type="noConversion"/>
  </si>
  <si>
    <t>教玩具制作兼陈列室</t>
  </si>
  <si>
    <t>陈列橱</t>
  </si>
  <si>
    <t>7500*550*2700</t>
  </si>
  <si>
    <r>
      <rPr>
        <sz val="10"/>
        <rFont val="宋体"/>
        <family val="3"/>
        <charset val="134"/>
      </rPr>
      <t>长度根据墙面实际尺寸确定</t>
    </r>
    <r>
      <rPr>
        <sz val="10"/>
        <color indexed="10"/>
        <rFont val="宋体"/>
        <family val="3"/>
        <charset val="134"/>
      </rPr>
      <t/>
    </r>
    <phoneticPr fontId="2" type="noConversion"/>
  </si>
  <si>
    <t>E</t>
    <phoneticPr fontId="2" type="noConversion"/>
  </si>
  <si>
    <t>总务仓库</t>
  </si>
  <si>
    <t>F</t>
    <phoneticPr fontId="2" type="noConversion"/>
  </si>
  <si>
    <t>晨检兼接送</t>
  </si>
  <si>
    <t>G</t>
    <phoneticPr fontId="2" type="noConversion"/>
  </si>
  <si>
    <r>
      <rPr>
        <sz val="10"/>
        <rFont val="宋体"/>
        <family val="3"/>
        <charset val="134"/>
      </rPr>
      <t>保健资料柜</t>
    </r>
  </si>
  <si>
    <r>
      <rPr>
        <sz val="10"/>
        <rFont val="宋体"/>
        <family val="3"/>
        <charset val="134"/>
      </rPr>
      <t>张</t>
    </r>
    <phoneticPr fontId="2" type="noConversion"/>
  </si>
  <si>
    <r>
      <rPr>
        <sz val="10"/>
        <rFont val="宋体"/>
        <family val="3"/>
        <charset val="134"/>
      </rPr>
      <t>木质</t>
    </r>
    <phoneticPr fontId="2" type="noConversion"/>
  </si>
  <si>
    <r>
      <rPr>
        <sz val="10"/>
        <rFont val="宋体"/>
        <family val="3"/>
        <charset val="134"/>
      </rPr>
      <t>常用医疗器械</t>
    </r>
  </si>
  <si>
    <r>
      <rPr>
        <sz val="10"/>
        <rFont val="宋体"/>
        <family val="3"/>
        <charset val="134"/>
      </rPr>
      <t>沪教委体</t>
    </r>
    <r>
      <rPr>
        <sz val="10"/>
        <rFont val="Times New Roman"/>
        <family val="1"/>
      </rPr>
      <t>[2011]22</t>
    </r>
    <r>
      <rPr>
        <sz val="10"/>
        <rFont val="宋体"/>
        <family val="3"/>
        <charset val="134"/>
      </rPr>
      <t>号</t>
    </r>
    <phoneticPr fontId="2" type="noConversion"/>
  </si>
  <si>
    <t>H</t>
    <phoneticPr fontId="2" type="noConversion"/>
  </si>
  <si>
    <t>网络控制室</t>
  </si>
  <si>
    <r>
      <rPr>
        <sz val="10"/>
        <rFont val="宋体"/>
        <family val="3"/>
        <charset val="134"/>
      </rPr>
      <t>校园网络设备</t>
    </r>
    <phoneticPr fontId="2" type="noConversion"/>
  </si>
  <si>
    <t>I</t>
    <phoneticPr fontId="2" type="noConversion"/>
  </si>
  <si>
    <t>J</t>
    <phoneticPr fontId="2" type="noConversion"/>
  </si>
  <si>
    <t>活动器械储藏室</t>
  </si>
  <si>
    <t>货架</t>
  </si>
  <si>
    <t>K</t>
    <phoneticPr fontId="2" type="noConversion"/>
  </si>
  <si>
    <t>保育员休息室</t>
  </si>
  <si>
    <t>更衣橱</t>
  </si>
  <si>
    <t>L</t>
    <phoneticPr fontId="2" type="noConversion"/>
  </si>
  <si>
    <t>安防设备</t>
  </si>
  <si>
    <t>橡胶警棍、安全钢叉等</t>
  </si>
  <si>
    <r>
      <rPr>
        <sz val="10"/>
        <rFont val="宋体"/>
        <family val="3"/>
        <charset val="134"/>
      </rPr>
      <t>访客系统</t>
    </r>
    <phoneticPr fontId="2" type="noConversion"/>
  </si>
  <si>
    <r>
      <rPr>
        <sz val="10"/>
        <rFont val="宋体"/>
        <family val="3"/>
        <charset val="134"/>
      </rPr>
      <t>电脑版</t>
    </r>
    <phoneticPr fontId="2" type="noConversion"/>
  </si>
  <si>
    <r>
      <rPr>
        <sz val="10"/>
        <rFont val="宋体"/>
        <family val="3"/>
        <charset val="134"/>
      </rPr>
      <t>厨房设备</t>
    </r>
  </si>
  <si>
    <r>
      <rPr>
        <sz val="10"/>
        <rFont val="宋体"/>
        <family val="3"/>
        <charset val="134"/>
      </rPr>
      <t>立表费</t>
    </r>
    <phoneticPr fontId="2" type="noConversion"/>
  </si>
  <si>
    <r>
      <rPr>
        <sz val="10"/>
        <rFont val="宋体"/>
        <family val="3"/>
        <charset val="134"/>
      </rPr>
      <t>煤气排管费</t>
    </r>
    <phoneticPr fontId="2" type="noConversion"/>
  </si>
  <si>
    <r>
      <rPr>
        <b/>
        <sz val="10"/>
        <rFont val="宋体"/>
        <family val="3"/>
        <charset val="134"/>
      </rPr>
      <t>基础弱电及其它设备</t>
    </r>
    <phoneticPr fontId="2" type="noConversion"/>
  </si>
  <si>
    <r>
      <rPr>
        <sz val="10"/>
        <rFont val="宋体"/>
        <family val="3"/>
        <charset val="134"/>
      </rPr>
      <t>批</t>
    </r>
  </si>
  <si>
    <r>
      <rPr>
        <sz val="10"/>
        <rFont val="宋体"/>
        <family val="3"/>
        <charset val="134"/>
      </rPr>
      <t>外网接入</t>
    </r>
    <phoneticPr fontId="2" type="noConversion"/>
  </si>
  <si>
    <r>
      <rPr>
        <sz val="10"/>
        <rFont val="宋体"/>
        <family val="3"/>
        <charset val="134"/>
      </rPr>
      <t>城域网</t>
    </r>
    <r>
      <rPr>
        <sz val="10"/>
        <rFont val="Times New Roman"/>
        <family val="1"/>
      </rPr>
      <t>(</t>
    </r>
    <r>
      <rPr>
        <sz val="10"/>
        <rFont val="宋体"/>
        <family val="3"/>
        <charset val="134"/>
      </rPr>
      <t>外网六蕊</t>
    </r>
    <r>
      <rPr>
        <sz val="10"/>
        <rFont val="Times New Roman"/>
        <family val="1"/>
      </rPr>
      <t>)</t>
    </r>
    <phoneticPr fontId="2" type="noConversion"/>
  </si>
  <si>
    <r>
      <rPr>
        <sz val="10"/>
        <rFont val="宋体"/>
        <family val="3"/>
        <charset val="134"/>
      </rPr>
      <t>消防设备</t>
    </r>
  </si>
  <si>
    <r>
      <rPr>
        <sz val="10"/>
        <rFont val="宋体"/>
        <family val="3"/>
        <charset val="134"/>
      </rPr>
      <t>按消防规定</t>
    </r>
  </si>
  <si>
    <r>
      <rPr>
        <sz val="10"/>
        <rFont val="宋体"/>
        <family val="3"/>
        <charset val="134"/>
      </rPr>
      <t>窗帘</t>
    </r>
    <phoneticPr fontId="2" type="noConversion"/>
  </si>
  <si>
    <t>校园多媒体信息发布系统</t>
  </si>
  <si>
    <r>
      <rPr>
        <sz val="10"/>
        <rFont val="宋体"/>
        <family val="3"/>
        <charset val="134"/>
      </rPr>
      <t>块</t>
    </r>
  </si>
  <si>
    <r>
      <rPr>
        <sz val="10"/>
        <rFont val="宋体"/>
        <family val="3"/>
        <charset val="134"/>
      </rPr>
      <t>室外</t>
    </r>
    <r>
      <rPr>
        <sz val="10"/>
        <rFont val="Times New Roman"/>
        <family val="1"/>
      </rPr>
      <t>LED</t>
    </r>
    <r>
      <rPr>
        <sz val="10"/>
        <rFont val="宋体"/>
        <family val="3"/>
        <charset val="134"/>
      </rPr>
      <t>显示屏（校门口）</t>
    </r>
    <phoneticPr fontId="2" type="noConversion"/>
  </si>
  <si>
    <t>批</t>
    <phoneticPr fontId="1" type="noConversion"/>
  </si>
  <si>
    <r>
      <rPr>
        <b/>
        <sz val="10"/>
        <rFont val="宋体"/>
        <family val="3"/>
        <charset val="134"/>
      </rPr>
      <t>合</t>
    </r>
    <r>
      <rPr>
        <b/>
        <sz val="10"/>
        <rFont val="Times New Roman"/>
        <family val="1"/>
      </rPr>
      <t xml:space="preserve">    </t>
    </r>
    <r>
      <rPr>
        <b/>
        <sz val="10"/>
        <rFont val="宋体"/>
        <family val="3"/>
        <charset val="134"/>
      </rPr>
      <t>计</t>
    </r>
    <phoneticPr fontId="2" type="noConversion"/>
  </si>
  <si>
    <t>诸翟学校</t>
    <phoneticPr fontId="2" type="noConversion"/>
  </si>
  <si>
    <t>中考理化实验室改造</t>
    <phoneticPr fontId="1" type="noConversion"/>
  </si>
  <si>
    <t>物理实验室家具</t>
  </si>
  <si>
    <t>化学实验室家具</t>
  </si>
  <si>
    <t>理化实验室视频采集系统、顶装控制系统</t>
    <phoneticPr fontId="1" type="noConversion"/>
  </si>
  <si>
    <t>理化实验室视频采集系统</t>
  </si>
  <si>
    <t>外语听说考场设备（尾款）</t>
    <phoneticPr fontId="1" type="noConversion"/>
  </si>
  <si>
    <t>纪王学校</t>
    <phoneticPr fontId="2" type="noConversion"/>
  </si>
  <si>
    <t>幼儿专用活动室</t>
    <phoneticPr fontId="1" type="noConversion"/>
  </si>
  <si>
    <t>油烟净化设备</t>
    <phoneticPr fontId="1" type="noConversion"/>
  </si>
  <si>
    <t xml:space="preserve">    </t>
  </si>
  <si>
    <t>马桥文来外小</t>
  </si>
  <si>
    <t/>
  </si>
  <si>
    <t>幼儿专用活动室</t>
  </si>
  <si>
    <t>民办随迁</t>
  </si>
  <si>
    <t>马桥实验学校</t>
  </si>
  <si>
    <t>（新开办初中4个班）马桥实验小学</t>
  </si>
  <si>
    <t>设备名称</t>
  </si>
  <si>
    <t>规格、尺寸</t>
  </si>
  <si>
    <t>参照单价</t>
  </si>
  <si>
    <t>4班</t>
  </si>
  <si>
    <t>一</t>
  </si>
  <si>
    <t>教室</t>
  </si>
  <si>
    <t>普通教室</t>
  </si>
  <si>
    <t>a</t>
  </si>
  <si>
    <t>交互式多媒体设备</t>
  </si>
  <si>
    <t>套</t>
  </si>
  <si>
    <t>交互白板一体机含投影80寸</t>
  </si>
  <si>
    <t>含推拉式书写板、播出、控制、扩音、显示设备，并支持课堂互动</t>
  </si>
  <si>
    <t>b</t>
  </si>
  <si>
    <t xml:space="preserve">多媒体讲桌 </t>
  </si>
  <si>
    <t>张</t>
  </si>
  <si>
    <t>可放置多媒体设备</t>
  </si>
  <si>
    <t>可调整为教师办公桌椅</t>
  </si>
  <si>
    <t>c</t>
  </si>
  <si>
    <t>课桌椅</t>
  </si>
  <si>
    <t>600*400升降式45人/班</t>
  </si>
  <si>
    <t>d</t>
  </si>
  <si>
    <t>学习园地组合栏</t>
  </si>
  <si>
    <t>块</t>
  </si>
  <si>
    <t>4000*1200</t>
  </si>
  <si>
    <t>书写板、软木板、书写板与软木相拼皆可</t>
  </si>
  <si>
    <t>e</t>
  </si>
  <si>
    <t>学生存物柜</t>
  </si>
  <si>
    <t>6400*450*1100</t>
  </si>
  <si>
    <t>含清洁卫生柜</t>
  </si>
  <si>
    <t>科学实验室(含仪器准备室)</t>
  </si>
  <si>
    <t>演示台</t>
  </si>
  <si>
    <t>台面耐酸碱、阻燃，配电源插座、水槽及水嘴，可放置多媒体设备</t>
  </si>
  <si>
    <t>实验桌凳</t>
  </si>
  <si>
    <t>桌面耐酸碱、阻燃</t>
  </si>
  <si>
    <t>一桌四椅可组合</t>
  </si>
  <si>
    <t>组</t>
  </si>
  <si>
    <t>7500*500*2600搁板位置可调节</t>
  </si>
  <si>
    <t>长度根据墙面实际尺寸确定</t>
  </si>
  <si>
    <t>仪器橱</t>
  </si>
  <si>
    <t>个</t>
  </si>
  <si>
    <t>1050*500*2100</t>
  </si>
  <si>
    <t>耐酸碱，搁板位置可调节</t>
  </si>
  <si>
    <t>f</t>
  </si>
  <si>
    <t>文件柜</t>
  </si>
  <si>
    <t>800*400*2100</t>
  </si>
  <si>
    <t>g</t>
  </si>
  <si>
    <t>药品橱</t>
  </si>
  <si>
    <t>顶</t>
  </si>
  <si>
    <t>药品室配</t>
  </si>
  <si>
    <t>h</t>
  </si>
  <si>
    <t>危险药品柜</t>
  </si>
  <si>
    <t>防腐，双锁</t>
  </si>
  <si>
    <t>i</t>
  </si>
  <si>
    <t>准备台</t>
  </si>
  <si>
    <t>3000*1200*800</t>
  </si>
  <si>
    <t>台面耐酸碱、耐高温、阻燃，配电源插座</t>
  </si>
  <si>
    <t>j</t>
  </si>
  <si>
    <t>办公桌椅</t>
  </si>
  <si>
    <t>k</t>
  </si>
  <si>
    <t>空调</t>
  </si>
  <si>
    <t>3P</t>
  </si>
  <si>
    <t>功率可根据房间面积确定</t>
  </si>
  <si>
    <t>音乐教室（含乐器室）</t>
  </si>
  <si>
    <t>音响设备</t>
  </si>
  <si>
    <t>独立三分频、音场较宽、音质良好的音箱，12路调音台（带功放）、话筒等</t>
  </si>
  <si>
    <t xml:space="preserve">钢琴 </t>
  </si>
  <si>
    <t xml:space="preserve">立式，不低于 130cm，带琴凳、琴罩 </t>
  </si>
  <si>
    <t>1200*700*900</t>
  </si>
  <si>
    <t>学生椅（凳）</t>
  </si>
  <si>
    <t>只</t>
  </si>
  <si>
    <t>合唱台阶</t>
  </si>
  <si>
    <t>每阶高度差不小于200mm，每阶宽度不小于400mm</t>
  </si>
  <si>
    <t>乐器柜</t>
  </si>
  <si>
    <t>1200*600*2400</t>
  </si>
  <si>
    <t>搁板位置可调节</t>
  </si>
  <si>
    <t>形体教室（含更衣装备室）</t>
  </si>
  <si>
    <t>器材橱</t>
  </si>
  <si>
    <t xml:space="preserve">   </t>
  </si>
  <si>
    <t>3000*400*2000</t>
  </si>
  <si>
    <t>美术教室（含教具室）</t>
  </si>
  <si>
    <t>配电源插座、水槽及水嘴，可放置多媒体设备</t>
  </si>
  <si>
    <t>写生桌椅</t>
  </si>
  <si>
    <t>活动展示板</t>
  </si>
  <si>
    <t>可折叠，一面适合磁性材料吸附，一面软木，带轮子</t>
  </si>
  <si>
    <t>美术工作台</t>
  </si>
  <si>
    <t>台面设置描图拷贝箱，两侧装电源插座</t>
  </si>
  <si>
    <t>美术器材橱</t>
  </si>
  <si>
    <t>1200*600*2400搁板位置可调节</t>
  </si>
  <si>
    <t>教具柜</t>
  </si>
  <si>
    <t>有多层、多门、多抽屉</t>
  </si>
  <si>
    <t>地理教室(历史教室)</t>
  </si>
  <si>
    <t>配电源插座，可放置多媒体设备</t>
  </si>
  <si>
    <t>学生桌椅</t>
  </si>
  <si>
    <t>制图桌</t>
  </si>
  <si>
    <t>有照明</t>
  </si>
  <si>
    <t>计算机教室（含资料室）</t>
  </si>
  <si>
    <t>结合英语听力教室</t>
  </si>
  <si>
    <t>计算机</t>
  </si>
  <si>
    <t>含耳麦</t>
  </si>
  <si>
    <t>教师控制台</t>
  </si>
  <si>
    <t>计算机桌椅</t>
  </si>
  <si>
    <t>座</t>
  </si>
  <si>
    <t>可组合</t>
  </si>
  <si>
    <t>工作台</t>
  </si>
  <si>
    <t>3000*800*800台面耐冲击，附防静电胶皮，配电源插座</t>
  </si>
  <si>
    <t>劳动技术教室（含教具室）</t>
  </si>
  <si>
    <t>3000*800*800桌面为后成型防火板贴面，其余三聚氰氨板制作</t>
  </si>
  <si>
    <t>仪器柜</t>
  </si>
  <si>
    <t>矮柜，上面抽屉下面橱门</t>
  </si>
  <si>
    <t>图书馆</t>
  </si>
  <si>
    <t>含藏书.办公.师.生阅览.阅读教室.电子阅览</t>
  </si>
  <si>
    <t>图书</t>
  </si>
  <si>
    <t>批</t>
  </si>
  <si>
    <t>40册*45人*班级数</t>
  </si>
  <si>
    <t>含有版权电子书</t>
  </si>
  <si>
    <t>四</t>
  </si>
  <si>
    <t>办公及生活用房</t>
  </si>
  <si>
    <t>教师办公室</t>
  </si>
  <si>
    <t xml:space="preserve"> </t>
  </si>
  <si>
    <t>每人一套</t>
  </si>
  <si>
    <t>办公橱</t>
  </si>
  <si>
    <t>具备衣柜功能和资料存放功能</t>
  </si>
  <si>
    <t xml:space="preserve">二人一顶  </t>
  </si>
  <si>
    <t>教师移动终端</t>
  </si>
  <si>
    <t>移动终端</t>
  </si>
  <si>
    <t>每人一台</t>
  </si>
  <si>
    <t xml:space="preserve">功率可根据房间面积确定 </t>
  </si>
  <si>
    <t>广播室</t>
  </si>
  <si>
    <t>校园公共（应急）广播</t>
  </si>
  <si>
    <t>六</t>
  </si>
  <si>
    <t>其它</t>
  </si>
  <si>
    <t>教学仪器配备</t>
  </si>
  <si>
    <t>基础配置</t>
  </si>
  <si>
    <t>科学教学仪器</t>
  </si>
  <si>
    <t>参照《上海市普通中小学校教学装备标准》配备</t>
  </si>
  <si>
    <t>音乐教学仪器</t>
  </si>
  <si>
    <t>美术教学仪器</t>
  </si>
  <si>
    <t>地理教学仪器</t>
  </si>
  <si>
    <t>劳技教学仪器</t>
  </si>
  <si>
    <t>马桥文来外小装备（新开办2班）3.11</t>
    <phoneticPr fontId="2" type="noConversion"/>
  </si>
  <si>
    <t>参照单价</t>
    <phoneticPr fontId="2" type="noConversion"/>
  </si>
  <si>
    <t>2班</t>
  </si>
  <si>
    <t>数量</t>
    <phoneticPr fontId="2" type="noConversion"/>
  </si>
  <si>
    <t>交互式智能一体机70寸</t>
  </si>
  <si>
    <t>可放置实物展台</t>
  </si>
  <si>
    <t>600*400升降式40人/班</t>
  </si>
  <si>
    <t>软木板</t>
  </si>
  <si>
    <t>二</t>
  </si>
  <si>
    <t>专用教室</t>
  </si>
  <si>
    <t>自然实验室(含仪器准备室)</t>
  </si>
  <si>
    <t>含推拉式五线谱绿板、播出、控制、扩音、显示设备，并支持课堂互动</t>
  </si>
  <si>
    <t>六面体凳</t>
  </si>
  <si>
    <t>适合小学低年级学生身高、坐姿</t>
  </si>
  <si>
    <t>音乐器材橱</t>
  </si>
  <si>
    <t>600*400，桌面材料需防火，桌面水平角度可调</t>
  </si>
  <si>
    <t>三</t>
  </si>
  <si>
    <t>打印机</t>
  </si>
  <si>
    <t>A4，宜带有网络功能</t>
  </si>
  <si>
    <t>行政办公室</t>
  </si>
  <si>
    <t>包括校长室、副校长室、行政办公室、文印室、体育器材室</t>
  </si>
  <si>
    <t>行政办公桌椅</t>
  </si>
  <si>
    <t>行政办公橱</t>
  </si>
  <si>
    <t>每人一顶</t>
  </si>
  <si>
    <t>沙发</t>
  </si>
  <si>
    <t>含茶几</t>
  </si>
  <si>
    <t>1800*800*800</t>
  </si>
  <si>
    <t>宜钢制</t>
  </si>
  <si>
    <t>一体式计算机</t>
  </si>
  <si>
    <t>l</t>
  </si>
  <si>
    <t>打印机（彩打）</t>
  </si>
  <si>
    <t>A3，宜带有网络功能</t>
  </si>
  <si>
    <t>彩打</t>
  </si>
  <si>
    <t>n</t>
  </si>
  <si>
    <t>复印机</t>
  </si>
  <si>
    <t>o</t>
  </si>
  <si>
    <t>一体化速印机</t>
  </si>
  <si>
    <t>含制版、印刷等功能</t>
  </si>
  <si>
    <t>q</t>
  </si>
  <si>
    <t>传真机</t>
  </si>
  <si>
    <t>u</t>
  </si>
  <si>
    <t>2P</t>
  </si>
  <si>
    <t>会议接待室</t>
  </si>
  <si>
    <t>会议桌</t>
  </si>
  <si>
    <t>会议椅</t>
  </si>
  <si>
    <t>把</t>
  </si>
  <si>
    <t>茶水柜</t>
  </si>
  <si>
    <t>1200*400*700</t>
  </si>
  <si>
    <t>会议室多媒体设备</t>
  </si>
  <si>
    <t>含扩音设备、显示设备</t>
  </si>
  <si>
    <t>根据会议室实际情况配置</t>
  </si>
  <si>
    <t>卫生保健室</t>
  </si>
  <si>
    <t>安装因病缺课系统等学校公共卫生管理软件</t>
  </si>
  <si>
    <t>打印机（A4）</t>
  </si>
  <si>
    <t>冰箱</t>
  </si>
  <si>
    <t>双门</t>
  </si>
  <si>
    <t>有制冰功能，存放冰敷袋及需冷藏药品等</t>
  </si>
  <si>
    <t>其他</t>
    <phoneticPr fontId="2" type="noConversion"/>
  </si>
  <si>
    <t>小学体查.医疗器械.消毒器具</t>
  </si>
  <si>
    <t>B</t>
  </si>
  <si>
    <t>热成像筛查仪</t>
  </si>
  <si>
    <t>教工与学生食堂</t>
    <phoneticPr fontId="2" type="noConversion"/>
  </si>
  <si>
    <t>厨房设备</t>
  </si>
  <si>
    <t>包括排烟系统、炉灶、水斗、餐具等</t>
  </si>
  <si>
    <t>根据实际分布图纸配置</t>
  </si>
  <si>
    <t>油水分离器</t>
  </si>
  <si>
    <t>符合现行行业标准《餐饮废水隔油器》（CJ/T 295）的要求</t>
  </si>
  <si>
    <t>油烟净化器</t>
  </si>
  <si>
    <t>符合《餐饮业油烟排放标准》(DB31/844)要求</t>
  </si>
  <si>
    <t>校园网络</t>
    <phoneticPr fontId="2" type="noConversion"/>
  </si>
  <si>
    <t>校园网络综合布线</t>
  </si>
  <si>
    <t>参照沪教委发〔2015〕139号文件要求配备</t>
  </si>
  <si>
    <t>校园网络设备</t>
  </si>
  <si>
    <t>含无线局域网系统、网络控制室设备、网络安全系统等</t>
  </si>
  <si>
    <t>教育城域网</t>
    <phoneticPr fontId="2" type="noConversion"/>
  </si>
  <si>
    <t>城域网接入</t>
    <phoneticPr fontId="2" type="noConversion"/>
  </si>
  <si>
    <t>外语听说考场设备（尾款）</t>
  </si>
  <si>
    <t>梅陇镇</t>
  </si>
  <si>
    <t>初中</t>
  </si>
  <si>
    <t>台</t>
    <phoneticPr fontId="2" type="noConversion"/>
  </si>
  <si>
    <t>小计</t>
    <phoneticPr fontId="2" type="noConversion"/>
  </si>
  <si>
    <t>只</t>
    <phoneticPr fontId="2" type="noConversion"/>
  </si>
  <si>
    <t>70吋触摸一体机</t>
  </si>
  <si>
    <t>书法教室</t>
  </si>
  <si>
    <t>张</t>
    <phoneticPr fontId="2" type="noConversion"/>
  </si>
  <si>
    <t>三</t>
    <phoneticPr fontId="2" type="noConversion"/>
  </si>
  <si>
    <t>公共教学用房</t>
  </si>
  <si>
    <t>录播系统</t>
  </si>
  <si>
    <t>组</t>
    <phoneticPr fontId="2" type="noConversion"/>
  </si>
  <si>
    <t>书架</t>
  </si>
  <si>
    <t>办公桌椅橱柜沙发及其他</t>
  </si>
  <si>
    <t>多媒体设备</t>
  </si>
  <si>
    <t>椅子</t>
  </si>
  <si>
    <t>橱柜</t>
  </si>
  <si>
    <t>工作台</t>
    <phoneticPr fontId="2" type="noConversion"/>
  </si>
  <si>
    <t>教工与学生食堂</t>
  </si>
  <si>
    <t>学生餐桌椅</t>
  </si>
  <si>
    <t>厨房设备</t>
    <phoneticPr fontId="2" type="noConversion"/>
  </si>
  <si>
    <t>立表费</t>
  </si>
  <si>
    <t>煤气排管费</t>
  </si>
  <si>
    <t>英语语音听说教室</t>
  </si>
  <si>
    <t>外网接入</t>
  </si>
  <si>
    <t>浦江镇</t>
  </si>
  <si>
    <t>闵行区浦江第三小学</t>
  </si>
  <si>
    <t>公务车新能源更新</t>
    <phoneticPr fontId="1" type="noConversion"/>
  </si>
  <si>
    <t>机管局已审</t>
    <phoneticPr fontId="1" type="noConversion"/>
  </si>
  <si>
    <t>上海市闵行区浦瑞幼儿园</t>
  </si>
  <si>
    <t>15班规模开4班测算，谈家港基地03-04幼儿园</t>
  </si>
  <si>
    <r>
      <rPr>
        <b/>
        <sz val="14"/>
        <rFont val="宋体"/>
        <family val="3"/>
        <charset val="134"/>
      </rPr>
      <t>上海市闵行区浦瑞幼儿园装备配置明细确认单（</t>
    </r>
    <r>
      <rPr>
        <b/>
        <sz val="14"/>
        <rFont val="Times New Roman"/>
        <family val="1"/>
      </rPr>
      <t>15</t>
    </r>
    <r>
      <rPr>
        <b/>
        <sz val="14"/>
        <rFont val="宋体"/>
        <family val="3"/>
        <charset val="134"/>
      </rPr>
      <t>班规模开</t>
    </r>
    <r>
      <rPr>
        <b/>
        <sz val="14"/>
        <rFont val="Times New Roman"/>
        <family val="1"/>
      </rPr>
      <t>4</t>
    </r>
    <r>
      <rPr>
        <b/>
        <sz val="14"/>
        <rFont val="宋体"/>
        <family val="3"/>
        <charset val="134"/>
      </rPr>
      <t>班）</t>
    </r>
    <phoneticPr fontId="2" type="noConversion"/>
  </si>
  <si>
    <r>
      <t>15</t>
    </r>
    <r>
      <rPr>
        <b/>
        <sz val="10"/>
        <rFont val="宋体"/>
        <family val="3"/>
        <charset val="134"/>
      </rPr>
      <t>班</t>
    </r>
    <phoneticPr fontId="2" type="noConversion"/>
  </si>
  <si>
    <r>
      <rPr>
        <b/>
        <sz val="10"/>
        <rFont val="宋体"/>
        <family val="3"/>
        <charset val="134"/>
      </rPr>
      <t>数量</t>
    </r>
    <phoneticPr fontId="2" type="noConversion"/>
  </si>
  <si>
    <r>
      <rPr>
        <b/>
        <sz val="10"/>
        <rFont val="宋体"/>
        <family val="3"/>
        <charset val="134"/>
      </rPr>
      <t>金额</t>
    </r>
    <phoneticPr fontId="2" type="noConversion"/>
  </si>
  <si>
    <r>
      <rPr>
        <b/>
        <sz val="10"/>
        <rFont val="宋体"/>
        <family val="3"/>
        <charset val="134"/>
      </rPr>
      <t>户外（内）活动场地</t>
    </r>
    <phoneticPr fontId="2" type="noConversion"/>
  </si>
  <si>
    <r>
      <rPr>
        <sz val="10"/>
        <rFont val="宋体"/>
        <family val="3"/>
        <charset val="134"/>
      </rPr>
      <t>户外中大型运动组合器械</t>
    </r>
    <phoneticPr fontId="2" type="noConversion"/>
  </si>
  <si>
    <r>
      <rPr>
        <sz val="10"/>
        <rFont val="宋体"/>
        <family val="3"/>
        <charset val="134"/>
      </rPr>
      <t>参照《上海市幼儿园装备指南》征求意见配备</t>
    </r>
    <phoneticPr fontId="2" type="noConversion"/>
  </si>
  <si>
    <r>
      <rPr>
        <sz val="10"/>
        <rFont val="宋体"/>
        <family val="3"/>
        <charset val="134"/>
      </rPr>
      <t>户外小型单项运动器械</t>
    </r>
    <phoneticPr fontId="2" type="noConversion"/>
  </si>
  <si>
    <r>
      <rPr>
        <sz val="10"/>
        <rFont val="宋体"/>
        <family val="3"/>
        <charset val="134"/>
      </rPr>
      <t>户外运动玩具</t>
    </r>
    <phoneticPr fontId="2" type="noConversion"/>
  </si>
  <si>
    <r>
      <rPr>
        <sz val="10"/>
        <rFont val="宋体"/>
        <family val="3"/>
        <charset val="134"/>
      </rPr>
      <t>含玩沙、玩水、种植等</t>
    </r>
    <phoneticPr fontId="2" type="noConversion"/>
  </si>
  <si>
    <r>
      <rPr>
        <sz val="10"/>
        <rFont val="宋体"/>
        <family val="3"/>
        <charset val="134"/>
      </rPr>
      <t>户内运动器械</t>
    </r>
    <phoneticPr fontId="2" type="noConversion"/>
  </si>
  <si>
    <r>
      <rPr>
        <sz val="10"/>
        <rFont val="宋体"/>
        <family val="3"/>
        <charset val="134"/>
      </rPr>
      <t>幼儿室内运动室</t>
    </r>
    <phoneticPr fontId="2" type="noConversion"/>
  </si>
  <si>
    <r>
      <rPr>
        <sz val="10"/>
        <rFont val="宋体"/>
        <family val="3"/>
        <charset val="134"/>
      </rPr>
      <t>二</t>
    </r>
    <phoneticPr fontId="2" type="noConversion"/>
  </si>
  <si>
    <r>
      <rPr>
        <b/>
        <sz val="10"/>
        <rFont val="宋体"/>
        <family val="3"/>
        <charset val="134"/>
      </rPr>
      <t>活动及辅助用房</t>
    </r>
    <phoneticPr fontId="2" type="noConversion"/>
  </si>
  <si>
    <r>
      <rPr>
        <b/>
        <sz val="10"/>
        <rFont val="宋体"/>
        <family val="3"/>
        <charset val="134"/>
      </rPr>
      <t>幼（托）儿用房</t>
    </r>
    <phoneticPr fontId="2" type="noConversion"/>
  </si>
  <si>
    <r>
      <rPr>
        <b/>
        <sz val="10"/>
        <rFont val="宋体"/>
        <family val="3"/>
        <charset val="134"/>
      </rPr>
      <t>幼（托）儿活动室（含餐厅）</t>
    </r>
    <phoneticPr fontId="2" type="noConversion"/>
  </si>
  <si>
    <r>
      <rPr>
        <sz val="10"/>
        <rFont val="宋体"/>
        <family val="3"/>
        <charset val="134"/>
      </rPr>
      <t>含琴凳、琴套、</t>
    </r>
    <phoneticPr fontId="2" type="noConversion"/>
  </si>
  <si>
    <r>
      <rPr>
        <sz val="10"/>
        <rFont val="宋体"/>
        <family val="3"/>
        <charset val="134"/>
      </rPr>
      <t>幼儿桌椅</t>
    </r>
    <phoneticPr fontId="2" type="noConversion"/>
  </si>
  <si>
    <r>
      <rPr>
        <sz val="10"/>
        <rFont val="宋体"/>
        <family val="3"/>
        <charset val="134"/>
      </rPr>
      <t>一组九件（含展示板）、木质、开放式可移动</t>
    </r>
    <phoneticPr fontId="2" type="noConversion"/>
  </si>
  <si>
    <r>
      <rPr>
        <sz val="10"/>
        <rFont val="宋体"/>
        <family val="3"/>
        <charset val="134"/>
      </rPr>
      <t>含视频展台、电脑等</t>
    </r>
    <phoneticPr fontId="2" type="noConversion"/>
  </si>
  <si>
    <r>
      <rPr>
        <sz val="10"/>
        <rFont val="宋体"/>
        <family val="3"/>
        <charset val="134"/>
      </rPr>
      <t>教玩具设备</t>
    </r>
    <phoneticPr fontId="2" type="noConversion"/>
  </si>
  <si>
    <r>
      <rPr>
        <sz val="10"/>
        <rFont val="宋体"/>
        <family val="3"/>
        <charset val="134"/>
      </rPr>
      <t>含桌面玩具、角色游戏、益智玩具等</t>
    </r>
    <phoneticPr fontId="2" type="noConversion"/>
  </si>
  <si>
    <r>
      <rPr>
        <sz val="10"/>
        <rFont val="宋体"/>
        <family val="3"/>
        <charset val="134"/>
      </rPr>
      <t>幼儿观察记录仪</t>
    </r>
    <phoneticPr fontId="2" type="noConversion"/>
  </si>
  <si>
    <r>
      <rPr>
        <sz val="10"/>
        <rFont val="宋体"/>
        <family val="3"/>
        <charset val="134"/>
      </rPr>
      <t>幼儿活动室空调</t>
    </r>
  </si>
  <si>
    <r>
      <t>5</t>
    </r>
    <r>
      <rPr>
        <sz val="10"/>
        <rFont val="宋体"/>
        <family val="3"/>
        <charset val="134"/>
      </rPr>
      <t>匹</t>
    </r>
    <phoneticPr fontId="2" type="noConversion"/>
  </si>
  <si>
    <r>
      <rPr>
        <sz val="10"/>
        <rFont val="宋体"/>
        <family val="3"/>
        <charset val="134"/>
      </rPr>
      <t>基建提供</t>
    </r>
    <r>
      <rPr>
        <sz val="10"/>
        <rFont val="Times New Roman"/>
        <family val="1"/>
      </rPr>
      <t>380V</t>
    </r>
    <r>
      <rPr>
        <sz val="10"/>
        <rFont val="宋体"/>
        <family val="3"/>
        <charset val="134"/>
      </rPr>
      <t>电源</t>
    </r>
    <phoneticPr fontId="1" type="noConversion"/>
  </si>
  <si>
    <r>
      <rPr>
        <sz val="10"/>
        <rFont val="宋体"/>
        <family val="3"/>
        <charset val="134"/>
      </rPr>
      <t>幼儿饮水设备</t>
    </r>
    <phoneticPr fontId="2" type="noConversion"/>
  </si>
  <si>
    <r>
      <rPr>
        <sz val="10"/>
        <rFont val="宋体"/>
        <family val="3"/>
        <charset val="134"/>
      </rPr>
      <t>保温桶、茶水柜等，应具备锁定装置、木质</t>
    </r>
    <phoneticPr fontId="2" type="noConversion"/>
  </si>
  <si>
    <r>
      <rPr>
        <sz val="10"/>
        <rFont val="宋体"/>
        <family val="3"/>
        <charset val="134"/>
      </rPr>
      <t>幼儿餐桌椅</t>
    </r>
    <phoneticPr fontId="2" type="noConversion"/>
  </si>
  <si>
    <r>
      <rPr>
        <b/>
        <sz val="10"/>
        <rFont val="宋体"/>
        <family val="3"/>
        <charset val="134"/>
      </rPr>
      <t>幼（托）儿卧室</t>
    </r>
    <phoneticPr fontId="2" type="noConversion"/>
  </si>
  <si>
    <r>
      <rPr>
        <sz val="10"/>
        <rFont val="宋体"/>
        <family val="3"/>
        <charset val="134"/>
      </rPr>
      <t>幼儿床</t>
    </r>
    <phoneticPr fontId="2" type="noConversion"/>
  </si>
  <si>
    <r>
      <rPr>
        <sz val="10"/>
        <rFont val="宋体"/>
        <family val="3"/>
        <charset val="134"/>
      </rPr>
      <t>木质、可固定或叠放收藏</t>
    </r>
    <phoneticPr fontId="2" type="noConversion"/>
  </si>
  <si>
    <r>
      <rPr>
        <sz val="10"/>
        <rFont val="宋体"/>
        <family val="3"/>
        <charset val="134"/>
      </rPr>
      <t>幼儿卧室空调</t>
    </r>
  </si>
  <si>
    <r>
      <t>3</t>
    </r>
    <r>
      <rPr>
        <sz val="10"/>
        <rFont val="宋体"/>
        <family val="3"/>
        <charset val="134"/>
      </rPr>
      <t>匹</t>
    </r>
    <phoneticPr fontId="2" type="noConversion"/>
  </si>
  <si>
    <r>
      <rPr>
        <b/>
        <sz val="10"/>
        <rFont val="宋体"/>
        <family val="3"/>
        <charset val="134"/>
      </rPr>
      <t>幼（托）儿盥洗室</t>
    </r>
    <phoneticPr fontId="2" type="noConversion"/>
  </si>
  <si>
    <r>
      <rPr>
        <sz val="10"/>
        <rFont val="宋体"/>
        <family val="3"/>
        <charset val="134"/>
      </rPr>
      <t>电热式，带限温装置</t>
    </r>
    <phoneticPr fontId="2" type="noConversion"/>
  </si>
  <si>
    <r>
      <rPr>
        <sz val="10"/>
        <rFont val="宋体"/>
        <family val="3"/>
        <charset val="134"/>
      </rPr>
      <t>基建已完成太阳能热水系统</t>
    </r>
    <phoneticPr fontId="2" type="noConversion"/>
  </si>
  <si>
    <r>
      <rPr>
        <b/>
        <sz val="10"/>
        <rFont val="宋体"/>
        <family val="3"/>
        <charset val="134"/>
      </rPr>
      <t>幼（托）儿衣帽储藏室</t>
    </r>
    <phoneticPr fontId="2" type="noConversion"/>
  </si>
  <si>
    <r>
      <rPr>
        <sz val="10"/>
        <rFont val="宋体"/>
        <family val="3"/>
        <charset val="134"/>
      </rPr>
      <t>幼儿衣帽橱</t>
    </r>
    <phoneticPr fontId="2" type="noConversion"/>
  </si>
  <si>
    <r>
      <rPr>
        <sz val="10"/>
        <rFont val="宋体"/>
        <family val="3"/>
        <charset val="134"/>
      </rPr>
      <t>含教师储物柜，</t>
    </r>
    <phoneticPr fontId="2" type="noConversion"/>
  </si>
  <si>
    <r>
      <rPr>
        <b/>
        <sz val="10"/>
        <rFont val="宋体"/>
        <family val="3"/>
        <charset val="134"/>
      </rPr>
      <t>洗消间</t>
    </r>
    <phoneticPr fontId="2" type="noConversion"/>
  </si>
  <si>
    <r>
      <rPr>
        <sz val="10"/>
        <rFont val="宋体"/>
        <family val="3"/>
        <charset val="134"/>
      </rPr>
      <t>按班级安排</t>
    </r>
    <phoneticPr fontId="2" type="noConversion"/>
  </si>
  <si>
    <r>
      <rPr>
        <sz val="10"/>
        <rFont val="宋体"/>
        <family val="3"/>
        <charset val="134"/>
      </rPr>
      <t>橱柜</t>
    </r>
    <phoneticPr fontId="2" type="noConversion"/>
  </si>
  <si>
    <r>
      <rPr>
        <sz val="10"/>
        <rFont val="宋体"/>
        <family val="3"/>
        <charset val="134"/>
      </rPr>
      <t>含已消毒、未消毒</t>
    </r>
    <phoneticPr fontId="2" type="noConversion"/>
  </si>
  <si>
    <r>
      <rPr>
        <sz val="10"/>
        <rFont val="宋体"/>
        <family val="3"/>
        <charset val="134"/>
      </rPr>
      <t>工作台</t>
    </r>
    <phoneticPr fontId="2" type="noConversion"/>
  </si>
  <si>
    <r>
      <rPr>
        <sz val="10"/>
        <rFont val="宋体"/>
        <family val="3"/>
        <charset val="134"/>
      </rPr>
      <t>按楼层安排</t>
    </r>
    <phoneticPr fontId="2" type="noConversion"/>
  </si>
  <si>
    <r>
      <rPr>
        <sz val="10"/>
        <rFont val="宋体"/>
        <family val="3"/>
        <charset val="134"/>
      </rPr>
      <t>消毒电蒸箱</t>
    </r>
    <phoneticPr fontId="2" type="noConversion"/>
  </si>
  <si>
    <r>
      <rPr>
        <sz val="10"/>
        <rFont val="宋体"/>
        <family val="3"/>
        <charset val="134"/>
      </rPr>
      <t>按楼层安排。其中</t>
    </r>
    <r>
      <rPr>
        <sz val="10"/>
        <rFont val="Times New Roman"/>
        <family val="1"/>
      </rPr>
      <t>1</t>
    </r>
    <r>
      <rPr>
        <sz val="10"/>
        <rFont val="宋体"/>
        <family val="3"/>
        <charset val="134"/>
      </rPr>
      <t>台为传染病专用消毒间使用。</t>
    </r>
    <phoneticPr fontId="2" type="noConversion"/>
  </si>
  <si>
    <r>
      <rPr>
        <b/>
        <sz val="10"/>
        <rFont val="宋体"/>
        <family val="3"/>
        <charset val="134"/>
      </rPr>
      <t>多功能活动室</t>
    </r>
    <phoneticPr fontId="2" type="noConversion"/>
  </si>
  <si>
    <r>
      <rPr>
        <sz val="10"/>
        <rFont val="宋体"/>
        <family val="3"/>
        <charset val="134"/>
      </rPr>
      <t>兼幼儿音乐表演室</t>
    </r>
    <phoneticPr fontId="2" type="noConversion"/>
  </si>
  <si>
    <r>
      <rPr>
        <sz val="10"/>
        <rFont val="宋体"/>
        <family val="3"/>
        <charset val="134"/>
      </rPr>
      <t>多媒体会议演出设备</t>
    </r>
    <phoneticPr fontId="2" type="noConversion"/>
  </si>
  <si>
    <r>
      <rPr>
        <sz val="10"/>
        <rFont val="宋体"/>
        <family val="3"/>
        <charset val="134"/>
      </rPr>
      <t>包括音响设备、灯光设备、显视屏</t>
    </r>
    <phoneticPr fontId="2" type="noConversion"/>
  </si>
  <si>
    <r>
      <rPr>
        <sz val="10"/>
        <rFont val="宋体"/>
        <family val="3"/>
        <charset val="134"/>
      </rPr>
      <t>多功能活动室桌椅</t>
    </r>
    <phoneticPr fontId="2" type="noConversion"/>
  </si>
  <si>
    <r>
      <rPr>
        <sz val="10"/>
        <rFont val="宋体"/>
        <family val="3"/>
        <charset val="134"/>
      </rPr>
      <t>含幼儿和成人桌椅</t>
    </r>
    <phoneticPr fontId="2" type="noConversion"/>
  </si>
  <si>
    <r>
      <rPr>
        <sz val="10"/>
        <rFont val="宋体"/>
        <family val="3"/>
        <charset val="134"/>
      </rPr>
      <t>钢琴</t>
    </r>
    <phoneticPr fontId="2" type="noConversion"/>
  </si>
  <si>
    <r>
      <rPr>
        <sz val="10"/>
        <rFont val="宋体"/>
        <family val="3"/>
        <charset val="134"/>
      </rPr>
      <t>含琴凳、琴套</t>
    </r>
    <phoneticPr fontId="2" type="noConversion"/>
  </si>
  <si>
    <r>
      <rPr>
        <sz val="10"/>
        <rFont val="宋体"/>
        <family val="3"/>
        <charset val="134"/>
      </rPr>
      <t>音乐戏剧玩具</t>
    </r>
    <phoneticPr fontId="2" type="noConversion"/>
  </si>
  <si>
    <r>
      <rPr>
        <sz val="10"/>
        <rFont val="宋体"/>
        <family val="3"/>
        <charset val="134"/>
      </rPr>
      <t>含舞台布景与表演道具、打击乐器、木偶、表演服装等</t>
    </r>
    <phoneticPr fontId="2" type="noConversion"/>
  </si>
  <si>
    <r>
      <rPr>
        <sz val="10"/>
        <rFont val="宋体"/>
        <family val="3"/>
        <charset val="134"/>
      </rPr>
      <t>多功能活动室空调</t>
    </r>
    <phoneticPr fontId="2" type="noConversion"/>
  </si>
  <si>
    <r>
      <rPr>
        <sz val="10"/>
        <rFont val="宋体"/>
        <family val="3"/>
        <charset val="134"/>
      </rPr>
      <t>幼儿专用活动室教玩具设备</t>
    </r>
    <phoneticPr fontId="2" type="noConversion"/>
  </si>
  <si>
    <r>
      <rPr>
        <sz val="10"/>
        <rFont val="宋体"/>
        <family val="3"/>
        <charset val="134"/>
      </rPr>
      <t>阅读室、科探室、美术室、结构游戏室、益智室、角色游戏</t>
    </r>
    <phoneticPr fontId="2" type="noConversion"/>
  </si>
  <si>
    <r>
      <rPr>
        <sz val="10"/>
        <rFont val="宋体"/>
        <family val="3"/>
        <charset val="134"/>
      </rPr>
      <t>各幼儿园自定、《上海市幼儿园专用活动室建设要求》（征求意见稿）</t>
    </r>
    <phoneticPr fontId="2" type="noConversion"/>
  </si>
  <si>
    <r>
      <rPr>
        <sz val="10"/>
        <rFont val="宋体"/>
        <family val="3"/>
        <charset val="134"/>
      </rPr>
      <t>阅读室、科探室、美术室、</t>
    </r>
  </si>
  <si>
    <r>
      <rPr>
        <sz val="10"/>
        <rFont val="宋体"/>
        <family val="3"/>
        <charset val="134"/>
      </rPr>
      <t>幼儿图书</t>
    </r>
    <phoneticPr fontId="2" type="noConversion"/>
  </si>
  <si>
    <r>
      <rPr>
        <sz val="10"/>
        <rFont val="宋体"/>
        <family val="3"/>
        <charset val="134"/>
      </rPr>
      <t>幼儿专用活动室空调</t>
    </r>
    <phoneticPr fontId="2" type="noConversion"/>
  </si>
  <si>
    <r>
      <rPr>
        <b/>
        <sz val="10"/>
        <rFont val="宋体"/>
        <family val="3"/>
        <charset val="134"/>
      </rPr>
      <t>三</t>
    </r>
    <phoneticPr fontId="2" type="noConversion"/>
  </si>
  <si>
    <r>
      <rPr>
        <b/>
        <sz val="10"/>
        <rFont val="宋体"/>
        <family val="3"/>
        <charset val="134"/>
      </rPr>
      <t>办公及辅助用房</t>
    </r>
    <phoneticPr fontId="2" type="noConversion"/>
  </si>
  <si>
    <r>
      <rPr>
        <b/>
        <sz val="10"/>
        <rFont val="宋体"/>
        <family val="3"/>
        <charset val="134"/>
      </rPr>
      <t>行政及教师办公室</t>
    </r>
  </si>
  <si>
    <r>
      <rPr>
        <b/>
        <sz val="10"/>
        <rFont val="宋体"/>
        <family val="3"/>
        <charset val="134"/>
      </rPr>
      <t>园长（书记）室</t>
    </r>
  </si>
  <si>
    <r>
      <rPr>
        <sz val="10"/>
        <rFont val="宋体"/>
        <family val="3"/>
        <charset val="134"/>
      </rPr>
      <t>园长办公橱</t>
    </r>
    <phoneticPr fontId="2" type="noConversion"/>
  </si>
  <si>
    <r>
      <rPr>
        <sz val="10"/>
        <rFont val="宋体"/>
        <family val="3"/>
        <charset val="134"/>
      </rPr>
      <t>含茶几</t>
    </r>
    <phoneticPr fontId="2" type="noConversion"/>
  </si>
  <si>
    <r>
      <rPr>
        <sz val="10"/>
        <rFont val="宋体"/>
        <family val="3"/>
        <charset val="134"/>
      </rPr>
      <t>园长计算机</t>
    </r>
    <phoneticPr fontId="2" type="noConversion"/>
  </si>
  <si>
    <r>
      <rPr>
        <sz val="10"/>
        <rFont val="宋体"/>
        <family val="3"/>
        <charset val="134"/>
      </rPr>
      <t>多功能一体机</t>
    </r>
    <phoneticPr fontId="2" type="noConversion"/>
  </si>
  <si>
    <r>
      <rPr>
        <sz val="10"/>
        <rFont val="宋体"/>
        <family val="3"/>
        <charset val="134"/>
      </rPr>
      <t>教师行政办公桌椅</t>
    </r>
    <phoneticPr fontId="2" type="noConversion"/>
  </si>
  <si>
    <r>
      <rPr>
        <sz val="10"/>
        <rFont val="宋体"/>
        <family val="3"/>
        <charset val="134"/>
      </rPr>
      <t>含教师、总务、财务、人事、资产管理、档案、保健、厨房、门卫等</t>
    </r>
    <phoneticPr fontId="2" type="noConversion"/>
  </si>
  <si>
    <r>
      <rPr>
        <sz val="10"/>
        <rFont val="宋体"/>
        <family val="3"/>
        <charset val="134"/>
      </rPr>
      <t>教师行政办公橱</t>
    </r>
    <phoneticPr fontId="2" type="noConversion"/>
  </si>
  <si>
    <r>
      <rPr>
        <sz val="10"/>
        <rFont val="宋体"/>
        <family val="3"/>
        <charset val="134"/>
      </rPr>
      <t>教师计算机</t>
    </r>
    <phoneticPr fontId="2" type="noConversion"/>
  </si>
  <si>
    <r>
      <rPr>
        <sz val="10"/>
        <rFont val="宋体"/>
        <family val="3"/>
        <charset val="134"/>
      </rPr>
      <t>便携式计算机</t>
    </r>
    <phoneticPr fontId="2" type="noConversion"/>
  </si>
  <si>
    <r>
      <rPr>
        <sz val="10"/>
        <rFont val="宋体"/>
        <family val="3"/>
        <charset val="134"/>
      </rPr>
      <t>行政台式计算机</t>
    </r>
    <phoneticPr fontId="2" type="noConversion"/>
  </si>
  <si>
    <r>
      <rPr>
        <sz val="10"/>
        <rFont val="宋体"/>
        <family val="3"/>
        <charset val="134"/>
      </rPr>
      <t>含总务、资产管理、人事、档案、保健、门卫等</t>
    </r>
    <phoneticPr fontId="2" type="noConversion"/>
  </si>
  <si>
    <r>
      <t>A4</t>
    </r>
    <r>
      <rPr>
        <sz val="10"/>
        <rFont val="宋体"/>
        <family val="3"/>
        <charset val="134"/>
      </rPr>
      <t>激光打印机</t>
    </r>
    <phoneticPr fontId="2" type="noConversion"/>
  </si>
  <si>
    <r>
      <rPr>
        <sz val="10"/>
        <rFont val="宋体"/>
        <family val="3"/>
        <charset val="134"/>
      </rPr>
      <t>单色</t>
    </r>
    <phoneticPr fontId="2" type="noConversion"/>
  </si>
  <si>
    <r>
      <rPr>
        <sz val="10"/>
        <rFont val="宋体"/>
        <family val="3"/>
        <charset val="134"/>
      </rPr>
      <t>按年级组配置</t>
    </r>
    <phoneticPr fontId="2" type="noConversion"/>
  </si>
  <si>
    <r>
      <rPr>
        <sz val="10"/>
        <rFont val="宋体"/>
        <family val="3"/>
        <charset val="134"/>
      </rPr>
      <t>激光打印机</t>
    </r>
    <phoneticPr fontId="2" type="noConversion"/>
  </si>
  <si>
    <r>
      <rPr>
        <sz val="10"/>
        <rFont val="宋体"/>
        <family val="3"/>
        <charset val="134"/>
      </rPr>
      <t>彩色，</t>
    </r>
    <r>
      <rPr>
        <sz val="10"/>
        <rFont val="Times New Roman"/>
        <family val="1"/>
      </rPr>
      <t>A3</t>
    </r>
    <r>
      <rPr>
        <sz val="10"/>
        <rFont val="宋体"/>
        <family val="3"/>
        <charset val="134"/>
      </rPr>
      <t>、</t>
    </r>
    <r>
      <rPr>
        <sz val="10"/>
        <rFont val="Times New Roman"/>
        <family val="1"/>
      </rPr>
      <t>A4</t>
    </r>
    <phoneticPr fontId="2" type="noConversion"/>
  </si>
  <si>
    <r>
      <rPr>
        <b/>
        <sz val="10"/>
        <rFont val="宋体"/>
        <family val="3"/>
        <charset val="134"/>
      </rPr>
      <t>财务室</t>
    </r>
    <phoneticPr fontId="2" type="noConversion"/>
  </si>
  <si>
    <r>
      <rPr>
        <sz val="10"/>
        <rFont val="宋体"/>
        <family val="3"/>
        <charset val="134"/>
      </rPr>
      <t>财务台式计算机</t>
    </r>
    <phoneticPr fontId="2" type="noConversion"/>
  </si>
  <si>
    <r>
      <rPr>
        <sz val="10"/>
        <rFont val="宋体"/>
        <family val="3"/>
        <charset val="134"/>
      </rPr>
      <t>财务专用</t>
    </r>
    <phoneticPr fontId="2" type="noConversion"/>
  </si>
  <si>
    <r>
      <rPr>
        <sz val="10"/>
        <rFont val="宋体"/>
        <family val="3"/>
        <charset val="134"/>
      </rPr>
      <t>保险柜</t>
    </r>
    <phoneticPr fontId="2" type="noConversion"/>
  </si>
  <si>
    <r>
      <rPr>
        <b/>
        <sz val="10"/>
        <rFont val="宋体"/>
        <family val="3"/>
        <charset val="134"/>
      </rPr>
      <t>档案室</t>
    </r>
    <phoneticPr fontId="2" type="noConversion"/>
  </si>
  <si>
    <r>
      <rPr>
        <sz val="10"/>
        <rFont val="宋体"/>
        <family val="3"/>
        <charset val="134"/>
      </rPr>
      <t>除湿机</t>
    </r>
    <phoneticPr fontId="2" type="noConversion"/>
  </si>
  <si>
    <r>
      <rPr>
        <sz val="10"/>
        <rFont val="宋体"/>
        <family val="3"/>
        <charset val="134"/>
      </rPr>
      <t>碎纸机</t>
    </r>
    <phoneticPr fontId="2" type="noConversion"/>
  </si>
  <si>
    <r>
      <rPr>
        <sz val="10"/>
        <rFont val="宋体"/>
        <family val="3"/>
        <charset val="134"/>
      </rPr>
      <t>档案装订工具</t>
    </r>
    <phoneticPr fontId="2" type="noConversion"/>
  </si>
  <si>
    <r>
      <rPr>
        <sz val="10"/>
        <rFont val="宋体"/>
        <family val="3"/>
        <charset val="134"/>
      </rPr>
      <t>含切纸刀，装订机等</t>
    </r>
    <phoneticPr fontId="2" type="noConversion"/>
  </si>
  <si>
    <r>
      <rPr>
        <b/>
        <sz val="10"/>
        <rFont val="宋体"/>
        <family val="3"/>
        <charset val="134"/>
      </rPr>
      <t>总务办公室及辅助用房</t>
    </r>
    <phoneticPr fontId="2" type="noConversion"/>
  </si>
  <si>
    <r>
      <rPr>
        <sz val="10"/>
        <rFont val="宋体"/>
        <family val="3"/>
        <charset val="134"/>
      </rPr>
      <t>复印机</t>
    </r>
  </si>
  <si>
    <r>
      <rPr>
        <sz val="10"/>
        <rFont val="宋体"/>
        <family val="3"/>
        <charset val="134"/>
      </rPr>
      <t>速印一体机</t>
    </r>
    <phoneticPr fontId="2" type="noConversion"/>
  </si>
  <si>
    <r>
      <rPr>
        <sz val="10"/>
        <rFont val="宋体"/>
        <family val="3"/>
        <charset val="134"/>
      </rPr>
      <t>高清摄像机</t>
    </r>
    <phoneticPr fontId="2" type="noConversion"/>
  </si>
  <si>
    <r>
      <rPr>
        <b/>
        <sz val="10"/>
        <rFont val="宋体"/>
        <family val="3"/>
        <charset val="134"/>
      </rPr>
      <t>会议兼接待室</t>
    </r>
    <phoneticPr fontId="2" type="noConversion"/>
  </si>
  <si>
    <r>
      <rPr>
        <sz val="10"/>
        <rFont val="宋体"/>
        <family val="3"/>
        <charset val="134"/>
      </rPr>
      <t>含电脑、移动支架等</t>
    </r>
    <phoneticPr fontId="2" type="noConversion"/>
  </si>
  <si>
    <r>
      <rPr>
        <b/>
        <sz val="10"/>
        <rFont val="宋体"/>
        <family val="3"/>
        <charset val="134"/>
      </rPr>
      <t>图书资料兼教研室</t>
    </r>
    <phoneticPr fontId="2" type="noConversion"/>
  </si>
  <si>
    <r>
      <rPr>
        <sz val="10"/>
        <rFont val="宋体"/>
        <family val="3"/>
        <charset val="134"/>
      </rPr>
      <t>阅览桌椅</t>
    </r>
    <phoneticPr fontId="2" type="noConversion"/>
  </si>
  <si>
    <r>
      <rPr>
        <sz val="10"/>
        <rFont val="宋体"/>
        <family val="3"/>
        <charset val="134"/>
      </rPr>
      <t>一桌四椅</t>
    </r>
    <phoneticPr fontId="2" type="noConversion"/>
  </si>
  <si>
    <r>
      <rPr>
        <sz val="10"/>
        <rFont val="宋体"/>
        <family val="3"/>
        <charset val="134"/>
      </rPr>
      <t>个</t>
    </r>
    <phoneticPr fontId="2" type="noConversion"/>
  </si>
  <si>
    <r>
      <rPr>
        <sz val="10"/>
        <rFont val="宋体"/>
        <family val="3"/>
        <charset val="134"/>
      </rPr>
      <t>教学图书及报刊</t>
    </r>
    <phoneticPr fontId="2" type="noConversion"/>
  </si>
  <si>
    <r>
      <rPr>
        <b/>
        <sz val="10"/>
        <rFont val="宋体"/>
        <family val="3"/>
        <charset val="134"/>
      </rPr>
      <t>教玩具制作兼陈列室</t>
    </r>
  </si>
  <si>
    <r>
      <rPr>
        <sz val="10"/>
        <rFont val="宋体"/>
        <family val="3"/>
        <charset val="134"/>
      </rPr>
      <t>陈列橱</t>
    </r>
  </si>
  <si>
    <r>
      <rPr>
        <b/>
        <sz val="10"/>
        <rFont val="宋体"/>
        <family val="3"/>
        <charset val="134"/>
      </rPr>
      <t>总务仓库</t>
    </r>
  </si>
  <si>
    <r>
      <rPr>
        <sz val="10"/>
        <rFont val="宋体"/>
        <family val="3"/>
        <charset val="134"/>
      </rPr>
      <t>货架</t>
    </r>
    <phoneticPr fontId="2" type="noConversion"/>
  </si>
  <si>
    <r>
      <rPr>
        <sz val="10"/>
        <rFont val="宋体"/>
        <family val="3"/>
        <charset val="134"/>
      </rPr>
      <t>钢制</t>
    </r>
    <phoneticPr fontId="2" type="noConversion"/>
  </si>
  <si>
    <r>
      <rPr>
        <sz val="10"/>
        <rFont val="宋体"/>
        <family val="3"/>
        <charset val="134"/>
      </rPr>
      <t>总务仓库</t>
    </r>
    <phoneticPr fontId="2" type="noConversion"/>
  </si>
  <si>
    <r>
      <rPr>
        <sz val="10"/>
        <rFont val="宋体"/>
        <family val="3"/>
        <charset val="134"/>
      </rPr>
      <t>器材橱</t>
    </r>
    <phoneticPr fontId="2" type="noConversion"/>
  </si>
  <si>
    <r>
      <rPr>
        <b/>
        <sz val="10"/>
        <rFont val="宋体"/>
        <family val="3"/>
        <charset val="134"/>
      </rPr>
      <t>晨检兼接送</t>
    </r>
  </si>
  <si>
    <r>
      <rPr>
        <sz val="10"/>
        <rFont val="宋体"/>
        <family val="3"/>
        <charset val="134"/>
      </rPr>
      <t>等候</t>
    </r>
    <phoneticPr fontId="2" type="noConversion"/>
  </si>
  <si>
    <r>
      <rPr>
        <sz val="10"/>
        <rFont val="宋体"/>
        <family val="3"/>
        <charset val="134"/>
      </rPr>
      <t>智能化晨检设备</t>
    </r>
    <phoneticPr fontId="2" type="noConversion"/>
  </si>
  <si>
    <r>
      <rPr>
        <sz val="10"/>
        <rFont val="宋体"/>
        <family val="3"/>
        <charset val="134"/>
      </rPr>
      <t>热像式筛检仪</t>
    </r>
    <phoneticPr fontId="2" type="noConversion"/>
  </si>
  <si>
    <r>
      <rPr>
        <b/>
        <sz val="10"/>
        <rFont val="宋体"/>
        <family val="3"/>
        <charset val="134"/>
      </rPr>
      <t>保健室及观察室</t>
    </r>
    <phoneticPr fontId="2" type="noConversion"/>
  </si>
  <si>
    <r>
      <rPr>
        <sz val="10"/>
        <rFont val="宋体"/>
        <family val="3"/>
        <charset val="134"/>
      </rPr>
      <t>更衣橱</t>
    </r>
    <phoneticPr fontId="2" type="noConversion"/>
  </si>
  <si>
    <r>
      <rPr>
        <b/>
        <sz val="10"/>
        <rFont val="宋体"/>
        <family val="3"/>
        <charset val="134"/>
      </rPr>
      <t>网络控制室</t>
    </r>
  </si>
  <si>
    <r>
      <rPr>
        <sz val="10"/>
        <rFont val="宋体"/>
        <family val="3"/>
        <charset val="134"/>
      </rPr>
      <t>含交换器、防火墙、上网行为管理及教学软件、机柜及线缆、无线</t>
    </r>
    <r>
      <rPr>
        <sz val="10"/>
        <rFont val="Times New Roman"/>
        <family val="1"/>
      </rPr>
      <t>AP</t>
    </r>
    <r>
      <rPr>
        <sz val="10"/>
        <rFont val="宋体"/>
        <family val="3"/>
        <charset val="134"/>
      </rPr>
      <t>、电话等</t>
    </r>
    <phoneticPr fontId="2" type="noConversion"/>
  </si>
  <si>
    <r>
      <rPr>
        <sz val="10"/>
        <rFont val="宋体"/>
        <family val="3"/>
        <charset val="134"/>
      </rPr>
      <t>基建已完成布线与桥架</t>
    </r>
    <phoneticPr fontId="1" type="noConversion"/>
  </si>
  <si>
    <r>
      <rPr>
        <b/>
        <sz val="10"/>
        <rFont val="宋体"/>
        <family val="3"/>
        <charset val="134"/>
      </rPr>
      <t>广播控制中心</t>
    </r>
    <phoneticPr fontId="2" type="noConversion"/>
  </si>
  <si>
    <r>
      <rPr>
        <sz val="10"/>
        <rFont val="宋体"/>
        <family val="3"/>
        <charset val="134"/>
      </rPr>
      <t>校园智能广播设备</t>
    </r>
    <phoneticPr fontId="2" type="noConversion"/>
  </si>
  <si>
    <r>
      <rPr>
        <sz val="10"/>
        <rFont val="宋体"/>
        <family val="3"/>
        <charset val="134"/>
      </rPr>
      <t>基建已完成室内外布线</t>
    </r>
    <phoneticPr fontId="1" type="noConversion"/>
  </si>
  <si>
    <r>
      <rPr>
        <b/>
        <sz val="10"/>
        <rFont val="宋体"/>
        <family val="3"/>
        <charset val="134"/>
      </rPr>
      <t>活动器械储藏室</t>
    </r>
  </si>
  <si>
    <r>
      <rPr>
        <sz val="10"/>
        <rFont val="宋体"/>
        <family val="3"/>
        <charset val="134"/>
      </rPr>
      <t>货架</t>
    </r>
  </si>
  <si>
    <r>
      <rPr>
        <b/>
        <sz val="10"/>
        <rFont val="宋体"/>
        <family val="3"/>
        <charset val="134"/>
      </rPr>
      <t>保育员休息室</t>
    </r>
  </si>
  <si>
    <r>
      <rPr>
        <sz val="10"/>
        <rFont val="宋体"/>
        <family val="3"/>
        <charset val="134"/>
      </rPr>
      <t>更衣橱</t>
    </r>
  </si>
  <si>
    <r>
      <rPr>
        <b/>
        <sz val="10"/>
        <rFont val="宋体"/>
        <family val="3"/>
        <charset val="134"/>
      </rPr>
      <t>门卫值班室</t>
    </r>
    <phoneticPr fontId="2" type="noConversion"/>
  </si>
  <si>
    <r>
      <rPr>
        <sz val="10"/>
        <rFont val="宋体"/>
        <family val="3"/>
        <charset val="134"/>
      </rPr>
      <t>橡胶警棍、安全钢叉等</t>
    </r>
  </si>
  <si>
    <r>
      <rPr>
        <b/>
        <sz val="10"/>
        <rFont val="宋体"/>
        <family val="3"/>
        <charset val="134"/>
      </rPr>
      <t>四</t>
    </r>
    <phoneticPr fontId="2" type="noConversion"/>
  </si>
  <si>
    <r>
      <rPr>
        <b/>
        <sz val="10"/>
        <rFont val="宋体"/>
        <family val="3"/>
        <charset val="134"/>
      </rPr>
      <t>生活用房</t>
    </r>
    <phoneticPr fontId="2" type="noConversion"/>
  </si>
  <si>
    <r>
      <rPr>
        <sz val="10"/>
        <rFont val="宋体"/>
        <family val="3"/>
        <charset val="134"/>
      </rPr>
      <t>包括通风系统、烘焙设备等</t>
    </r>
    <phoneticPr fontId="2" type="noConversion"/>
  </si>
  <si>
    <r>
      <rPr>
        <sz val="10"/>
        <rFont val="宋体"/>
        <family val="3"/>
        <charset val="134"/>
      </rPr>
      <t>教师餐桌椅</t>
    </r>
    <phoneticPr fontId="2" type="noConversion"/>
  </si>
  <si>
    <r>
      <rPr>
        <b/>
        <sz val="10"/>
        <rFont val="宋体"/>
        <family val="3"/>
        <charset val="134"/>
      </rPr>
      <t>五</t>
    </r>
    <phoneticPr fontId="2" type="noConversion"/>
  </si>
  <si>
    <r>
      <rPr>
        <sz val="10"/>
        <rFont val="宋体"/>
        <family val="3"/>
        <charset val="134"/>
      </rPr>
      <t>校园安防系统设备</t>
    </r>
    <phoneticPr fontId="2" type="noConversion"/>
  </si>
  <si>
    <r>
      <rPr>
        <sz val="10"/>
        <rFont val="宋体"/>
        <family val="3"/>
        <charset val="134"/>
      </rPr>
      <t>包括校园监控、周界及入侵报警、紧急报警装置、校园安防、机柜等</t>
    </r>
    <phoneticPr fontId="2" type="noConversion"/>
  </si>
  <si>
    <r>
      <rPr>
        <sz val="10"/>
        <rFont val="宋体"/>
        <family val="3"/>
        <charset val="134"/>
      </rPr>
      <t>教师饮水设备</t>
    </r>
    <phoneticPr fontId="2" type="noConversion"/>
  </si>
  <si>
    <r>
      <rPr>
        <sz val="10"/>
        <rFont val="宋体"/>
        <family val="3"/>
        <charset val="134"/>
      </rPr>
      <t>冷热式、行政及教师用</t>
    </r>
    <phoneticPr fontId="2" type="noConversion"/>
  </si>
  <si>
    <r>
      <rPr>
        <sz val="10"/>
        <rFont val="宋体"/>
        <family val="3"/>
        <charset val="134"/>
      </rPr>
      <t>防火、环保。</t>
    </r>
    <phoneticPr fontId="2" type="noConversion"/>
  </si>
  <si>
    <r>
      <rPr>
        <sz val="10"/>
        <rFont val="宋体"/>
        <family val="3"/>
        <charset val="134"/>
      </rPr>
      <t>校园多媒体信息发布系统</t>
    </r>
  </si>
  <si>
    <r>
      <rPr>
        <sz val="10"/>
        <rFont val="宋体"/>
        <family val="3"/>
        <charset val="134"/>
      </rPr>
      <t>校园文化</t>
    </r>
    <phoneticPr fontId="1" type="noConversion"/>
  </si>
  <si>
    <r>
      <rPr>
        <sz val="10"/>
        <rFont val="宋体"/>
        <family val="3"/>
        <charset val="134"/>
      </rPr>
      <t>批</t>
    </r>
    <phoneticPr fontId="1" type="noConversion"/>
  </si>
  <si>
    <r>
      <rPr>
        <sz val="10"/>
        <rFont val="宋体"/>
        <family val="3"/>
        <charset val="134"/>
      </rPr>
      <t>增</t>
    </r>
    <phoneticPr fontId="1" type="noConversion"/>
  </si>
  <si>
    <r>
      <rPr>
        <sz val="10"/>
        <rFont val="宋体"/>
        <family val="3"/>
        <charset val="134"/>
      </rPr>
      <t>载人电梯（无障碍）</t>
    </r>
    <phoneticPr fontId="1" type="noConversion"/>
  </si>
  <si>
    <r>
      <rPr>
        <sz val="10"/>
        <rFont val="宋体"/>
        <family val="3"/>
        <charset val="134"/>
      </rPr>
      <t>三层</t>
    </r>
    <phoneticPr fontId="1" type="noConversion"/>
  </si>
  <si>
    <r>
      <rPr>
        <sz val="10"/>
        <rFont val="宋体"/>
        <family val="3"/>
        <charset val="134"/>
      </rPr>
      <t>基建有预留井道</t>
    </r>
    <phoneticPr fontId="1" type="noConversion"/>
  </si>
  <si>
    <r>
      <rPr>
        <sz val="10"/>
        <rFont val="宋体"/>
        <family val="3"/>
        <charset val="134"/>
      </rPr>
      <t>教室吊扇</t>
    </r>
    <phoneticPr fontId="1" type="noConversion"/>
  </si>
  <si>
    <r>
      <rPr>
        <sz val="10"/>
        <rFont val="宋体"/>
        <family val="3"/>
        <charset val="134"/>
      </rPr>
      <t>基建预留电源及吊钩</t>
    </r>
    <phoneticPr fontId="1" type="noConversion"/>
  </si>
  <si>
    <t>图书自助借阅设备一批</t>
  </si>
  <si>
    <t>信息设备</t>
  </si>
  <si>
    <t>新建图书馆</t>
  </si>
  <si>
    <t>影音欣赏扩声</t>
  </si>
  <si>
    <t>5.1音响+功放</t>
  </si>
  <si>
    <t>系统集成</t>
  </si>
  <si>
    <t>新建专用室8间其中一套一体机由老美术教室转移</t>
  </si>
  <si>
    <t>电器设备</t>
  </si>
  <si>
    <t>5匹（嵌机）</t>
  </si>
  <si>
    <t>新建专用室8间（含材料费）</t>
  </si>
  <si>
    <t>2匹</t>
  </si>
  <si>
    <t>新建准备室8间（含材料费）</t>
  </si>
  <si>
    <t>室外机64匹（多联机）</t>
  </si>
  <si>
    <t>新建图书馆（平方660平方）</t>
  </si>
  <si>
    <t>室内机5匹风管机</t>
  </si>
  <si>
    <t>新建图书馆（含材料费）</t>
  </si>
  <si>
    <t>室外机76匹</t>
  </si>
  <si>
    <t>新建多功能馆（660平方）</t>
  </si>
  <si>
    <t>新建多功能馆（660平方）含材料费</t>
  </si>
  <si>
    <t>家具设备</t>
  </si>
  <si>
    <t>讲台</t>
  </si>
  <si>
    <t>1600*1400*1200</t>
  </si>
  <si>
    <t>新建远程教室</t>
  </si>
  <si>
    <t>600*400升降式</t>
  </si>
  <si>
    <t>控制台</t>
  </si>
  <si>
    <t>2000*800*800</t>
  </si>
  <si>
    <t>新建远程教室控制室</t>
  </si>
  <si>
    <t>新建自然教室</t>
  </si>
  <si>
    <t>6000*450*1800</t>
  </si>
  <si>
    <t>新建自然准备室</t>
  </si>
  <si>
    <t>2400*1200*800</t>
  </si>
  <si>
    <t>新建美术教室</t>
  </si>
  <si>
    <t>6000*450*2000</t>
  </si>
  <si>
    <t>写生台</t>
  </si>
  <si>
    <t>600*600*1000</t>
  </si>
  <si>
    <t>可组合音乐凳</t>
  </si>
  <si>
    <t>H:350</t>
  </si>
  <si>
    <t>新建唱游室</t>
  </si>
  <si>
    <t>音乐橱</t>
  </si>
  <si>
    <t>6000*600*2400</t>
  </si>
  <si>
    <t>合唱台</t>
  </si>
  <si>
    <t>1220*1150*610</t>
  </si>
  <si>
    <t>教师讲台</t>
  </si>
  <si>
    <t>1800*600*900</t>
  </si>
  <si>
    <t>新建电脑房</t>
  </si>
  <si>
    <t>700*600*750</t>
  </si>
  <si>
    <t>活动座椅</t>
  </si>
  <si>
    <t>靠背高度850mm     坐高450mm           座板尺寸410*450mm</t>
  </si>
  <si>
    <t>新建多功能馆</t>
  </si>
  <si>
    <t>闵行区七宝春欣幼儿园分园</t>
  </si>
  <si>
    <t>21班规模开4班测算，城花新苑幼儿园（35号地块）</t>
  </si>
  <si>
    <t>上海市闵行区七宝明强幼儿园</t>
  </si>
  <si>
    <t>七宝镇</t>
    <phoneticPr fontId="2" type="noConversion"/>
  </si>
  <si>
    <t>七宝文来（碧林湾校区）</t>
  </si>
  <si>
    <t>多媒体讲台</t>
  </si>
  <si>
    <t>学生储物柜</t>
  </si>
  <si>
    <t>教师办公橱</t>
  </si>
  <si>
    <t>台式一体机</t>
    <phoneticPr fontId="2" type="noConversion"/>
  </si>
  <si>
    <t xml:space="preserve"> </t>
    <phoneticPr fontId="1" type="noConversion"/>
  </si>
  <si>
    <t>颛桥中学</t>
    <phoneticPr fontId="2" type="noConversion"/>
  </si>
  <si>
    <t>餐梯</t>
  </si>
  <si>
    <t>颛桥镇</t>
  </si>
  <si>
    <t>君莲学校（中学部）</t>
  </si>
  <si>
    <t>君莲学校（小学部）</t>
  </si>
  <si>
    <t>上海市闵行区颛桥第二幼儿园</t>
  </si>
  <si>
    <t>上海市闵行区颛桥第二幼儿园装备配置明细确认单（10班规模开4班）</t>
    <phoneticPr fontId="1" type="noConversion"/>
  </si>
  <si>
    <r>
      <t>10</t>
    </r>
    <r>
      <rPr>
        <b/>
        <sz val="10"/>
        <rFont val="宋体"/>
        <family val="3"/>
        <charset val="134"/>
      </rPr>
      <t>班</t>
    </r>
    <phoneticPr fontId="2" type="noConversion"/>
  </si>
  <si>
    <t>幼儿观察记录仪</t>
    <phoneticPr fontId="2" type="noConversion"/>
  </si>
  <si>
    <t>幼儿饮水设备</t>
    <phoneticPr fontId="2" type="noConversion"/>
  </si>
  <si>
    <t>幼儿餐桌椅</t>
    <phoneticPr fontId="2" type="noConversion"/>
  </si>
  <si>
    <t>幼（托）儿卧室</t>
    <phoneticPr fontId="2" type="noConversion"/>
  </si>
  <si>
    <t>幼儿床</t>
    <phoneticPr fontId="2" type="noConversion"/>
  </si>
  <si>
    <t>幼（托）儿盥洗室</t>
    <phoneticPr fontId="2" type="noConversion"/>
  </si>
  <si>
    <t>含门口洗手池1台，基建不做太阳能热水系统</t>
    <phoneticPr fontId="1" type="noConversion"/>
  </si>
  <si>
    <t>幼（托）儿衣帽储藏室</t>
    <phoneticPr fontId="2" type="noConversion"/>
  </si>
  <si>
    <t>幼儿衣帽橱</t>
    <phoneticPr fontId="2" type="noConversion"/>
  </si>
  <si>
    <t>洗消间</t>
    <phoneticPr fontId="2" type="noConversion"/>
  </si>
  <si>
    <t>橱柜</t>
    <phoneticPr fontId="2" type="noConversion"/>
  </si>
  <si>
    <t>消毒电蒸箱</t>
    <phoneticPr fontId="2" type="noConversion"/>
  </si>
  <si>
    <t>多功能活动室</t>
    <phoneticPr fontId="2" type="noConversion"/>
  </si>
  <si>
    <t>多媒体会议演出设备</t>
    <phoneticPr fontId="2" type="noConversion"/>
  </si>
  <si>
    <t>多功能活动室桌椅</t>
    <phoneticPr fontId="2" type="noConversion"/>
  </si>
  <si>
    <t>钢琴</t>
    <phoneticPr fontId="2" type="noConversion"/>
  </si>
  <si>
    <t>音乐戏剧玩具</t>
    <phoneticPr fontId="2" type="noConversion"/>
  </si>
  <si>
    <t>多功能活动室空调</t>
    <phoneticPr fontId="2" type="noConversion"/>
  </si>
  <si>
    <t>幼儿专用活动室教玩具设备</t>
    <phoneticPr fontId="2" type="noConversion"/>
  </si>
  <si>
    <t>幼儿图书</t>
    <phoneticPr fontId="2" type="noConversion"/>
  </si>
  <si>
    <t>幼儿专用活动室空调</t>
    <phoneticPr fontId="2" type="noConversion"/>
  </si>
  <si>
    <r>
      <rPr>
        <sz val="10"/>
        <rFont val="宋体"/>
        <family val="3"/>
        <charset val="134"/>
      </rPr>
      <t>基建提供</t>
    </r>
    <r>
      <rPr>
        <sz val="10"/>
        <rFont val="Times New Roman"/>
        <family val="1"/>
      </rPr>
      <t>220V</t>
    </r>
    <r>
      <rPr>
        <sz val="10"/>
        <rFont val="宋体"/>
        <family val="3"/>
        <charset val="134"/>
      </rPr>
      <t>电源</t>
    </r>
    <phoneticPr fontId="1" type="noConversion"/>
  </si>
  <si>
    <t>办公及辅助用房</t>
    <phoneticPr fontId="2" type="noConversion"/>
  </si>
  <si>
    <t>园长办公橱</t>
    <phoneticPr fontId="2" type="noConversion"/>
  </si>
  <si>
    <t>园长计算机</t>
    <phoneticPr fontId="2" type="noConversion"/>
  </si>
  <si>
    <t>多功能一体机</t>
    <phoneticPr fontId="2" type="noConversion"/>
  </si>
  <si>
    <t>教师行政办公桌椅</t>
    <phoneticPr fontId="2" type="noConversion"/>
  </si>
  <si>
    <t>虹桥镇</t>
  </si>
  <si>
    <t>上海闵行区华虹小学</t>
  </si>
  <si>
    <t>折扣系数0.90</t>
    <phoneticPr fontId="1" type="noConversion"/>
  </si>
  <si>
    <t>设备购置与更新</t>
  </si>
  <si>
    <t>便携式电脑</t>
  </si>
  <si>
    <t>户外中型玩具</t>
  </si>
  <si>
    <t>65寸交互式一体机</t>
    <phoneticPr fontId="1" type="noConversion"/>
  </si>
  <si>
    <t>吴泾镇</t>
    <phoneticPr fontId="2" type="noConversion"/>
  </si>
  <si>
    <t>初中</t>
    <phoneticPr fontId="2" type="noConversion"/>
  </si>
  <si>
    <t>理化实验室视频采集系统、顶装控制系统</t>
    <phoneticPr fontId="1" type="noConversion"/>
  </si>
  <si>
    <t>小计</t>
    <phoneticPr fontId="2" type="noConversion"/>
  </si>
  <si>
    <t>幼儿园</t>
    <phoneticPr fontId="1" type="noConversion"/>
  </si>
  <si>
    <t>上海市闵行区吴泾第三幼儿园</t>
    <phoneticPr fontId="2" type="noConversion"/>
  </si>
  <si>
    <t>55寸交互式一体机</t>
    <phoneticPr fontId="1" type="noConversion"/>
  </si>
  <si>
    <t>油烟净化器</t>
    <phoneticPr fontId="2" type="noConversion"/>
  </si>
  <si>
    <t>华东师范大学闵行永德实验幼儿园</t>
    <phoneticPr fontId="2" type="noConversion"/>
  </si>
  <si>
    <t>65寸交互式一体机</t>
    <phoneticPr fontId="1" type="noConversion"/>
  </si>
  <si>
    <t>幼儿专用活动室</t>
    <phoneticPr fontId="2" type="noConversion"/>
  </si>
  <si>
    <t>空调设备</t>
    <phoneticPr fontId="2" type="noConversion"/>
  </si>
  <si>
    <t>5匹空调设备</t>
    <phoneticPr fontId="1" type="noConversion"/>
  </si>
  <si>
    <t>民办随迁</t>
    <phoneticPr fontId="1" type="noConversion"/>
  </si>
  <si>
    <t>民办塘湾小学（北校区）</t>
    <phoneticPr fontId="2" type="noConversion"/>
  </si>
  <si>
    <t>灯光改造设备</t>
    <phoneticPr fontId="2" type="noConversion"/>
  </si>
  <si>
    <t>中小学灯光改造设备</t>
    <phoneticPr fontId="2" type="noConversion"/>
  </si>
  <si>
    <t>民办塘湾小学（南校区）</t>
    <phoneticPr fontId="2" type="noConversion"/>
  </si>
  <si>
    <t>合计</t>
    <phoneticPr fontId="2" type="noConversion"/>
  </si>
  <si>
    <t>序号</t>
    <phoneticPr fontId="2" type="noConversion"/>
  </si>
  <si>
    <t>学校名称</t>
    <phoneticPr fontId="2" type="noConversion"/>
  </si>
  <si>
    <t>2021年闵行区吴泾镇设备专项申报明细汇总表</t>
    <phoneticPr fontId="2" type="noConversion"/>
  </si>
  <si>
    <t>2021年闵行区梅陇镇设备专项申报明细汇总表</t>
    <phoneticPr fontId="2" type="noConversion"/>
  </si>
  <si>
    <t>中小学资源教室设备</t>
    <phoneticPr fontId="2" type="noConversion"/>
  </si>
  <si>
    <t>小计</t>
    <phoneticPr fontId="2" type="noConversion"/>
  </si>
  <si>
    <t>幼儿园</t>
    <phoneticPr fontId="1" type="noConversion"/>
  </si>
  <si>
    <t>600*400升降式45人/班</t>
    <phoneticPr fontId="2" type="noConversion"/>
  </si>
  <si>
    <t>电视机</t>
    <phoneticPr fontId="2" type="noConversion"/>
  </si>
  <si>
    <t>交互式智能一体机70寸含推拉式书写板</t>
    <phoneticPr fontId="2" type="noConversion"/>
  </si>
  <si>
    <t>灯光改造设备</t>
    <phoneticPr fontId="2" type="noConversion"/>
  </si>
  <si>
    <t>中小学灯光改造设备</t>
    <phoneticPr fontId="2" type="noConversion"/>
  </si>
  <si>
    <t>合计</t>
    <phoneticPr fontId="2" type="noConversion"/>
  </si>
  <si>
    <t>七宝中学附属金都中学搬迁装备配置（20班）</t>
    <phoneticPr fontId="2" type="noConversion"/>
  </si>
  <si>
    <t>20班</t>
    <phoneticPr fontId="2" type="noConversion"/>
  </si>
  <si>
    <t>教室</t>
    <phoneticPr fontId="2" type="noConversion"/>
  </si>
  <si>
    <t>普通教室</t>
    <phoneticPr fontId="2" type="noConversion"/>
  </si>
  <si>
    <t>白板+黑板</t>
    <phoneticPr fontId="2" type="noConversion"/>
  </si>
  <si>
    <t>教室前白板+后黑板</t>
    <phoneticPr fontId="2" type="noConversion"/>
  </si>
  <si>
    <t>物理实验室(含仪器准备室)</t>
    <phoneticPr fontId="2" type="noConversion"/>
  </si>
  <si>
    <t>预下达教育费
附加经费承担</t>
    <phoneticPr fontId="1" type="noConversion"/>
  </si>
  <si>
    <t>2021年闵行区马桥镇设备专项申报明细汇总表</t>
    <phoneticPr fontId="2" type="noConversion"/>
  </si>
  <si>
    <t>马桥镇</t>
    <phoneticPr fontId="2" type="noConversion"/>
  </si>
  <si>
    <t>小学</t>
    <phoneticPr fontId="2" type="noConversion"/>
  </si>
  <si>
    <t>闵行区马桥实验小学</t>
    <phoneticPr fontId="2" type="noConversion"/>
  </si>
  <si>
    <t>小学</t>
    <phoneticPr fontId="104" type="noConversion"/>
  </si>
  <si>
    <t>闵行区马桥复旦万科实验中学</t>
    <phoneticPr fontId="2" type="noConversion"/>
  </si>
  <si>
    <t>理化实验室视频采集系统</t>
    <phoneticPr fontId="1" type="noConversion"/>
  </si>
  <si>
    <t>九年一贯制</t>
    <phoneticPr fontId="2" type="noConversion"/>
  </si>
  <si>
    <t>上海市马桥强恕学校</t>
    <phoneticPr fontId="2" type="noConversion"/>
  </si>
  <si>
    <t>闵行区马桥中心幼儿园</t>
    <phoneticPr fontId="2" type="noConversion"/>
  </si>
  <si>
    <t>65寸交互式一体机</t>
    <phoneticPr fontId="2" type="noConversion"/>
  </si>
  <si>
    <t>上海市闵行区马桥元祥幼儿园</t>
    <phoneticPr fontId="2" type="noConversion"/>
  </si>
  <si>
    <t>上海市闵行区马桥启英幼儿园</t>
    <phoneticPr fontId="2" type="noConversion"/>
  </si>
  <si>
    <t>多功厅音视频设备</t>
    <phoneticPr fontId="2" type="noConversion"/>
  </si>
  <si>
    <t>批</t>
    <phoneticPr fontId="2" type="noConversion"/>
  </si>
  <si>
    <t>音乐活动室玩教具</t>
    <phoneticPr fontId="2" type="noConversion"/>
  </si>
  <si>
    <t>上海市闵行区马桥富杰幼儿园</t>
    <phoneticPr fontId="2" type="noConversion"/>
  </si>
  <si>
    <t>马桥镇</t>
  </si>
  <si>
    <t>梅陇镇</t>
    <phoneticPr fontId="2" type="noConversion"/>
  </si>
  <si>
    <t>闵行区梅陇中心小学</t>
    <phoneticPr fontId="2" type="noConversion"/>
  </si>
  <si>
    <t>闵行区曹行小学</t>
    <phoneticPr fontId="2" type="noConversion"/>
  </si>
  <si>
    <t>闵行蔷薇小学</t>
    <phoneticPr fontId="2" type="noConversion"/>
  </si>
  <si>
    <t>梅陇中学</t>
    <phoneticPr fontId="2" type="noConversion"/>
  </si>
  <si>
    <t>中小学资源教室设备</t>
    <phoneticPr fontId="2" type="noConversion"/>
  </si>
  <si>
    <t>上海市闵行区春申景城幼儿园</t>
    <phoneticPr fontId="2" type="noConversion"/>
  </si>
  <si>
    <t>上海市闵行区晶采坊幼儿园</t>
    <phoneticPr fontId="2" type="noConversion"/>
  </si>
  <si>
    <t>上海市闵行区罗阳河畔幼儿园</t>
    <phoneticPr fontId="2" type="noConversion"/>
  </si>
  <si>
    <t>厨房设备</t>
    <phoneticPr fontId="1" type="noConversion"/>
  </si>
  <si>
    <t>民办弘梅小学</t>
    <phoneticPr fontId="1" type="noConversion"/>
  </si>
  <si>
    <t>闵行区民办弘梅第二小学</t>
    <phoneticPr fontId="1" type="noConversion"/>
  </si>
  <si>
    <t>七宝中学附属闵行区金都实验中学</t>
    <phoneticPr fontId="1" type="noConversion"/>
  </si>
  <si>
    <t>学校搬迁</t>
    <phoneticPr fontId="1" type="noConversion"/>
  </si>
  <si>
    <t>闵行区民办马桥小学</t>
    <phoneticPr fontId="1" type="noConversion"/>
  </si>
  <si>
    <t>初中</t>
    <phoneticPr fontId="1" type="noConversion"/>
  </si>
  <si>
    <t>新开办学校</t>
    <phoneticPr fontId="1" type="noConversion"/>
  </si>
  <si>
    <t>马桥文来外国语小学分校</t>
    <phoneticPr fontId="2" type="noConversion"/>
  </si>
  <si>
    <t>2021年闵行区教育华漕镇设备专项申报明细汇总表</t>
    <phoneticPr fontId="2" type="noConversion"/>
  </si>
  <si>
    <t>华漕镇</t>
    <phoneticPr fontId="2" type="noConversion"/>
  </si>
  <si>
    <t>九年一贯制</t>
    <phoneticPr fontId="1" type="noConversion"/>
  </si>
  <si>
    <t>闵行区华漕镇纪王幼儿园</t>
    <phoneticPr fontId="2" type="noConversion"/>
  </si>
  <si>
    <t>上海市闵行区华漕镇金色幼儿园</t>
    <phoneticPr fontId="2" type="noConversion"/>
  </si>
  <si>
    <t>闵行区华漕镇中心幼儿园</t>
    <phoneticPr fontId="2" type="noConversion"/>
  </si>
  <si>
    <t>闵行区华漕镇中心幼儿园</t>
  </si>
  <si>
    <t>2021年闵行区虹桥镇设备专项申报明细汇总表</t>
    <phoneticPr fontId="1" type="noConversion"/>
  </si>
  <si>
    <t>虹桥镇</t>
    <phoneticPr fontId="2" type="noConversion"/>
  </si>
  <si>
    <t>九年一贯制</t>
    <phoneticPr fontId="2" type="noConversion"/>
  </si>
  <si>
    <t>上海市金汇实验学校</t>
    <phoneticPr fontId="2" type="noConversion"/>
  </si>
  <si>
    <t>理化实验室视频采集系统</t>
    <phoneticPr fontId="1" type="noConversion"/>
  </si>
  <si>
    <t>外语听说考场设备（尾款）</t>
    <phoneticPr fontId="1" type="noConversion"/>
  </si>
  <si>
    <t>批</t>
    <phoneticPr fontId="1" type="noConversion"/>
  </si>
  <si>
    <t>学生图书自助借阅设备</t>
    <phoneticPr fontId="1" type="noConversion"/>
  </si>
  <si>
    <t>闵行区虹桥中心幼儿园</t>
    <phoneticPr fontId="2" type="noConversion"/>
  </si>
  <si>
    <t>幼儿专用活动室</t>
    <phoneticPr fontId="1" type="noConversion"/>
  </si>
  <si>
    <t>闵行区龙柏第一幼儿园</t>
    <phoneticPr fontId="2" type="noConversion"/>
  </si>
  <si>
    <t>55寸交互式一体机</t>
    <phoneticPr fontId="1" type="noConversion"/>
  </si>
  <si>
    <t>虹桥镇</t>
    <phoneticPr fontId="2" type="noConversion"/>
  </si>
  <si>
    <t>上海市龙柏中学</t>
    <phoneticPr fontId="2" type="noConversion"/>
  </si>
  <si>
    <t>2021年闵行区莘庄镇设备专项申报明细汇总表</t>
    <phoneticPr fontId="2" type="noConversion"/>
  </si>
  <si>
    <t>莘庄镇</t>
    <phoneticPr fontId="2" type="noConversion"/>
  </si>
  <si>
    <t>闵行区明星学校</t>
    <phoneticPr fontId="2" type="noConversion"/>
  </si>
  <si>
    <t>便携式计算机</t>
  </si>
  <si>
    <t>新开办幼儿园</t>
    <phoneticPr fontId="1" type="noConversion"/>
  </si>
  <si>
    <t>2021年闵行区七宝镇设备专项申报明细汇总表</t>
    <phoneticPr fontId="2" type="noConversion"/>
  </si>
  <si>
    <t>上海市七宝实验小学</t>
    <phoneticPr fontId="2" type="noConversion"/>
  </si>
  <si>
    <t>含图书自助借阅、文献的信息化管理和应用、图书清点、查重等功能</t>
  </si>
  <si>
    <t>交互式智能一体机70寸</t>
    <phoneticPr fontId="2" type="noConversion"/>
  </si>
  <si>
    <t>七宝镇</t>
    <phoneticPr fontId="2" type="noConversion"/>
  </si>
  <si>
    <t>小学</t>
    <phoneticPr fontId="2" type="noConversion"/>
  </si>
  <si>
    <t>七宝镇</t>
    <phoneticPr fontId="2" type="noConversion"/>
  </si>
  <si>
    <t>小学</t>
    <phoneticPr fontId="2" type="noConversion"/>
  </si>
  <si>
    <t>七宝镇</t>
    <phoneticPr fontId="2" type="noConversion"/>
  </si>
  <si>
    <t>小学</t>
    <phoneticPr fontId="2" type="noConversion"/>
  </si>
  <si>
    <t>可组合电脑桌凳</t>
    <phoneticPr fontId="2" type="noConversion"/>
  </si>
  <si>
    <t>七宝镇</t>
  </si>
  <si>
    <t>初中</t>
    <phoneticPr fontId="1" type="noConversion"/>
  </si>
  <si>
    <t>七宝二中(南校区)</t>
    <phoneticPr fontId="2" type="noConversion"/>
  </si>
  <si>
    <t>灯光改造设备</t>
    <phoneticPr fontId="2" type="noConversion"/>
  </si>
  <si>
    <t>中小学灯光改造设备</t>
    <phoneticPr fontId="2" type="noConversion"/>
  </si>
  <si>
    <t>折扣系数0.90</t>
    <phoneticPr fontId="1" type="noConversion"/>
  </si>
  <si>
    <t>小计</t>
    <phoneticPr fontId="2" type="noConversion"/>
  </si>
  <si>
    <t>七宝镇</t>
    <phoneticPr fontId="2" type="noConversion"/>
  </si>
  <si>
    <t>初中</t>
    <phoneticPr fontId="2" type="noConversion"/>
  </si>
  <si>
    <t>上海市七宝实验中学</t>
    <phoneticPr fontId="2" type="noConversion"/>
  </si>
  <si>
    <t>理化实验室视频采集系统</t>
    <phoneticPr fontId="1" type="noConversion"/>
  </si>
  <si>
    <t>中小学资源教室设备</t>
    <phoneticPr fontId="2" type="noConversion"/>
  </si>
  <si>
    <t>上海市航华中学</t>
    <phoneticPr fontId="2" type="noConversion"/>
  </si>
  <si>
    <t>七宝三中</t>
    <phoneticPr fontId="2" type="noConversion"/>
  </si>
  <si>
    <t>幼儿园</t>
    <phoneticPr fontId="1" type="noConversion"/>
  </si>
  <si>
    <t>闵行区航华第二幼儿园</t>
    <phoneticPr fontId="2" type="noConversion"/>
  </si>
  <si>
    <t>创上海市示范幼儿园</t>
  </si>
  <si>
    <t>幼儿活动室设备</t>
  </si>
  <si>
    <t>幼儿床</t>
  </si>
  <si>
    <t>木质、可固定或叠放收藏</t>
  </si>
  <si>
    <t>七宝镇</t>
    <phoneticPr fontId="2" type="noConversion"/>
  </si>
  <si>
    <t>幼儿园</t>
    <phoneticPr fontId="1" type="noConversion"/>
  </si>
  <si>
    <t>幼儿桌椅</t>
  </si>
  <si>
    <t>一桌六椅、木质</t>
  </si>
  <si>
    <t>玩具柜</t>
  </si>
  <si>
    <t>一组九件（含展示板）、木质、开放式可移动</t>
  </si>
  <si>
    <t>幼儿阅读设备</t>
  </si>
  <si>
    <t>幼儿观察记录仪</t>
  </si>
  <si>
    <t>校园广播设备</t>
  </si>
  <si>
    <t>多功能厅音响设备</t>
  </si>
  <si>
    <t>教室65寸交互式一体机</t>
  </si>
  <si>
    <t>65寸交互式一体机</t>
  </si>
  <si>
    <t>含视频展台、电脑等</t>
  </si>
  <si>
    <t>户外大型运动器械</t>
  </si>
  <si>
    <t>幼儿专用活动室教玩具设备</t>
  </si>
  <si>
    <t>七宝文来学校</t>
  </si>
  <si>
    <t>图书馆家具</t>
    <phoneticPr fontId="2" type="noConversion"/>
  </si>
  <si>
    <t>一批</t>
    <phoneticPr fontId="2" type="noConversion"/>
  </si>
  <si>
    <t>小计</t>
    <phoneticPr fontId="2" type="noConversion"/>
  </si>
  <si>
    <t>2021年改扩建</t>
    <phoneticPr fontId="1" type="noConversion"/>
  </si>
  <si>
    <t>七宝镇</t>
    <phoneticPr fontId="1" type="noConversion"/>
  </si>
  <si>
    <t>小学</t>
    <phoneticPr fontId="1" type="noConversion"/>
  </si>
  <si>
    <t>明强小学（东校区）</t>
    <phoneticPr fontId="1" type="noConversion"/>
  </si>
  <si>
    <t>灯光改造设备</t>
    <phoneticPr fontId="2" type="noConversion"/>
  </si>
  <si>
    <t>中小学灯光改造设备</t>
    <phoneticPr fontId="2" type="noConversion"/>
  </si>
  <si>
    <t>明强小学西校区</t>
    <phoneticPr fontId="1" type="noConversion"/>
  </si>
  <si>
    <t>闵行区七宝明强第二小学</t>
    <phoneticPr fontId="2" type="noConversion"/>
  </si>
  <si>
    <t>教室70寸交互式一体机</t>
    <phoneticPr fontId="2" type="noConversion"/>
  </si>
  <si>
    <t>初中</t>
    <phoneticPr fontId="2" type="noConversion"/>
  </si>
  <si>
    <t>七宝二中(南校区)</t>
    <phoneticPr fontId="2" type="noConversion"/>
  </si>
  <si>
    <t>理化实验室视频采集系统</t>
    <phoneticPr fontId="1" type="noConversion"/>
  </si>
  <si>
    <t>七宝二中(北校区)（航华二中）</t>
    <phoneticPr fontId="2" type="noConversion"/>
  </si>
  <si>
    <t>中小学资源教室设备</t>
    <phoneticPr fontId="2" type="noConversion"/>
  </si>
  <si>
    <t>油烟净化器</t>
    <phoneticPr fontId="2" type="noConversion"/>
  </si>
  <si>
    <t>七宝镇</t>
    <phoneticPr fontId="2" type="noConversion"/>
  </si>
  <si>
    <t>幼儿园</t>
    <phoneticPr fontId="1" type="noConversion"/>
  </si>
  <si>
    <t>视频监控</t>
    <phoneticPr fontId="1" type="noConversion"/>
  </si>
  <si>
    <t>批</t>
    <phoneticPr fontId="1" type="noConversion"/>
  </si>
  <si>
    <t>小计</t>
    <phoneticPr fontId="2" type="noConversion"/>
  </si>
  <si>
    <t>新开办幼儿园</t>
    <phoneticPr fontId="1" type="noConversion"/>
  </si>
  <si>
    <t>折扣系数0.90</t>
    <phoneticPr fontId="1" type="noConversion"/>
  </si>
  <si>
    <t>15班规模开5班测算，航华幼儿园</t>
    <phoneticPr fontId="2" type="noConversion"/>
  </si>
  <si>
    <t>新开办学校</t>
    <phoneticPr fontId="1" type="noConversion"/>
  </si>
  <si>
    <t>振兴小学</t>
    <phoneticPr fontId="2" type="noConversion"/>
  </si>
  <si>
    <t>灯光改造设备</t>
    <phoneticPr fontId="2" type="noConversion"/>
  </si>
  <si>
    <t>中小学灯光改造设备</t>
    <phoneticPr fontId="2" type="noConversion"/>
  </si>
  <si>
    <t>初中</t>
    <phoneticPr fontId="1" type="noConversion"/>
  </si>
  <si>
    <t>文来初中</t>
    <phoneticPr fontId="1" type="noConversion"/>
  </si>
  <si>
    <t>合计</t>
    <phoneticPr fontId="2" type="noConversion"/>
  </si>
  <si>
    <t>2021年闵行区浦江镇镇设备专项申报明细汇总表</t>
    <phoneticPr fontId="2" type="noConversion"/>
  </si>
  <si>
    <t>公务车更新</t>
  </si>
  <si>
    <t>公务车新能源更新</t>
    <phoneticPr fontId="1" type="noConversion"/>
  </si>
  <si>
    <t>机管局已审</t>
    <phoneticPr fontId="1" type="noConversion"/>
  </si>
  <si>
    <t>65寸交互式一体机</t>
    <phoneticPr fontId="2" type="noConversion"/>
  </si>
  <si>
    <t>幼儿专用活动室</t>
    <phoneticPr fontId="2" type="noConversion"/>
  </si>
  <si>
    <t>镇教委</t>
    <phoneticPr fontId="2" type="noConversion"/>
  </si>
  <si>
    <t>文馨学校</t>
    <phoneticPr fontId="2" type="noConversion"/>
  </si>
  <si>
    <t>新开办幼儿园</t>
    <phoneticPr fontId="1" type="noConversion"/>
  </si>
  <si>
    <t>合计</t>
    <phoneticPr fontId="2" type="noConversion"/>
  </si>
  <si>
    <t>浦江镇</t>
    <phoneticPr fontId="2" type="noConversion"/>
  </si>
  <si>
    <t>小学</t>
    <phoneticPr fontId="2" type="noConversion"/>
  </si>
  <si>
    <t>闵行区浦江第二小学</t>
    <phoneticPr fontId="2" type="noConversion"/>
  </si>
  <si>
    <t>灯光改造设备</t>
    <phoneticPr fontId="2" type="noConversion"/>
  </si>
  <si>
    <t>中小学灯光改造设备</t>
    <phoneticPr fontId="2" type="noConversion"/>
  </si>
  <si>
    <t>小计</t>
    <phoneticPr fontId="2" type="noConversion"/>
  </si>
  <si>
    <t>中小学资源教室设备</t>
    <phoneticPr fontId="2" type="noConversion"/>
  </si>
  <si>
    <t>上海戏剧学院闵行附属学校（小学部）</t>
    <phoneticPr fontId="1" type="noConversion"/>
  </si>
  <si>
    <t>闵行区浦汇小学</t>
    <phoneticPr fontId="2" type="noConversion"/>
  </si>
  <si>
    <t>闵行区浦江汇秀小学</t>
    <phoneticPr fontId="2" type="noConversion"/>
  </si>
  <si>
    <t>初中</t>
    <phoneticPr fontId="2" type="noConversion"/>
  </si>
  <si>
    <t>闵行区浦江第二中学</t>
    <phoneticPr fontId="2" type="noConversion"/>
  </si>
  <si>
    <t>厨房设备更新</t>
    <phoneticPr fontId="2" type="noConversion"/>
  </si>
  <si>
    <t>理化实验室视频采集系统</t>
    <phoneticPr fontId="1" type="noConversion"/>
  </si>
  <si>
    <t>闵行区浦江第三中学</t>
    <phoneticPr fontId="2" type="noConversion"/>
  </si>
  <si>
    <t>多功能室空调</t>
    <phoneticPr fontId="1" type="noConversion"/>
  </si>
  <si>
    <t>多功能室5匹柜机空调</t>
    <phoneticPr fontId="1" type="noConversion"/>
  </si>
  <si>
    <t>浦航实验中学</t>
    <phoneticPr fontId="2" type="noConversion"/>
  </si>
  <si>
    <t>幼儿园</t>
    <phoneticPr fontId="1" type="noConversion"/>
  </si>
  <si>
    <t>闵行区浦江镇第二幼儿园</t>
    <phoneticPr fontId="2" type="noConversion"/>
  </si>
  <si>
    <t>公务车新能源更新</t>
    <phoneticPr fontId="1" type="noConversion"/>
  </si>
  <si>
    <t>机管局已审</t>
    <phoneticPr fontId="1" type="noConversion"/>
  </si>
  <si>
    <t>65寸交互式一体机</t>
    <phoneticPr fontId="2" type="noConversion"/>
  </si>
  <si>
    <t>幼儿专用活动室</t>
    <phoneticPr fontId="2" type="noConversion"/>
  </si>
  <si>
    <t>闵行区浦江镇第三幼儿园</t>
    <phoneticPr fontId="2" type="noConversion"/>
  </si>
  <si>
    <t>上海市闵行区浦莲幼儿园</t>
    <phoneticPr fontId="2" type="noConversion"/>
  </si>
  <si>
    <t>上海市闵行区浦江瑞和城幼儿园</t>
    <phoneticPr fontId="2" type="noConversion"/>
  </si>
  <si>
    <t>多功厅音视频设备</t>
    <phoneticPr fontId="2" type="noConversion"/>
  </si>
  <si>
    <t>镇教委</t>
    <phoneticPr fontId="2" type="noConversion"/>
  </si>
  <si>
    <t>文汇学校</t>
    <phoneticPr fontId="1" type="noConversion"/>
  </si>
  <si>
    <t>2021年闵行区颛桥镇设备专项申报明细汇总表</t>
    <phoneticPr fontId="2" type="noConversion"/>
  </si>
  <si>
    <t>颛桥镇</t>
    <phoneticPr fontId="2" type="noConversion"/>
  </si>
  <si>
    <t>闵行区田园外语实验小学</t>
    <phoneticPr fontId="2" type="noConversion"/>
  </si>
  <si>
    <t>闵行区颛桥中学</t>
    <phoneticPr fontId="2" type="noConversion"/>
  </si>
  <si>
    <t>北桥中学</t>
    <phoneticPr fontId="2" type="noConversion"/>
  </si>
  <si>
    <t>颛桥镇</t>
    <phoneticPr fontId="2" type="noConversion"/>
  </si>
  <si>
    <t>闵行区北桥中学</t>
    <phoneticPr fontId="2" type="noConversion"/>
  </si>
  <si>
    <t>九年一贯制</t>
    <phoneticPr fontId="2" type="noConversion"/>
  </si>
  <si>
    <t>上海市闵行区颛桥镇第一幼儿园</t>
    <phoneticPr fontId="2" type="noConversion"/>
  </si>
  <si>
    <t>上海市闵行区颛桥镇幼儿园</t>
    <phoneticPr fontId="2" type="noConversion"/>
  </si>
  <si>
    <t>上海师范大学闵行实验幼儿园</t>
    <phoneticPr fontId="2" type="noConversion"/>
  </si>
  <si>
    <t>批</t>
    <phoneticPr fontId="2" type="noConversion"/>
  </si>
  <si>
    <t>上海市闵行区君莲幼儿园</t>
    <phoneticPr fontId="2" type="noConversion"/>
  </si>
  <si>
    <t>餐梯</t>
    <phoneticPr fontId="2" type="noConversion"/>
  </si>
  <si>
    <t>上海市闵行区颛桥镇田园都市幼儿园</t>
    <phoneticPr fontId="2" type="noConversion"/>
  </si>
  <si>
    <t>华星小学</t>
    <phoneticPr fontId="2" type="noConversion"/>
  </si>
  <si>
    <t>银星学校</t>
    <phoneticPr fontId="2" type="noConversion"/>
  </si>
  <si>
    <t>10班规模开4班测算，申良花园幼儿园</t>
    <phoneticPr fontId="1" type="noConversion"/>
  </si>
  <si>
    <t>局统一采购</t>
    <phoneticPr fontId="1" type="noConversion"/>
  </si>
  <si>
    <t>局统一采购</t>
    <phoneticPr fontId="1" type="noConversion"/>
  </si>
  <si>
    <t>学校搬迁(原曹行中学)</t>
    <phoneticPr fontId="1" type="noConversion"/>
  </si>
  <si>
    <t>本年统筹
经费承担</t>
    <phoneticPr fontId="1" type="noConversion"/>
  </si>
  <si>
    <t>镇属</t>
    <phoneticPr fontId="2" type="noConversion"/>
  </si>
  <si>
    <t>学段</t>
    <phoneticPr fontId="2" type="noConversion"/>
  </si>
  <si>
    <t>预下达统筹
经费承担</t>
    <phoneticPr fontId="1" type="noConversion"/>
  </si>
  <si>
    <t>局统一采购</t>
    <phoneticPr fontId="1" type="noConversion"/>
  </si>
  <si>
    <t>局统一采购</t>
    <phoneticPr fontId="1" type="noConversion"/>
  </si>
  <si>
    <t>局统一采购</t>
    <phoneticPr fontId="1" type="noConversion"/>
  </si>
  <si>
    <r>
      <t>2021</t>
    </r>
    <r>
      <rPr>
        <b/>
        <sz val="12"/>
        <color theme="1"/>
        <rFont val="宋体"/>
        <family val="2"/>
        <charset val="134"/>
      </rPr>
      <t>年七宝文来（碧林湾校区）设备预算</t>
    </r>
    <phoneticPr fontId="1" type="noConversion"/>
  </si>
  <si>
    <r>
      <rPr>
        <b/>
        <sz val="9"/>
        <rFont val="宋体"/>
        <family val="2"/>
        <charset val="134"/>
      </rPr>
      <t>序号</t>
    </r>
    <phoneticPr fontId="1" type="noConversion"/>
  </si>
  <si>
    <r>
      <rPr>
        <b/>
        <sz val="9"/>
        <rFont val="宋体"/>
        <family val="2"/>
        <charset val="134"/>
      </rPr>
      <t>归属</t>
    </r>
  </si>
  <si>
    <r>
      <rPr>
        <b/>
        <sz val="9"/>
        <rFont val="宋体"/>
        <family val="3"/>
        <charset val="134"/>
      </rPr>
      <t>学校名称</t>
    </r>
  </si>
  <si>
    <r>
      <rPr>
        <b/>
        <sz val="9"/>
        <rFont val="宋体"/>
        <family val="3"/>
        <charset val="134"/>
      </rPr>
      <t>项目名称</t>
    </r>
  </si>
  <si>
    <r>
      <rPr>
        <b/>
        <sz val="9"/>
        <rFont val="宋体"/>
        <family val="3"/>
        <charset val="134"/>
      </rPr>
      <t>项目内容</t>
    </r>
  </si>
  <si>
    <r>
      <rPr>
        <b/>
        <sz val="9"/>
        <rFont val="宋体"/>
        <family val="3"/>
        <charset val="134"/>
      </rPr>
      <t>项目明细</t>
    </r>
  </si>
  <si>
    <r>
      <rPr>
        <b/>
        <sz val="9"/>
        <rFont val="宋体"/>
        <family val="3"/>
        <charset val="134"/>
      </rPr>
      <t>型号规格</t>
    </r>
  </si>
  <si>
    <r>
      <rPr>
        <b/>
        <sz val="9"/>
        <rFont val="宋体"/>
        <family val="3"/>
        <charset val="134"/>
      </rPr>
      <t>单价</t>
    </r>
  </si>
  <si>
    <r>
      <rPr>
        <b/>
        <sz val="9"/>
        <rFont val="宋体"/>
        <family val="3"/>
        <charset val="134"/>
      </rPr>
      <t>数量</t>
    </r>
  </si>
  <si>
    <r>
      <rPr>
        <b/>
        <sz val="9"/>
        <rFont val="宋体"/>
        <family val="3"/>
        <charset val="134"/>
      </rPr>
      <t>金额</t>
    </r>
    <r>
      <rPr>
        <b/>
        <sz val="9"/>
        <rFont val="Times New Roman"/>
        <family val="1"/>
      </rPr>
      <t>(</t>
    </r>
    <r>
      <rPr>
        <b/>
        <sz val="9"/>
        <rFont val="宋体"/>
        <family val="3"/>
        <charset val="134"/>
      </rPr>
      <t>元</t>
    </r>
    <r>
      <rPr>
        <b/>
        <sz val="9"/>
        <rFont val="Times New Roman"/>
        <family val="1"/>
      </rPr>
      <t>)</t>
    </r>
  </si>
  <si>
    <t>备注</t>
    <phoneticPr fontId="1" type="noConversion"/>
  </si>
  <si>
    <t>七宝镇</t>
    <phoneticPr fontId="2" type="noConversion"/>
  </si>
  <si>
    <t>设备购置</t>
    <phoneticPr fontId="1" type="noConversion"/>
  </si>
  <si>
    <t>家具设备</t>
    <phoneticPr fontId="1" type="noConversion"/>
  </si>
  <si>
    <t>教室展示板</t>
    <phoneticPr fontId="2" type="noConversion"/>
  </si>
  <si>
    <t>教师办公桌椅</t>
    <phoneticPr fontId="2" type="noConversion"/>
  </si>
  <si>
    <t>信息设备</t>
    <phoneticPr fontId="1" type="noConversion"/>
  </si>
  <si>
    <t>80'智能交互式电子白板（含计算机、短焦投影、推拉式书写板）</t>
    <phoneticPr fontId="1" type="noConversion"/>
  </si>
  <si>
    <t>教师计算机（移动终端）</t>
    <phoneticPr fontId="2" type="noConversion"/>
  </si>
  <si>
    <t>七宝镇</t>
    <phoneticPr fontId="1" type="noConversion"/>
  </si>
  <si>
    <t>七宝文来（碧林湾校区）</t>
    <phoneticPr fontId="1" type="noConversion"/>
  </si>
  <si>
    <t>A4激光打印机</t>
    <phoneticPr fontId="1" type="noConversion"/>
  </si>
  <si>
    <t>复印机</t>
    <phoneticPr fontId="1" type="noConversion"/>
  </si>
  <si>
    <t>小计</t>
    <phoneticPr fontId="1" type="noConversion"/>
  </si>
  <si>
    <r>
      <t>21</t>
    </r>
    <r>
      <rPr>
        <b/>
        <sz val="10"/>
        <rFont val="宋体"/>
        <family val="3"/>
        <charset val="134"/>
      </rPr>
      <t>班</t>
    </r>
    <phoneticPr fontId="2" type="noConversion"/>
  </si>
  <si>
    <r>
      <rPr>
        <sz val="10"/>
        <rFont val="宋体"/>
        <family val="3"/>
        <charset val="134"/>
      </rPr>
      <t>基建确认有</t>
    </r>
    <r>
      <rPr>
        <sz val="10"/>
        <rFont val="Times New Roman"/>
        <family val="1"/>
      </rPr>
      <t>380V</t>
    </r>
    <r>
      <rPr>
        <sz val="10"/>
        <rFont val="宋体"/>
        <family val="3"/>
        <charset val="134"/>
      </rPr>
      <t>电源</t>
    </r>
    <phoneticPr fontId="1" type="noConversion"/>
  </si>
  <si>
    <r>
      <t>3</t>
    </r>
    <r>
      <rPr>
        <sz val="10"/>
        <rFont val="宋体"/>
        <family val="3"/>
        <charset val="134"/>
      </rPr>
      <t>匹吸顶式</t>
    </r>
    <phoneticPr fontId="2" type="noConversion"/>
  </si>
  <si>
    <r>
      <rPr>
        <sz val="10"/>
        <rFont val="宋体"/>
        <family val="3"/>
        <charset val="134"/>
      </rPr>
      <t>基建已完成太阳能热水系统，</t>
    </r>
    <r>
      <rPr>
        <sz val="10"/>
        <rFont val="Times New Roman"/>
        <family val="1"/>
      </rPr>
      <t>1</t>
    </r>
    <r>
      <rPr>
        <sz val="10"/>
        <rFont val="宋体"/>
        <family val="3"/>
        <charset val="134"/>
      </rPr>
      <t>台供幼儿来园洗手处使用。</t>
    </r>
    <phoneticPr fontId="2" type="noConversion"/>
  </si>
  <si>
    <r>
      <rPr>
        <sz val="10"/>
        <rFont val="宋体"/>
        <family val="3"/>
        <charset val="134"/>
      </rPr>
      <t>基建确认有</t>
    </r>
    <r>
      <rPr>
        <sz val="10"/>
        <rFont val="Times New Roman"/>
        <family val="1"/>
      </rPr>
      <t>220V</t>
    </r>
    <r>
      <rPr>
        <sz val="10"/>
        <rFont val="宋体"/>
        <family val="3"/>
        <charset val="134"/>
      </rPr>
      <t>电源</t>
    </r>
    <phoneticPr fontId="1" type="noConversion"/>
  </si>
  <si>
    <r>
      <rPr>
        <sz val="10"/>
        <rFont val="宋体"/>
        <family val="3"/>
        <charset val="134"/>
      </rPr>
      <t>油烟净化设备</t>
    </r>
    <phoneticPr fontId="2" type="noConversion"/>
  </si>
  <si>
    <r>
      <rPr>
        <sz val="10"/>
        <rFont val="宋体"/>
        <family val="3"/>
        <charset val="134"/>
      </rPr>
      <t>台式一体机</t>
    </r>
  </si>
  <si>
    <r>
      <rPr>
        <sz val="10"/>
        <rFont val="宋体"/>
        <family val="3"/>
        <charset val="134"/>
      </rPr>
      <t>彩色，</t>
    </r>
    <r>
      <rPr>
        <sz val="10"/>
        <rFont val="Times New Roman"/>
        <family val="1"/>
      </rPr>
      <t>A3</t>
    </r>
    <r>
      <rPr>
        <sz val="10"/>
        <rFont val="宋体"/>
        <family val="3"/>
        <charset val="134"/>
      </rPr>
      <t>、</t>
    </r>
    <r>
      <rPr>
        <sz val="10"/>
        <rFont val="Times New Roman"/>
        <family val="1"/>
      </rPr>
      <t>A4</t>
    </r>
    <phoneticPr fontId="1" type="noConversion"/>
  </si>
  <si>
    <r>
      <t>2</t>
    </r>
    <r>
      <rPr>
        <sz val="10"/>
        <rFont val="宋体"/>
        <family val="3"/>
        <charset val="134"/>
      </rPr>
      <t>匹</t>
    </r>
  </si>
  <si>
    <r>
      <rPr>
        <sz val="10"/>
        <rFont val="宋体"/>
        <family val="3"/>
        <charset val="134"/>
      </rPr>
      <t>基建已完成</t>
    </r>
    <phoneticPr fontId="1" type="noConversion"/>
  </si>
  <si>
    <r>
      <rPr>
        <sz val="10"/>
        <rFont val="宋体"/>
        <family val="3"/>
        <charset val="134"/>
      </rPr>
      <t>油水分离设备</t>
    </r>
    <phoneticPr fontId="2" type="noConversion"/>
  </si>
  <si>
    <t>闵行区佳佳幼儿园分园装备配置明细确认单（8班规模开4班）</t>
    <phoneticPr fontId="2" type="noConversion"/>
  </si>
  <si>
    <r>
      <rPr>
        <b/>
        <sz val="10"/>
        <rFont val="宋体"/>
        <family val="3"/>
        <charset val="134"/>
      </rPr>
      <t>序号</t>
    </r>
    <phoneticPr fontId="2" type="noConversion"/>
  </si>
  <si>
    <r>
      <rPr>
        <b/>
        <sz val="10"/>
        <rFont val="宋体"/>
        <family val="3"/>
        <charset val="134"/>
      </rPr>
      <t>设备名称</t>
    </r>
    <phoneticPr fontId="2" type="noConversion"/>
  </si>
  <si>
    <r>
      <rPr>
        <b/>
        <sz val="10"/>
        <rFont val="宋体"/>
        <family val="3"/>
        <charset val="134"/>
      </rPr>
      <t>单位</t>
    </r>
    <phoneticPr fontId="2" type="noConversion"/>
  </si>
  <si>
    <r>
      <rPr>
        <b/>
        <sz val="10"/>
        <rFont val="宋体"/>
        <family val="3"/>
        <charset val="134"/>
      </rPr>
      <t>规格型号</t>
    </r>
    <phoneticPr fontId="2" type="noConversion"/>
  </si>
  <si>
    <r>
      <rPr>
        <b/>
        <sz val="10"/>
        <rFont val="宋体"/>
        <family val="3"/>
        <charset val="134"/>
      </rPr>
      <t>参考单价</t>
    </r>
    <phoneticPr fontId="2" type="noConversion"/>
  </si>
  <si>
    <r>
      <t>8</t>
    </r>
    <r>
      <rPr>
        <b/>
        <sz val="10"/>
        <rFont val="宋体"/>
        <family val="3"/>
        <charset val="134"/>
      </rPr>
      <t>班</t>
    </r>
    <phoneticPr fontId="1" type="noConversion"/>
  </si>
  <si>
    <t>备注</t>
    <phoneticPr fontId="2" type="noConversion"/>
  </si>
  <si>
    <r>
      <rPr>
        <b/>
        <sz val="10"/>
        <rFont val="宋体"/>
        <family val="3"/>
        <charset val="134"/>
      </rPr>
      <t>一</t>
    </r>
    <phoneticPr fontId="2" type="noConversion"/>
  </si>
  <si>
    <t>户外（内）活动场地</t>
    <phoneticPr fontId="2" type="noConversion"/>
  </si>
  <si>
    <t>户外中大型运动组合器械</t>
    <phoneticPr fontId="2" type="noConversion"/>
  </si>
  <si>
    <r>
      <rPr>
        <sz val="10"/>
        <rFont val="宋体"/>
        <family val="3"/>
        <charset val="134"/>
      </rPr>
      <t>批</t>
    </r>
    <phoneticPr fontId="2" type="noConversion"/>
  </si>
  <si>
    <t>参照《上海市幼儿园装备指南》征求意见配备</t>
    <phoneticPr fontId="2" type="noConversion"/>
  </si>
  <si>
    <t>户外小型单项运动器械</t>
    <phoneticPr fontId="2" type="noConversion"/>
  </si>
  <si>
    <t>户外运动玩具</t>
    <phoneticPr fontId="2" type="noConversion"/>
  </si>
  <si>
    <t>含玩沙、玩水、种植等</t>
    <phoneticPr fontId="2" type="noConversion"/>
  </si>
  <si>
    <t>户内运动器械</t>
    <phoneticPr fontId="2" type="noConversion"/>
  </si>
  <si>
    <t>幼儿室内运动室</t>
    <phoneticPr fontId="2" type="noConversion"/>
  </si>
  <si>
    <r>
      <rPr>
        <b/>
        <sz val="10"/>
        <rFont val="宋体"/>
        <family val="3"/>
        <charset val="134"/>
      </rPr>
      <t>小</t>
    </r>
    <r>
      <rPr>
        <b/>
        <sz val="10"/>
        <rFont val="Times New Roman"/>
        <family val="1"/>
      </rPr>
      <t xml:space="preserve">    </t>
    </r>
    <r>
      <rPr>
        <b/>
        <sz val="10"/>
        <rFont val="宋体"/>
        <family val="3"/>
        <charset val="134"/>
      </rPr>
      <t>计</t>
    </r>
    <phoneticPr fontId="2" type="noConversion"/>
  </si>
  <si>
    <t>二</t>
    <phoneticPr fontId="2" type="noConversion"/>
  </si>
  <si>
    <t>活动及辅助用房</t>
    <phoneticPr fontId="2" type="noConversion"/>
  </si>
  <si>
    <t>A</t>
    <phoneticPr fontId="2" type="noConversion"/>
  </si>
  <si>
    <t>幼（托）儿用房</t>
    <phoneticPr fontId="2" type="noConversion"/>
  </si>
  <si>
    <t>a</t>
    <phoneticPr fontId="2" type="noConversion"/>
  </si>
  <si>
    <t>幼（托）儿活动室（含餐厅）</t>
    <phoneticPr fontId="2" type="noConversion"/>
  </si>
  <si>
    <r>
      <rPr>
        <sz val="10"/>
        <rFont val="宋体"/>
        <family val="3"/>
        <charset val="134"/>
      </rPr>
      <t>只</t>
    </r>
    <phoneticPr fontId="2" type="noConversion"/>
  </si>
  <si>
    <r>
      <rPr>
        <sz val="10"/>
        <rFont val="宋体"/>
        <family val="3"/>
        <charset val="134"/>
      </rPr>
      <t>架</t>
    </r>
    <phoneticPr fontId="2" type="noConversion"/>
  </si>
  <si>
    <t>含琴凳、琴套、</t>
    <phoneticPr fontId="2" type="noConversion"/>
  </si>
  <si>
    <r>
      <rPr>
        <sz val="10"/>
        <rFont val="宋体"/>
        <family val="3"/>
        <charset val="134"/>
      </rPr>
      <t>书写板</t>
    </r>
    <phoneticPr fontId="2" type="noConversion"/>
  </si>
  <si>
    <r>
      <rPr>
        <sz val="10"/>
        <rFont val="宋体"/>
        <family val="3"/>
        <charset val="134"/>
      </rPr>
      <t>块</t>
    </r>
    <phoneticPr fontId="2" type="noConversion"/>
  </si>
  <si>
    <r>
      <rPr>
        <sz val="10"/>
        <rFont val="宋体"/>
        <family val="3"/>
        <charset val="134"/>
      </rPr>
      <t>或绒板、移动</t>
    </r>
    <phoneticPr fontId="2" type="noConversion"/>
  </si>
  <si>
    <t>幼儿桌椅</t>
    <phoneticPr fontId="2" type="noConversion"/>
  </si>
  <si>
    <r>
      <rPr>
        <sz val="10"/>
        <rFont val="宋体"/>
        <family val="3"/>
        <charset val="134"/>
      </rPr>
      <t>套</t>
    </r>
    <phoneticPr fontId="2" type="noConversion"/>
  </si>
  <si>
    <r>
      <rPr>
        <sz val="10"/>
        <rFont val="宋体"/>
        <family val="3"/>
        <charset val="134"/>
      </rPr>
      <t>一桌六椅、木质</t>
    </r>
    <phoneticPr fontId="2" type="noConversion"/>
  </si>
  <si>
    <r>
      <rPr>
        <sz val="10"/>
        <rFont val="宋体"/>
        <family val="3"/>
        <charset val="134"/>
      </rPr>
      <t>组</t>
    </r>
    <phoneticPr fontId="2" type="noConversion"/>
  </si>
  <si>
    <t>一组九件（含展示板）、木质、开放式可移动</t>
    <phoneticPr fontId="2" type="noConversion"/>
  </si>
  <si>
    <r>
      <rPr>
        <sz val="10"/>
        <rFont val="宋体"/>
        <family val="3"/>
        <charset val="134"/>
      </rPr>
      <t>台</t>
    </r>
    <phoneticPr fontId="2" type="noConversion"/>
  </si>
  <si>
    <t>含视频展台、电脑等</t>
    <phoneticPr fontId="2" type="noConversion"/>
  </si>
  <si>
    <t>录音机</t>
    <phoneticPr fontId="1" type="noConversion"/>
  </si>
  <si>
    <t>数码</t>
    <phoneticPr fontId="1" type="noConversion"/>
  </si>
  <si>
    <t>教玩具设备</t>
    <phoneticPr fontId="2" type="noConversion"/>
  </si>
  <si>
    <r>
      <rPr>
        <sz val="10"/>
        <rFont val="宋体"/>
        <family val="3"/>
        <charset val="134"/>
      </rPr>
      <t>套</t>
    </r>
    <phoneticPr fontId="2" type="noConversion"/>
  </si>
  <si>
    <t>含桌面玩具、角色游戏、益智玩具等</t>
    <phoneticPr fontId="2" type="noConversion"/>
  </si>
  <si>
    <t>幼儿观察记录仪</t>
    <phoneticPr fontId="2" type="noConversion"/>
  </si>
  <si>
    <r>
      <t>5</t>
    </r>
    <r>
      <rPr>
        <sz val="10"/>
        <rFont val="宋体"/>
        <family val="3"/>
        <charset val="134"/>
      </rPr>
      <t>匹吸顶式</t>
    </r>
    <phoneticPr fontId="2" type="noConversion"/>
  </si>
  <si>
    <r>
      <rPr>
        <sz val="10"/>
        <rFont val="宋体"/>
        <family val="3"/>
        <charset val="134"/>
      </rPr>
      <t>园方确认电源</t>
    </r>
    <r>
      <rPr>
        <sz val="10"/>
        <rFont val="Times New Roman"/>
        <family val="1"/>
      </rPr>
      <t>380V</t>
    </r>
    <phoneticPr fontId="1" type="noConversion"/>
  </si>
  <si>
    <t>幼儿饮水设备</t>
    <phoneticPr fontId="2" type="noConversion"/>
  </si>
  <si>
    <t>套</t>
    <phoneticPr fontId="2" type="noConversion"/>
  </si>
  <si>
    <t>保温桶、茶水柜等，应具备锁定装置、木质</t>
    <phoneticPr fontId="2" type="noConversion"/>
  </si>
  <si>
    <t>幼儿餐桌椅</t>
    <phoneticPr fontId="2" type="noConversion"/>
  </si>
  <si>
    <r>
      <rPr>
        <sz val="10"/>
        <rFont val="宋体"/>
        <family val="3"/>
        <charset val="134"/>
      </rPr>
      <t>一桌六椅、木质</t>
    </r>
    <phoneticPr fontId="2" type="noConversion"/>
  </si>
  <si>
    <r>
      <rPr>
        <b/>
        <sz val="10"/>
        <rFont val="宋体"/>
        <family val="3"/>
        <charset val="134"/>
      </rPr>
      <t>小</t>
    </r>
    <r>
      <rPr>
        <b/>
        <sz val="10"/>
        <rFont val="Times New Roman"/>
        <family val="1"/>
      </rPr>
      <t xml:space="preserve">    </t>
    </r>
    <r>
      <rPr>
        <b/>
        <sz val="10"/>
        <rFont val="宋体"/>
        <family val="3"/>
        <charset val="134"/>
      </rPr>
      <t>计</t>
    </r>
    <phoneticPr fontId="2" type="noConversion"/>
  </si>
  <si>
    <t>b</t>
    <phoneticPr fontId="2" type="noConversion"/>
  </si>
  <si>
    <t>幼（托）儿卧室</t>
    <phoneticPr fontId="2" type="noConversion"/>
  </si>
  <si>
    <t>幼儿床</t>
    <phoneticPr fontId="2" type="noConversion"/>
  </si>
  <si>
    <r>
      <rPr>
        <sz val="10"/>
        <rFont val="宋体"/>
        <family val="3"/>
        <charset val="134"/>
      </rPr>
      <t>只</t>
    </r>
    <phoneticPr fontId="2" type="noConversion"/>
  </si>
  <si>
    <t>木质、可固定或叠放收藏</t>
    <phoneticPr fontId="2" type="noConversion"/>
  </si>
  <si>
    <t>c</t>
    <phoneticPr fontId="2" type="noConversion"/>
  </si>
  <si>
    <t>幼（托）儿盥洗室</t>
    <phoneticPr fontId="2" type="noConversion"/>
  </si>
  <si>
    <r>
      <rPr>
        <sz val="10"/>
        <rFont val="宋体"/>
        <family val="3"/>
        <charset val="134"/>
      </rPr>
      <t>热水器</t>
    </r>
    <phoneticPr fontId="2" type="noConversion"/>
  </si>
  <si>
    <t>电热式，带限温装置</t>
    <phoneticPr fontId="2" type="noConversion"/>
  </si>
  <si>
    <t>d</t>
    <phoneticPr fontId="2" type="noConversion"/>
  </si>
  <si>
    <t>幼（托）儿衣帽储藏室</t>
    <phoneticPr fontId="2" type="noConversion"/>
  </si>
  <si>
    <t>幼儿衣帽橱</t>
    <phoneticPr fontId="2" type="noConversion"/>
  </si>
  <si>
    <t>组</t>
    <phoneticPr fontId="2" type="noConversion"/>
  </si>
  <si>
    <t>含教师储物柜，</t>
    <phoneticPr fontId="2" type="noConversion"/>
  </si>
  <si>
    <t>e</t>
    <phoneticPr fontId="2" type="noConversion"/>
  </si>
  <si>
    <t>洗消间</t>
    <phoneticPr fontId="2" type="noConversion"/>
  </si>
  <si>
    <r>
      <rPr>
        <sz val="10"/>
        <rFont val="宋体"/>
        <family val="3"/>
        <charset val="134"/>
      </rPr>
      <t>每园不少于</t>
    </r>
    <r>
      <rPr>
        <sz val="10"/>
        <rFont val="Times New Roman"/>
        <family val="1"/>
      </rPr>
      <t>2</t>
    </r>
    <r>
      <rPr>
        <sz val="10"/>
        <rFont val="宋体"/>
        <family val="3"/>
        <charset val="134"/>
      </rPr>
      <t>间（含传染病消毒）</t>
    </r>
    <phoneticPr fontId="2" type="noConversion"/>
  </si>
  <si>
    <t>按班级安排</t>
    <phoneticPr fontId="2" type="noConversion"/>
  </si>
  <si>
    <t>橱柜</t>
    <phoneticPr fontId="2" type="noConversion"/>
  </si>
  <si>
    <t>只</t>
    <phoneticPr fontId="2" type="noConversion"/>
  </si>
  <si>
    <t>含已消毒、未消毒</t>
    <phoneticPr fontId="2" type="noConversion"/>
  </si>
  <si>
    <t>工作台</t>
    <phoneticPr fontId="2" type="noConversion"/>
  </si>
  <si>
    <t>张</t>
    <phoneticPr fontId="2" type="noConversion"/>
  </si>
  <si>
    <t>按楼层安排</t>
    <phoneticPr fontId="2" type="noConversion"/>
  </si>
  <si>
    <t>消毒电蒸箱</t>
    <phoneticPr fontId="2" type="noConversion"/>
  </si>
  <si>
    <t>有蒸汽并带集气罩</t>
    <phoneticPr fontId="2" type="noConversion"/>
  </si>
  <si>
    <t>按楼层安排。其中1台为传染病专用消毒间使用。</t>
    <phoneticPr fontId="2" type="noConversion"/>
  </si>
  <si>
    <t>B</t>
    <phoneticPr fontId="2" type="noConversion"/>
  </si>
  <si>
    <t>多功能活动室</t>
    <phoneticPr fontId="2" type="noConversion"/>
  </si>
  <si>
    <t>兼幼儿音乐表演室</t>
    <phoneticPr fontId="2" type="noConversion"/>
  </si>
  <si>
    <t>多媒体会议演出设备</t>
    <phoneticPr fontId="2" type="noConversion"/>
  </si>
  <si>
    <r>
      <rPr>
        <sz val="10"/>
        <rFont val="宋体"/>
        <family val="3"/>
        <charset val="134"/>
      </rPr>
      <t>批</t>
    </r>
    <phoneticPr fontId="2" type="noConversion"/>
  </si>
  <si>
    <t>包括音响设备、灯光设备、显视屏</t>
    <phoneticPr fontId="2" type="noConversion"/>
  </si>
  <si>
    <t>多功能活动室桌椅</t>
    <phoneticPr fontId="2" type="noConversion"/>
  </si>
  <si>
    <t>含幼儿和成人桌椅</t>
    <phoneticPr fontId="2" type="noConversion"/>
  </si>
  <si>
    <t>钢琴</t>
    <phoneticPr fontId="2" type="noConversion"/>
  </si>
  <si>
    <r>
      <rPr>
        <sz val="10"/>
        <rFont val="宋体"/>
        <family val="3"/>
        <charset val="134"/>
      </rPr>
      <t>架</t>
    </r>
    <phoneticPr fontId="2" type="noConversion"/>
  </si>
  <si>
    <t>含琴凳、琴套</t>
    <phoneticPr fontId="2" type="noConversion"/>
  </si>
  <si>
    <t>音乐戏剧玩具</t>
    <phoneticPr fontId="2" type="noConversion"/>
  </si>
  <si>
    <t>含舞台布景与表演道具、打击乐器、木偶、表演服装等</t>
    <phoneticPr fontId="2" type="noConversion"/>
  </si>
  <si>
    <t>多功能活动室空调</t>
    <phoneticPr fontId="2" type="noConversion"/>
  </si>
  <si>
    <t>台</t>
    <phoneticPr fontId="2" type="noConversion"/>
  </si>
  <si>
    <t>C</t>
    <phoneticPr fontId="2" type="noConversion"/>
  </si>
  <si>
    <r>
      <rPr>
        <b/>
        <sz val="10"/>
        <rFont val="宋体"/>
        <family val="3"/>
        <charset val="134"/>
      </rPr>
      <t>幼儿活动专用室</t>
    </r>
    <phoneticPr fontId="2" type="noConversion"/>
  </si>
  <si>
    <t>幼儿专用活动室教玩具设备</t>
    <phoneticPr fontId="2" type="noConversion"/>
  </si>
  <si>
    <t>阅读室、科探室、美术室、结构游戏室、益智室、角色游戏</t>
    <phoneticPr fontId="2" type="noConversion"/>
  </si>
  <si>
    <t>各幼儿园自定、《上海市幼儿园专用活动室建设要求》（征求意见稿）</t>
    <phoneticPr fontId="2" type="noConversion"/>
  </si>
  <si>
    <t>幼儿图书</t>
    <phoneticPr fontId="2" type="noConversion"/>
  </si>
  <si>
    <r>
      <rPr>
        <sz val="10"/>
        <rFont val="宋体"/>
        <family val="3"/>
        <charset val="134"/>
      </rPr>
      <t>生均</t>
    </r>
    <r>
      <rPr>
        <sz val="10"/>
        <rFont val="Times New Roman"/>
        <family val="1"/>
      </rPr>
      <t>4</t>
    </r>
    <r>
      <rPr>
        <sz val="10"/>
        <rFont val="宋体"/>
        <family val="3"/>
        <charset val="134"/>
      </rPr>
      <t>册</t>
    </r>
    <r>
      <rPr>
        <sz val="10"/>
        <rFont val="Times New Roman"/>
        <family val="1"/>
      </rPr>
      <t>*30</t>
    </r>
    <r>
      <rPr>
        <sz val="10"/>
        <rFont val="宋体"/>
        <family val="3"/>
        <charset val="134"/>
      </rPr>
      <t>人</t>
    </r>
    <r>
      <rPr>
        <sz val="10"/>
        <rFont val="Times New Roman"/>
        <family val="1"/>
      </rPr>
      <t>/</t>
    </r>
    <r>
      <rPr>
        <sz val="10"/>
        <rFont val="宋体"/>
        <family val="3"/>
        <charset val="134"/>
      </rPr>
      <t>班</t>
    </r>
    <r>
      <rPr>
        <sz val="10"/>
        <rFont val="Times New Roman"/>
        <family val="1"/>
      </rPr>
      <t>*16</t>
    </r>
    <r>
      <rPr>
        <sz val="10"/>
        <rFont val="宋体"/>
        <family val="3"/>
        <charset val="134"/>
      </rPr>
      <t>元</t>
    </r>
    <r>
      <rPr>
        <sz val="10"/>
        <rFont val="Times New Roman"/>
        <family val="1"/>
      </rPr>
      <t>/</t>
    </r>
    <r>
      <rPr>
        <sz val="10"/>
        <rFont val="宋体"/>
        <family val="3"/>
        <charset val="134"/>
      </rPr>
      <t>册</t>
    </r>
    <r>
      <rPr>
        <sz val="10"/>
        <rFont val="Times New Roman"/>
        <family val="1"/>
      </rPr>
      <t>*</t>
    </r>
    <r>
      <rPr>
        <sz val="10"/>
        <rFont val="宋体"/>
        <family val="3"/>
        <charset val="134"/>
      </rPr>
      <t>班级数</t>
    </r>
    <phoneticPr fontId="2" type="noConversion"/>
  </si>
  <si>
    <t>幼儿专用活动室空调</t>
    <phoneticPr fontId="2" type="noConversion"/>
  </si>
  <si>
    <t>三</t>
    <phoneticPr fontId="2" type="noConversion"/>
  </si>
  <si>
    <t>办公及辅助用房</t>
    <phoneticPr fontId="2" type="noConversion"/>
  </si>
  <si>
    <t>A</t>
    <phoneticPr fontId="2" type="noConversion"/>
  </si>
  <si>
    <t>a</t>
    <phoneticPr fontId="2" type="noConversion"/>
  </si>
  <si>
    <r>
      <rPr>
        <sz val="10"/>
        <rFont val="宋体"/>
        <family val="3"/>
        <charset val="134"/>
      </rPr>
      <t>园长办公桌椅</t>
    </r>
    <phoneticPr fontId="2" type="noConversion"/>
  </si>
  <si>
    <t>园长办公橱</t>
    <phoneticPr fontId="2" type="noConversion"/>
  </si>
  <si>
    <t>含茶几</t>
    <phoneticPr fontId="2" type="noConversion"/>
  </si>
  <si>
    <t>园长计算机</t>
    <phoneticPr fontId="2" type="noConversion"/>
  </si>
  <si>
    <t>便携式计算机</t>
    <phoneticPr fontId="2" type="noConversion"/>
  </si>
  <si>
    <t>教师行政办公桌椅</t>
    <phoneticPr fontId="2" type="noConversion"/>
  </si>
  <si>
    <r>
      <t>3.5</t>
    </r>
    <r>
      <rPr>
        <sz val="10"/>
        <rFont val="宋体"/>
        <family val="3"/>
        <charset val="134"/>
      </rPr>
      <t>人</t>
    </r>
    <r>
      <rPr>
        <sz val="10"/>
        <rFont val="Times New Roman"/>
        <family val="1"/>
      </rPr>
      <t>*</t>
    </r>
    <r>
      <rPr>
        <sz val="10"/>
        <rFont val="宋体"/>
        <family val="3"/>
        <charset val="134"/>
      </rPr>
      <t>班级数</t>
    </r>
    <phoneticPr fontId="2" type="noConversion"/>
  </si>
  <si>
    <t>含教师、总务、财务、人事、资产管理、档案、保健、厨房、门卫等</t>
    <phoneticPr fontId="2" type="noConversion"/>
  </si>
  <si>
    <t>教师行政办公橱</t>
    <phoneticPr fontId="2" type="noConversion"/>
  </si>
  <si>
    <t>教师计算机</t>
    <phoneticPr fontId="2" type="noConversion"/>
  </si>
  <si>
    <t>行政台式计算机</t>
    <phoneticPr fontId="2" type="noConversion"/>
  </si>
  <si>
    <r>
      <rPr>
        <sz val="10"/>
        <rFont val="宋体"/>
        <family val="3"/>
        <charset val="134"/>
      </rPr>
      <t>台式一体机</t>
    </r>
    <phoneticPr fontId="2" type="noConversion"/>
  </si>
  <si>
    <t>含总务、资产管理、人事、档案、保健、门卫等</t>
    <phoneticPr fontId="2" type="noConversion"/>
  </si>
  <si>
    <r>
      <rPr>
        <sz val="10"/>
        <rFont val="宋体"/>
        <family val="3"/>
        <charset val="134"/>
      </rPr>
      <t>空调</t>
    </r>
    <phoneticPr fontId="2" type="noConversion"/>
  </si>
  <si>
    <r>
      <t>2</t>
    </r>
    <r>
      <rPr>
        <sz val="10"/>
        <rFont val="宋体"/>
        <family val="3"/>
        <charset val="134"/>
      </rPr>
      <t>匹</t>
    </r>
    <phoneticPr fontId="2" type="noConversion"/>
  </si>
  <si>
    <t>财务室</t>
    <phoneticPr fontId="2" type="noConversion"/>
  </si>
  <si>
    <t>财务台式计算机</t>
    <phoneticPr fontId="2" type="noConversion"/>
  </si>
  <si>
    <t>财务专用</t>
    <phoneticPr fontId="2" type="noConversion"/>
  </si>
  <si>
    <r>
      <rPr>
        <sz val="10"/>
        <rFont val="宋体"/>
        <family val="3"/>
        <charset val="134"/>
      </rPr>
      <t>打印机</t>
    </r>
    <phoneticPr fontId="2" type="noConversion"/>
  </si>
  <si>
    <t>保险柜</t>
    <phoneticPr fontId="2" type="noConversion"/>
  </si>
  <si>
    <t>档案室</t>
    <phoneticPr fontId="2" type="noConversion"/>
  </si>
  <si>
    <r>
      <rPr>
        <sz val="10"/>
        <rFont val="宋体"/>
        <family val="3"/>
        <charset val="134"/>
      </rPr>
      <t>档案柜</t>
    </r>
    <phoneticPr fontId="2" type="noConversion"/>
  </si>
  <si>
    <t>除湿机</t>
    <phoneticPr fontId="2" type="noConversion"/>
  </si>
  <si>
    <t>碎纸机</t>
    <phoneticPr fontId="2" type="noConversion"/>
  </si>
  <si>
    <t>档案装订工具</t>
    <phoneticPr fontId="2" type="noConversion"/>
  </si>
  <si>
    <t>含切纸刀，装订机等</t>
    <phoneticPr fontId="2" type="noConversion"/>
  </si>
  <si>
    <t>总务办公室及辅助用房</t>
    <phoneticPr fontId="2" type="noConversion"/>
  </si>
  <si>
    <r>
      <rPr>
        <sz val="10"/>
        <rFont val="宋体"/>
        <family val="3"/>
        <charset val="134"/>
      </rPr>
      <t>数码照相机</t>
    </r>
    <phoneticPr fontId="2" type="noConversion"/>
  </si>
  <si>
    <r>
      <rPr>
        <sz val="10"/>
        <rFont val="宋体"/>
        <family val="3"/>
        <charset val="134"/>
      </rPr>
      <t>单反含镜头</t>
    </r>
    <phoneticPr fontId="2" type="noConversion"/>
  </si>
  <si>
    <t>高清摄像机</t>
    <phoneticPr fontId="2" type="noConversion"/>
  </si>
  <si>
    <t>会议兼接待室</t>
    <phoneticPr fontId="2" type="noConversion"/>
  </si>
  <si>
    <r>
      <rPr>
        <sz val="10"/>
        <rFont val="宋体"/>
        <family val="3"/>
        <charset val="134"/>
      </rPr>
      <t>会议椅</t>
    </r>
    <phoneticPr fontId="2" type="noConversion"/>
  </si>
  <si>
    <r>
      <t>70</t>
    </r>
    <r>
      <rPr>
        <sz val="10"/>
        <rFont val="宋体"/>
        <family val="3"/>
        <charset val="134"/>
      </rPr>
      <t>寸交互式智能一体机</t>
    </r>
    <phoneticPr fontId="2" type="noConversion"/>
  </si>
  <si>
    <t>含电脑、移动支架等</t>
    <phoneticPr fontId="2" type="noConversion"/>
  </si>
  <si>
    <t>空调</t>
    <phoneticPr fontId="2" type="noConversion"/>
  </si>
  <si>
    <r>
      <t>5</t>
    </r>
    <r>
      <rPr>
        <sz val="10"/>
        <rFont val="宋体"/>
        <family val="3"/>
        <charset val="134"/>
      </rPr>
      <t>匹柜式</t>
    </r>
    <phoneticPr fontId="2" type="noConversion"/>
  </si>
  <si>
    <t>图书资料兼教研室</t>
    <phoneticPr fontId="2" type="noConversion"/>
  </si>
  <si>
    <t>阅览桌椅</t>
    <phoneticPr fontId="2" type="noConversion"/>
  </si>
  <si>
    <t>一桌四椅</t>
    <phoneticPr fontId="2" type="noConversion"/>
  </si>
  <si>
    <t>书橱</t>
    <phoneticPr fontId="2" type="noConversion"/>
  </si>
  <si>
    <t>个</t>
    <phoneticPr fontId="2" type="noConversion"/>
  </si>
  <si>
    <t>教学图书及报刊</t>
    <phoneticPr fontId="2" type="noConversion"/>
  </si>
  <si>
    <t>D</t>
    <phoneticPr fontId="2" type="noConversion"/>
  </si>
  <si>
    <r>
      <rPr>
        <sz val="10"/>
        <rFont val="宋体"/>
        <family val="3"/>
        <charset val="134"/>
      </rPr>
      <t>长度根据墙面实际尺寸确定</t>
    </r>
    <r>
      <rPr>
        <sz val="10"/>
        <color indexed="10"/>
        <rFont val="宋体"/>
        <family val="3"/>
        <charset val="134"/>
      </rPr>
      <t/>
    </r>
    <phoneticPr fontId="2" type="noConversion"/>
  </si>
  <si>
    <t>E</t>
    <phoneticPr fontId="2" type="noConversion"/>
  </si>
  <si>
    <t>货架</t>
    <phoneticPr fontId="2" type="noConversion"/>
  </si>
  <si>
    <t>钢制</t>
    <phoneticPr fontId="2" type="noConversion"/>
  </si>
  <si>
    <t>总务仓库</t>
    <phoneticPr fontId="2" type="noConversion"/>
  </si>
  <si>
    <t>器材橱</t>
    <phoneticPr fontId="2" type="noConversion"/>
  </si>
  <si>
    <t>F</t>
    <phoneticPr fontId="2" type="noConversion"/>
  </si>
  <si>
    <t>幼儿桌椅</t>
    <phoneticPr fontId="2" type="noConversion"/>
  </si>
  <si>
    <t>等候</t>
    <phoneticPr fontId="2" type="noConversion"/>
  </si>
  <si>
    <t>智能化晨检设备</t>
    <phoneticPr fontId="2" type="noConversion"/>
  </si>
  <si>
    <t>电脑版</t>
    <phoneticPr fontId="2" type="noConversion"/>
  </si>
  <si>
    <t>热像式筛检仪</t>
    <phoneticPr fontId="2" type="noConversion"/>
  </si>
  <si>
    <t>G</t>
    <phoneticPr fontId="2" type="noConversion"/>
  </si>
  <si>
    <t>保健室及观察室</t>
    <phoneticPr fontId="2" type="noConversion"/>
  </si>
  <si>
    <t>更衣橱</t>
    <phoneticPr fontId="2" type="noConversion"/>
  </si>
  <si>
    <r>
      <rPr>
        <sz val="10"/>
        <rFont val="宋体"/>
        <family val="3"/>
        <charset val="134"/>
      </rPr>
      <t>张</t>
    </r>
    <phoneticPr fontId="2" type="noConversion"/>
  </si>
  <si>
    <r>
      <rPr>
        <sz val="10"/>
        <rFont val="宋体"/>
        <family val="3"/>
        <charset val="134"/>
      </rPr>
      <t>木质</t>
    </r>
    <phoneticPr fontId="2" type="noConversion"/>
  </si>
  <si>
    <r>
      <rPr>
        <sz val="10"/>
        <rFont val="宋体"/>
        <family val="3"/>
        <charset val="134"/>
      </rPr>
      <t>沪教委体</t>
    </r>
    <r>
      <rPr>
        <sz val="10"/>
        <rFont val="Times New Roman"/>
        <family val="1"/>
      </rPr>
      <t>[2011]22</t>
    </r>
    <r>
      <rPr>
        <sz val="10"/>
        <rFont val="宋体"/>
        <family val="3"/>
        <charset val="134"/>
      </rPr>
      <t>号</t>
    </r>
    <phoneticPr fontId="2" type="noConversion"/>
  </si>
  <si>
    <t>H</t>
    <phoneticPr fontId="2" type="noConversion"/>
  </si>
  <si>
    <r>
      <rPr>
        <sz val="10"/>
        <rFont val="宋体"/>
        <family val="3"/>
        <charset val="134"/>
      </rPr>
      <t>校园网络设备</t>
    </r>
    <phoneticPr fontId="2" type="noConversion"/>
  </si>
  <si>
    <t>含交换器、防火墙、上网行为管理及教学软件、机柜及线缆、无线AP、电话等</t>
    <phoneticPr fontId="2" type="noConversion"/>
  </si>
  <si>
    <r>
      <rPr>
        <sz val="10"/>
        <rFont val="宋体"/>
        <family val="3"/>
        <charset val="134"/>
      </rPr>
      <t>园方已获批局信息中心申报</t>
    </r>
    <r>
      <rPr>
        <sz val="10"/>
        <rFont val="Times New Roman"/>
        <family val="1"/>
      </rPr>
      <t>2021</t>
    </r>
    <r>
      <rPr>
        <sz val="10"/>
        <rFont val="宋体"/>
        <family val="3"/>
        <charset val="134"/>
      </rPr>
      <t>年设备项目。还需教学软件</t>
    </r>
    <phoneticPr fontId="1" type="noConversion"/>
  </si>
  <si>
    <t>I</t>
    <phoneticPr fontId="2" type="noConversion"/>
  </si>
  <si>
    <t>广播控制中心</t>
    <phoneticPr fontId="2" type="noConversion"/>
  </si>
  <si>
    <t>校园智能广播设备</t>
    <phoneticPr fontId="2" type="noConversion"/>
  </si>
  <si>
    <t>J</t>
    <phoneticPr fontId="2" type="noConversion"/>
  </si>
  <si>
    <t>K</t>
    <phoneticPr fontId="2" type="noConversion"/>
  </si>
  <si>
    <t>L</t>
    <phoneticPr fontId="2" type="noConversion"/>
  </si>
  <si>
    <t>门卫值班室</t>
    <phoneticPr fontId="2" type="noConversion"/>
  </si>
  <si>
    <r>
      <rPr>
        <sz val="10"/>
        <rFont val="宋体"/>
        <family val="3"/>
        <charset val="134"/>
      </rPr>
      <t>访客系统</t>
    </r>
    <phoneticPr fontId="2" type="noConversion"/>
  </si>
  <si>
    <r>
      <rPr>
        <sz val="10"/>
        <rFont val="宋体"/>
        <family val="3"/>
        <charset val="134"/>
      </rPr>
      <t>电脑版</t>
    </r>
    <phoneticPr fontId="2" type="noConversion"/>
  </si>
  <si>
    <t>四</t>
    <phoneticPr fontId="2" type="noConversion"/>
  </si>
  <si>
    <t>生活用房</t>
    <phoneticPr fontId="2" type="noConversion"/>
  </si>
  <si>
    <t>包括通风系统、烘焙设备等</t>
    <phoneticPr fontId="2" type="noConversion"/>
  </si>
  <si>
    <t>教师餐桌椅</t>
    <phoneticPr fontId="2" type="noConversion"/>
  </si>
  <si>
    <t>批</t>
    <phoneticPr fontId="2" type="noConversion"/>
  </si>
  <si>
    <r>
      <rPr>
        <sz val="10"/>
        <rFont val="宋体"/>
        <family val="3"/>
        <charset val="134"/>
      </rPr>
      <t>餐梯</t>
    </r>
    <phoneticPr fontId="2" type="noConversion"/>
  </si>
  <si>
    <t>油烟净化设备</t>
    <phoneticPr fontId="2" type="noConversion"/>
  </si>
  <si>
    <t>油水分离设备</t>
    <phoneticPr fontId="2" type="noConversion"/>
  </si>
  <si>
    <r>
      <rPr>
        <sz val="10"/>
        <rFont val="宋体"/>
        <family val="3"/>
        <charset val="134"/>
      </rPr>
      <t>立表费</t>
    </r>
    <phoneticPr fontId="2" type="noConversion"/>
  </si>
  <si>
    <r>
      <rPr>
        <sz val="10"/>
        <rFont val="宋体"/>
        <family val="3"/>
        <charset val="134"/>
      </rPr>
      <t>煤气排管费</t>
    </r>
    <phoneticPr fontId="2" type="noConversion"/>
  </si>
  <si>
    <t>五</t>
    <phoneticPr fontId="2" type="noConversion"/>
  </si>
  <si>
    <r>
      <rPr>
        <b/>
        <sz val="10"/>
        <rFont val="宋体"/>
        <family val="3"/>
        <charset val="134"/>
      </rPr>
      <t>基础弱电及其它设备</t>
    </r>
    <phoneticPr fontId="2" type="noConversion"/>
  </si>
  <si>
    <t>校园安防系统设备</t>
    <phoneticPr fontId="2" type="noConversion"/>
  </si>
  <si>
    <t>包括校园监控、周界及入侵报警、紧急报警装置、机柜等</t>
    <phoneticPr fontId="2" type="noConversion"/>
  </si>
  <si>
    <r>
      <rPr>
        <sz val="10"/>
        <rFont val="宋体"/>
        <family val="3"/>
        <charset val="134"/>
      </rPr>
      <t>外网接入</t>
    </r>
    <phoneticPr fontId="2" type="noConversion"/>
  </si>
  <si>
    <r>
      <rPr>
        <sz val="10"/>
        <rFont val="宋体"/>
        <family val="3"/>
        <charset val="134"/>
      </rPr>
      <t>城域网</t>
    </r>
    <r>
      <rPr>
        <sz val="10"/>
        <rFont val="Times New Roman"/>
        <family val="1"/>
      </rPr>
      <t>(</t>
    </r>
    <r>
      <rPr>
        <sz val="10"/>
        <rFont val="宋体"/>
        <family val="3"/>
        <charset val="134"/>
      </rPr>
      <t>外网六蕊</t>
    </r>
    <r>
      <rPr>
        <sz val="10"/>
        <rFont val="Times New Roman"/>
        <family val="1"/>
      </rPr>
      <t>)</t>
    </r>
    <phoneticPr fontId="2" type="noConversion"/>
  </si>
  <si>
    <r>
      <rPr>
        <sz val="10"/>
        <rFont val="宋体"/>
        <family val="3"/>
        <charset val="134"/>
      </rPr>
      <t>窗帘</t>
    </r>
    <phoneticPr fontId="2" type="noConversion"/>
  </si>
  <si>
    <t>防火、环保。</t>
    <phoneticPr fontId="2" type="noConversion"/>
  </si>
  <si>
    <r>
      <rPr>
        <sz val="10"/>
        <rFont val="宋体"/>
        <family val="3"/>
        <charset val="134"/>
      </rPr>
      <t>室外</t>
    </r>
    <r>
      <rPr>
        <sz val="10"/>
        <rFont val="Times New Roman"/>
        <family val="1"/>
      </rPr>
      <t>LED</t>
    </r>
    <r>
      <rPr>
        <sz val="10"/>
        <rFont val="宋体"/>
        <family val="3"/>
        <charset val="134"/>
      </rPr>
      <t>显示屏（校门口）</t>
    </r>
    <phoneticPr fontId="2" type="noConversion"/>
  </si>
  <si>
    <t>校园文化</t>
    <phoneticPr fontId="1" type="noConversion"/>
  </si>
  <si>
    <t>批</t>
    <phoneticPr fontId="1" type="noConversion"/>
  </si>
  <si>
    <r>
      <rPr>
        <b/>
        <sz val="10"/>
        <rFont val="宋体"/>
        <family val="3"/>
        <charset val="134"/>
      </rPr>
      <t>合</t>
    </r>
    <r>
      <rPr>
        <b/>
        <sz val="10"/>
        <rFont val="Times New Roman"/>
        <family val="1"/>
      </rPr>
      <t xml:space="preserve">    </t>
    </r>
    <r>
      <rPr>
        <b/>
        <sz val="10"/>
        <rFont val="宋体"/>
        <family val="3"/>
        <charset val="134"/>
      </rPr>
      <t>计</t>
    </r>
    <phoneticPr fontId="2" type="noConversion"/>
  </si>
  <si>
    <r>
      <rPr>
        <sz val="10"/>
        <rFont val="宋体"/>
        <family val="3"/>
        <charset val="134"/>
      </rPr>
      <t>折扣系数</t>
    </r>
    <r>
      <rPr>
        <sz val="10"/>
        <rFont val="Times New Roman"/>
        <family val="1"/>
      </rPr>
      <t>0.90</t>
    </r>
    <phoneticPr fontId="1" type="noConversion"/>
  </si>
  <si>
    <r>
      <t>3.5</t>
    </r>
    <r>
      <rPr>
        <sz val="10"/>
        <rFont val="宋体"/>
        <family val="3"/>
        <charset val="134"/>
      </rPr>
      <t>人</t>
    </r>
    <r>
      <rPr>
        <sz val="10"/>
        <rFont val="Times New Roman"/>
        <family val="1"/>
      </rPr>
      <t>*</t>
    </r>
    <r>
      <rPr>
        <sz val="10"/>
        <rFont val="宋体"/>
        <family val="3"/>
        <charset val="134"/>
      </rPr>
      <t>班级数</t>
    </r>
    <phoneticPr fontId="2" type="noConversion"/>
  </si>
  <si>
    <t>含教师、总务、财务、人事、资产管理、档案、保健、厨房、门卫等</t>
    <phoneticPr fontId="2" type="noConversion"/>
  </si>
  <si>
    <t>教师行政办公橱</t>
    <phoneticPr fontId="2" type="noConversion"/>
  </si>
  <si>
    <r>
      <rPr>
        <sz val="10"/>
        <rFont val="宋体"/>
        <family val="3"/>
        <charset val="134"/>
      </rPr>
      <t>只</t>
    </r>
    <phoneticPr fontId="2" type="noConversion"/>
  </si>
  <si>
    <t>教师计算机</t>
    <phoneticPr fontId="2" type="noConversion"/>
  </si>
  <si>
    <r>
      <rPr>
        <sz val="10"/>
        <rFont val="宋体"/>
        <family val="3"/>
        <charset val="134"/>
      </rPr>
      <t>套</t>
    </r>
    <phoneticPr fontId="2" type="noConversion"/>
  </si>
  <si>
    <t>便携式计算机</t>
    <phoneticPr fontId="2" type="noConversion"/>
  </si>
  <si>
    <t>行政台式计算机</t>
    <phoneticPr fontId="2" type="noConversion"/>
  </si>
  <si>
    <r>
      <rPr>
        <sz val="10"/>
        <rFont val="宋体"/>
        <family val="3"/>
        <charset val="134"/>
      </rPr>
      <t>台式一体机</t>
    </r>
    <phoneticPr fontId="2" type="noConversion"/>
  </si>
  <si>
    <t>含总务、资产管理、人事、档案、保健、门卫等</t>
    <phoneticPr fontId="2" type="noConversion"/>
  </si>
  <si>
    <r>
      <t>A4</t>
    </r>
    <r>
      <rPr>
        <sz val="10"/>
        <rFont val="宋体"/>
        <family val="3"/>
        <charset val="134"/>
      </rPr>
      <t>激光打印机</t>
    </r>
    <phoneticPr fontId="2" type="noConversion"/>
  </si>
  <si>
    <r>
      <rPr>
        <sz val="10"/>
        <rFont val="宋体"/>
        <family val="3"/>
        <charset val="134"/>
      </rPr>
      <t>台</t>
    </r>
    <phoneticPr fontId="2" type="noConversion"/>
  </si>
  <si>
    <t>单色</t>
    <phoneticPr fontId="2" type="noConversion"/>
  </si>
  <si>
    <t>按年级组配置</t>
    <phoneticPr fontId="2" type="noConversion"/>
  </si>
  <si>
    <t>激光打印机</t>
    <phoneticPr fontId="2" type="noConversion"/>
  </si>
  <si>
    <t>彩色，A3、A4</t>
    <phoneticPr fontId="2" type="noConversion"/>
  </si>
  <si>
    <r>
      <rPr>
        <sz val="10"/>
        <rFont val="宋体"/>
        <family val="3"/>
        <charset val="134"/>
      </rPr>
      <t>空调</t>
    </r>
    <phoneticPr fontId="2" type="noConversion"/>
  </si>
  <si>
    <t>台</t>
    <phoneticPr fontId="2" type="noConversion"/>
  </si>
  <si>
    <r>
      <t>2</t>
    </r>
    <r>
      <rPr>
        <sz val="10"/>
        <rFont val="宋体"/>
        <family val="3"/>
        <charset val="134"/>
      </rPr>
      <t>匹</t>
    </r>
    <phoneticPr fontId="2" type="noConversion"/>
  </si>
  <si>
    <r>
      <rPr>
        <b/>
        <sz val="10"/>
        <rFont val="宋体"/>
        <family val="3"/>
        <charset val="134"/>
      </rPr>
      <t>小</t>
    </r>
    <r>
      <rPr>
        <b/>
        <sz val="10"/>
        <rFont val="Times New Roman"/>
        <family val="1"/>
      </rPr>
      <t xml:space="preserve">    </t>
    </r>
    <r>
      <rPr>
        <b/>
        <sz val="10"/>
        <rFont val="宋体"/>
        <family val="3"/>
        <charset val="134"/>
      </rPr>
      <t>计</t>
    </r>
    <phoneticPr fontId="2" type="noConversion"/>
  </si>
  <si>
    <t>c</t>
    <phoneticPr fontId="2" type="noConversion"/>
  </si>
  <si>
    <t>财务室</t>
    <phoneticPr fontId="2" type="noConversion"/>
  </si>
  <si>
    <t>财务台式计算机</t>
    <phoneticPr fontId="2" type="noConversion"/>
  </si>
  <si>
    <t>财务专用</t>
    <phoneticPr fontId="2" type="noConversion"/>
  </si>
  <si>
    <r>
      <rPr>
        <sz val="10"/>
        <rFont val="宋体"/>
        <family val="3"/>
        <charset val="134"/>
      </rPr>
      <t>打印机</t>
    </r>
    <phoneticPr fontId="2" type="noConversion"/>
  </si>
  <si>
    <t>保险柜</t>
    <phoneticPr fontId="2" type="noConversion"/>
  </si>
  <si>
    <t>d</t>
    <phoneticPr fontId="2" type="noConversion"/>
  </si>
  <si>
    <t>档案室</t>
    <phoneticPr fontId="2" type="noConversion"/>
  </si>
  <si>
    <r>
      <rPr>
        <sz val="10"/>
        <rFont val="宋体"/>
        <family val="3"/>
        <charset val="134"/>
      </rPr>
      <t>档案柜</t>
    </r>
    <phoneticPr fontId="2" type="noConversion"/>
  </si>
  <si>
    <t>除湿机</t>
    <phoneticPr fontId="2" type="noConversion"/>
  </si>
  <si>
    <t>碎纸机</t>
    <phoneticPr fontId="2" type="noConversion"/>
  </si>
  <si>
    <t>档案装订工具</t>
    <phoneticPr fontId="2" type="noConversion"/>
  </si>
  <si>
    <t>套</t>
    <phoneticPr fontId="2" type="noConversion"/>
  </si>
  <si>
    <t>含切纸刀，装订机等</t>
    <phoneticPr fontId="2" type="noConversion"/>
  </si>
  <si>
    <t>e</t>
    <phoneticPr fontId="2" type="noConversion"/>
  </si>
  <si>
    <t>总务办公室及辅助用房</t>
    <phoneticPr fontId="2" type="noConversion"/>
  </si>
  <si>
    <t>多功能一体机</t>
    <phoneticPr fontId="2" type="noConversion"/>
  </si>
  <si>
    <t>速印一体机</t>
    <phoneticPr fontId="2" type="noConversion"/>
  </si>
  <si>
    <r>
      <rPr>
        <sz val="10"/>
        <rFont val="宋体"/>
        <family val="3"/>
        <charset val="134"/>
      </rPr>
      <t>数码照相机</t>
    </r>
    <phoneticPr fontId="2" type="noConversion"/>
  </si>
  <si>
    <r>
      <rPr>
        <sz val="10"/>
        <rFont val="宋体"/>
        <family val="3"/>
        <charset val="134"/>
      </rPr>
      <t>单反含镜头</t>
    </r>
    <phoneticPr fontId="2" type="noConversion"/>
  </si>
  <si>
    <t>高清摄像机</t>
    <phoneticPr fontId="2" type="noConversion"/>
  </si>
  <si>
    <t>B</t>
    <phoneticPr fontId="2" type="noConversion"/>
  </si>
  <si>
    <t>会议兼接待室</t>
    <phoneticPr fontId="2" type="noConversion"/>
  </si>
  <si>
    <r>
      <rPr>
        <sz val="10"/>
        <rFont val="宋体"/>
        <family val="3"/>
        <charset val="134"/>
      </rPr>
      <t>会议椅</t>
    </r>
    <phoneticPr fontId="2" type="noConversion"/>
  </si>
  <si>
    <r>
      <t>70</t>
    </r>
    <r>
      <rPr>
        <sz val="10"/>
        <rFont val="宋体"/>
        <family val="3"/>
        <charset val="134"/>
      </rPr>
      <t>寸交互式智能一体机</t>
    </r>
    <phoneticPr fontId="2" type="noConversion"/>
  </si>
  <si>
    <t>含电脑、移动支架等</t>
    <phoneticPr fontId="2" type="noConversion"/>
  </si>
  <si>
    <t>空调</t>
    <phoneticPr fontId="2" type="noConversion"/>
  </si>
  <si>
    <r>
      <t>3</t>
    </r>
    <r>
      <rPr>
        <sz val="10"/>
        <rFont val="宋体"/>
        <family val="3"/>
        <charset val="134"/>
      </rPr>
      <t>匹</t>
    </r>
    <phoneticPr fontId="2" type="noConversion"/>
  </si>
  <si>
    <r>
      <rPr>
        <sz val="10"/>
        <rFont val="宋体"/>
        <family val="3"/>
        <charset val="134"/>
      </rPr>
      <t>基建提供</t>
    </r>
    <r>
      <rPr>
        <sz val="10"/>
        <rFont val="Times New Roman"/>
        <family val="1"/>
      </rPr>
      <t>220V</t>
    </r>
    <r>
      <rPr>
        <sz val="10"/>
        <rFont val="宋体"/>
        <family val="3"/>
        <charset val="134"/>
      </rPr>
      <t>电源</t>
    </r>
    <phoneticPr fontId="1" type="noConversion"/>
  </si>
  <si>
    <t>C</t>
    <phoneticPr fontId="2" type="noConversion"/>
  </si>
  <si>
    <t>图书资料兼教研室</t>
    <phoneticPr fontId="2" type="noConversion"/>
  </si>
  <si>
    <t>阅览桌椅</t>
    <phoneticPr fontId="2" type="noConversion"/>
  </si>
  <si>
    <t>一桌四椅</t>
    <phoneticPr fontId="2" type="noConversion"/>
  </si>
  <si>
    <t>书橱</t>
    <phoneticPr fontId="2" type="noConversion"/>
  </si>
  <si>
    <t>个</t>
    <phoneticPr fontId="2" type="noConversion"/>
  </si>
  <si>
    <t>教学图书及报刊</t>
    <phoneticPr fontId="2" type="noConversion"/>
  </si>
  <si>
    <r>
      <rPr>
        <sz val="10"/>
        <rFont val="宋体"/>
        <family val="3"/>
        <charset val="134"/>
      </rPr>
      <t>批</t>
    </r>
    <phoneticPr fontId="2" type="noConversion"/>
  </si>
  <si>
    <t>D</t>
    <phoneticPr fontId="2" type="noConversion"/>
  </si>
  <si>
    <t>组</t>
    <phoneticPr fontId="2" type="noConversion"/>
  </si>
  <si>
    <r>
      <rPr>
        <sz val="10"/>
        <rFont val="宋体"/>
        <family val="3"/>
        <charset val="134"/>
      </rPr>
      <t>长度根据墙面实际尺寸确定</t>
    </r>
    <r>
      <rPr>
        <sz val="10"/>
        <color indexed="10"/>
        <rFont val="宋体"/>
        <family val="3"/>
        <charset val="134"/>
      </rPr>
      <t/>
    </r>
    <phoneticPr fontId="2" type="noConversion"/>
  </si>
  <si>
    <t>E</t>
    <phoneticPr fontId="2" type="noConversion"/>
  </si>
  <si>
    <t>货架</t>
    <phoneticPr fontId="2" type="noConversion"/>
  </si>
  <si>
    <t>钢制</t>
    <phoneticPr fontId="2" type="noConversion"/>
  </si>
  <si>
    <t>总务仓库</t>
    <phoneticPr fontId="2" type="noConversion"/>
  </si>
  <si>
    <t>器材橱</t>
    <phoneticPr fontId="2" type="noConversion"/>
  </si>
  <si>
    <t>F</t>
    <phoneticPr fontId="2" type="noConversion"/>
  </si>
  <si>
    <t>幼儿桌椅</t>
    <phoneticPr fontId="2" type="noConversion"/>
  </si>
  <si>
    <r>
      <rPr>
        <sz val="10"/>
        <rFont val="宋体"/>
        <family val="3"/>
        <charset val="134"/>
      </rPr>
      <t>一桌六椅、木质</t>
    </r>
    <phoneticPr fontId="2" type="noConversion"/>
  </si>
  <si>
    <t>等候</t>
    <phoneticPr fontId="2" type="noConversion"/>
  </si>
  <si>
    <t>智能化晨检设备</t>
    <phoneticPr fontId="2" type="noConversion"/>
  </si>
  <si>
    <t>电脑版</t>
    <phoneticPr fontId="2" type="noConversion"/>
  </si>
  <si>
    <t>热像式筛检仪</t>
    <phoneticPr fontId="2" type="noConversion"/>
  </si>
  <si>
    <t>G</t>
    <phoneticPr fontId="2" type="noConversion"/>
  </si>
  <si>
    <t>保健室及观察室</t>
    <phoneticPr fontId="2" type="noConversion"/>
  </si>
  <si>
    <t>更衣橱</t>
    <phoneticPr fontId="2" type="noConversion"/>
  </si>
  <si>
    <t>幼儿床</t>
    <phoneticPr fontId="2" type="noConversion"/>
  </si>
  <si>
    <r>
      <rPr>
        <sz val="10"/>
        <rFont val="宋体"/>
        <family val="3"/>
        <charset val="134"/>
      </rPr>
      <t>张</t>
    </r>
    <phoneticPr fontId="2" type="noConversion"/>
  </si>
  <si>
    <r>
      <rPr>
        <sz val="10"/>
        <rFont val="宋体"/>
        <family val="3"/>
        <charset val="134"/>
      </rPr>
      <t>木质</t>
    </r>
    <phoneticPr fontId="2" type="noConversion"/>
  </si>
  <si>
    <r>
      <rPr>
        <sz val="10"/>
        <rFont val="宋体"/>
        <family val="3"/>
        <charset val="134"/>
      </rPr>
      <t>沪教委体</t>
    </r>
    <r>
      <rPr>
        <sz val="10"/>
        <rFont val="Times New Roman"/>
        <family val="1"/>
      </rPr>
      <t>[2011]22</t>
    </r>
    <r>
      <rPr>
        <sz val="10"/>
        <rFont val="宋体"/>
        <family val="3"/>
        <charset val="134"/>
      </rPr>
      <t>号</t>
    </r>
    <phoneticPr fontId="2" type="noConversion"/>
  </si>
  <si>
    <t>H</t>
    <phoneticPr fontId="2" type="noConversion"/>
  </si>
  <si>
    <r>
      <rPr>
        <sz val="10"/>
        <rFont val="宋体"/>
        <family val="3"/>
        <charset val="134"/>
      </rPr>
      <t>校园网络设备</t>
    </r>
    <phoneticPr fontId="2" type="noConversion"/>
  </si>
  <si>
    <t>含交换器、防火墙、上网行为管理及教学软件、机柜及线缆、无线AP、电话等</t>
    <phoneticPr fontId="2" type="noConversion"/>
  </si>
  <si>
    <t>基建已完成布线与桥架</t>
    <phoneticPr fontId="1" type="noConversion"/>
  </si>
  <si>
    <t>I</t>
    <phoneticPr fontId="2" type="noConversion"/>
  </si>
  <si>
    <t>广播控制中心</t>
    <phoneticPr fontId="2" type="noConversion"/>
  </si>
  <si>
    <t>校园智能广播设备</t>
    <phoneticPr fontId="2" type="noConversion"/>
  </si>
  <si>
    <t>基建已完成室内</t>
    <phoneticPr fontId="1" type="noConversion"/>
  </si>
  <si>
    <t>J</t>
    <phoneticPr fontId="2" type="noConversion"/>
  </si>
  <si>
    <t>K</t>
    <phoneticPr fontId="2" type="noConversion"/>
  </si>
  <si>
    <t>L</t>
    <phoneticPr fontId="2" type="noConversion"/>
  </si>
  <si>
    <t>门卫值班室</t>
    <phoneticPr fontId="2" type="noConversion"/>
  </si>
  <si>
    <r>
      <rPr>
        <sz val="10"/>
        <rFont val="宋体"/>
        <family val="3"/>
        <charset val="134"/>
      </rPr>
      <t>访客系统</t>
    </r>
    <phoneticPr fontId="2" type="noConversion"/>
  </si>
  <si>
    <r>
      <rPr>
        <sz val="10"/>
        <rFont val="宋体"/>
        <family val="3"/>
        <charset val="134"/>
      </rPr>
      <t>电脑版</t>
    </r>
    <phoneticPr fontId="2" type="noConversion"/>
  </si>
  <si>
    <t>四</t>
    <phoneticPr fontId="2" type="noConversion"/>
  </si>
  <si>
    <t>生活用房</t>
    <phoneticPr fontId="2" type="noConversion"/>
  </si>
  <si>
    <t>包括通风系统、烘焙设备等</t>
    <phoneticPr fontId="2" type="noConversion"/>
  </si>
  <si>
    <t>教师餐桌椅</t>
    <phoneticPr fontId="2" type="noConversion"/>
  </si>
  <si>
    <t>批</t>
    <phoneticPr fontId="2" type="noConversion"/>
  </si>
  <si>
    <t>油烟净化设备</t>
    <phoneticPr fontId="2" type="noConversion"/>
  </si>
  <si>
    <r>
      <rPr>
        <sz val="10"/>
        <rFont val="宋体"/>
        <family val="3"/>
        <charset val="134"/>
      </rPr>
      <t>立表费</t>
    </r>
    <phoneticPr fontId="2" type="noConversion"/>
  </si>
  <si>
    <r>
      <rPr>
        <sz val="10"/>
        <rFont val="宋体"/>
        <family val="3"/>
        <charset val="134"/>
      </rPr>
      <t>煤气排管费</t>
    </r>
    <phoneticPr fontId="2" type="noConversion"/>
  </si>
  <si>
    <t>五</t>
    <phoneticPr fontId="2" type="noConversion"/>
  </si>
  <si>
    <r>
      <rPr>
        <b/>
        <sz val="10"/>
        <rFont val="宋体"/>
        <family val="3"/>
        <charset val="134"/>
      </rPr>
      <t>基础弱电及其它设备</t>
    </r>
    <phoneticPr fontId="2" type="noConversion"/>
  </si>
  <si>
    <t>校园安防系统设备</t>
    <phoneticPr fontId="2" type="noConversion"/>
  </si>
  <si>
    <t>包括校园监控、周界及入侵报警、紧急报警装置、校园安防、机柜等</t>
    <phoneticPr fontId="2" type="noConversion"/>
  </si>
  <si>
    <r>
      <rPr>
        <sz val="10"/>
        <rFont val="宋体"/>
        <family val="3"/>
        <charset val="134"/>
      </rPr>
      <t>外网接入</t>
    </r>
    <phoneticPr fontId="2" type="noConversion"/>
  </si>
  <si>
    <r>
      <rPr>
        <sz val="10"/>
        <rFont val="宋体"/>
        <family val="3"/>
        <charset val="134"/>
      </rPr>
      <t>城域网</t>
    </r>
    <r>
      <rPr>
        <sz val="10"/>
        <rFont val="Times New Roman"/>
        <family val="1"/>
      </rPr>
      <t>(</t>
    </r>
    <r>
      <rPr>
        <sz val="10"/>
        <rFont val="宋体"/>
        <family val="3"/>
        <charset val="134"/>
      </rPr>
      <t>外网六蕊</t>
    </r>
    <r>
      <rPr>
        <sz val="10"/>
        <rFont val="Times New Roman"/>
        <family val="1"/>
      </rPr>
      <t>)</t>
    </r>
    <phoneticPr fontId="2" type="noConversion"/>
  </si>
  <si>
    <t>教师饮水设备</t>
    <phoneticPr fontId="2" type="noConversion"/>
  </si>
  <si>
    <t>冷热式、行政及教师用</t>
    <phoneticPr fontId="2" type="noConversion"/>
  </si>
  <si>
    <r>
      <rPr>
        <sz val="10"/>
        <rFont val="宋体"/>
        <family val="3"/>
        <charset val="134"/>
      </rPr>
      <t>窗帘</t>
    </r>
    <phoneticPr fontId="2" type="noConversion"/>
  </si>
  <si>
    <t>防火、环保。</t>
    <phoneticPr fontId="2" type="noConversion"/>
  </si>
  <si>
    <r>
      <rPr>
        <sz val="10"/>
        <rFont val="宋体"/>
        <family val="3"/>
        <charset val="134"/>
      </rPr>
      <t>室外</t>
    </r>
    <r>
      <rPr>
        <sz val="10"/>
        <rFont val="Times New Roman"/>
        <family val="1"/>
      </rPr>
      <t>LED</t>
    </r>
    <r>
      <rPr>
        <sz val="10"/>
        <rFont val="宋体"/>
        <family val="3"/>
        <charset val="134"/>
      </rPr>
      <t>显示屏（校门口）</t>
    </r>
    <phoneticPr fontId="2" type="noConversion"/>
  </si>
  <si>
    <t>校园文化</t>
    <phoneticPr fontId="1" type="noConversion"/>
  </si>
  <si>
    <t>批</t>
    <phoneticPr fontId="1" type="noConversion"/>
  </si>
  <si>
    <r>
      <rPr>
        <b/>
        <sz val="10"/>
        <rFont val="宋体"/>
        <family val="3"/>
        <charset val="134"/>
      </rPr>
      <t>合</t>
    </r>
    <r>
      <rPr>
        <b/>
        <sz val="10"/>
        <rFont val="Times New Roman"/>
        <family val="1"/>
      </rPr>
      <t xml:space="preserve">    </t>
    </r>
    <r>
      <rPr>
        <b/>
        <sz val="10"/>
        <rFont val="宋体"/>
        <family val="3"/>
        <charset val="134"/>
      </rPr>
      <t>计</t>
    </r>
    <phoneticPr fontId="2" type="noConversion"/>
  </si>
  <si>
    <r>
      <rPr>
        <sz val="10"/>
        <rFont val="宋体"/>
        <family val="3"/>
        <charset val="134"/>
      </rPr>
      <t>折扣系数</t>
    </r>
    <r>
      <rPr>
        <sz val="10"/>
        <rFont val="Times New Roman"/>
        <family val="1"/>
      </rPr>
      <t>0.90</t>
    </r>
    <phoneticPr fontId="1" type="noConversion"/>
  </si>
  <si>
    <t>物理吊装实验室设备</t>
    <phoneticPr fontId="2" type="noConversion"/>
  </si>
  <si>
    <t>批</t>
    <phoneticPr fontId="2" type="noConversion"/>
  </si>
  <si>
    <t>一批</t>
    <phoneticPr fontId="2" type="noConversion"/>
  </si>
  <si>
    <t>o</t>
    <phoneticPr fontId="2" type="noConversion"/>
  </si>
  <si>
    <t>3P</t>
    <phoneticPr fontId="2" type="noConversion"/>
  </si>
  <si>
    <t>化学实验室(含实验员室、仪器准备室、药品室)</t>
    <phoneticPr fontId="2" type="noConversion"/>
  </si>
  <si>
    <t>a</t>
    <phoneticPr fontId="2" type="noConversion"/>
  </si>
  <si>
    <t>电视机</t>
    <phoneticPr fontId="2" type="noConversion"/>
  </si>
  <si>
    <t>台</t>
    <phoneticPr fontId="2" type="noConversion"/>
  </si>
  <si>
    <t>交互式智能一体机70寸含推拉式书写板</t>
    <phoneticPr fontId="2" type="noConversion"/>
  </si>
  <si>
    <t>b</t>
    <phoneticPr fontId="2" type="noConversion"/>
  </si>
  <si>
    <t>化学吊装实验室设备</t>
    <phoneticPr fontId="2" type="noConversion"/>
  </si>
  <si>
    <t>小计</t>
    <phoneticPr fontId="2" type="noConversion"/>
  </si>
  <si>
    <t>生命科学实验室(含仪器准备室、标本室)</t>
    <phoneticPr fontId="2" type="noConversion"/>
  </si>
  <si>
    <t>间</t>
    <phoneticPr fontId="2" type="noConversion"/>
  </si>
  <si>
    <t>生物吊装实验室设备</t>
    <phoneticPr fontId="2" type="noConversion"/>
  </si>
  <si>
    <t>科学实验室(含仪器准备室)</t>
    <phoneticPr fontId="2" type="noConversion"/>
  </si>
  <si>
    <t>演示台</t>
    <phoneticPr fontId="2" type="noConversion"/>
  </si>
  <si>
    <t>d</t>
    <phoneticPr fontId="2" type="noConversion"/>
  </si>
  <si>
    <t>实验桌椅</t>
    <phoneticPr fontId="2" type="noConversion"/>
  </si>
  <si>
    <t>套</t>
    <phoneticPr fontId="2" type="noConversion"/>
  </si>
  <si>
    <t>1桌4椅</t>
    <phoneticPr fontId="2" type="noConversion"/>
  </si>
  <si>
    <t>f</t>
    <phoneticPr fontId="2" type="noConversion"/>
  </si>
  <si>
    <t>陈列橱</t>
    <phoneticPr fontId="2" type="noConversion"/>
  </si>
  <si>
    <t>g</t>
    <phoneticPr fontId="2" type="noConversion"/>
  </si>
  <si>
    <t>仪器橱</t>
    <phoneticPr fontId="2" type="noConversion"/>
  </si>
  <si>
    <t>7500*500*2600搁板位置可调节</t>
    <phoneticPr fontId="2" type="noConversion"/>
  </si>
  <si>
    <t>h</t>
    <phoneticPr fontId="2" type="noConversion"/>
  </si>
  <si>
    <t>文件柜</t>
    <phoneticPr fontId="2" type="noConversion"/>
  </si>
  <si>
    <t>1050*500*2100</t>
    <phoneticPr fontId="2" type="noConversion"/>
  </si>
  <si>
    <t>i</t>
    <phoneticPr fontId="2" type="noConversion"/>
  </si>
  <si>
    <t>试剂橱</t>
    <phoneticPr fontId="2" type="noConversion"/>
  </si>
  <si>
    <t>800*400*2100</t>
    <phoneticPr fontId="2" type="noConversion"/>
  </si>
  <si>
    <t>k</t>
    <phoneticPr fontId="2" type="noConversion"/>
  </si>
  <si>
    <t>音乐教室（含合唱、乐器和办公室）</t>
    <phoneticPr fontId="2" type="noConversion"/>
  </si>
  <si>
    <t>讲课台</t>
    <phoneticPr fontId="2" type="noConversion"/>
  </si>
  <si>
    <t>只</t>
    <phoneticPr fontId="2" type="noConversion"/>
  </si>
  <si>
    <t>形体教室（含更衣装备室）</t>
    <phoneticPr fontId="2" type="noConversion"/>
  </si>
  <si>
    <t>器材橱</t>
    <phoneticPr fontId="2" type="noConversion"/>
  </si>
  <si>
    <t>1200*600*2400</t>
    <phoneticPr fontId="2" type="noConversion"/>
  </si>
  <si>
    <t>j</t>
    <phoneticPr fontId="2" type="noConversion"/>
  </si>
  <si>
    <t>美术教室（含教具和办公室）</t>
    <phoneticPr fontId="2" type="noConversion"/>
  </si>
  <si>
    <t>讲台</t>
    <phoneticPr fontId="2" type="noConversion"/>
  </si>
  <si>
    <t>写生桌椅</t>
    <phoneticPr fontId="2" type="noConversion"/>
  </si>
  <si>
    <t>书写、显示、交互一体</t>
    <phoneticPr fontId="2" type="noConversion"/>
  </si>
  <si>
    <t>e</t>
    <phoneticPr fontId="2" type="noConversion"/>
  </si>
  <si>
    <t>可折叠，一面适合磁性材料吸附，一面软木，带轮子</t>
    <phoneticPr fontId="2" type="noConversion"/>
  </si>
  <si>
    <t>美术器材橱</t>
    <phoneticPr fontId="2" type="noConversion"/>
  </si>
  <si>
    <t>台面设置描图拷贝箱，两侧装电源插座</t>
    <phoneticPr fontId="2" type="noConversion"/>
  </si>
  <si>
    <t>书法讲桌椅</t>
    <phoneticPr fontId="2" type="noConversion"/>
  </si>
  <si>
    <t>书法桌凳</t>
    <phoneticPr fontId="2" type="noConversion"/>
  </si>
  <si>
    <t>1400*600*730（一桌二凳）</t>
    <phoneticPr fontId="2" type="noConversion"/>
  </si>
  <si>
    <t>活动展示板</t>
    <phoneticPr fontId="2" type="noConversion"/>
  </si>
  <si>
    <t>1200*600*2400搁板位置可调节</t>
    <phoneticPr fontId="2" type="noConversion"/>
  </si>
  <si>
    <t>历史教室</t>
    <phoneticPr fontId="2" type="noConversion"/>
  </si>
  <si>
    <t xml:space="preserve">讲桌 </t>
    <phoneticPr fontId="2" type="noConversion"/>
  </si>
  <si>
    <t>学生桌椅</t>
    <phoneticPr fontId="2" type="noConversion"/>
  </si>
  <si>
    <t>地理教室</t>
    <phoneticPr fontId="2" type="noConversion"/>
  </si>
  <si>
    <t>有照明</t>
    <phoneticPr fontId="2" type="noConversion"/>
  </si>
  <si>
    <t>计算机教室及机房控制室</t>
    <phoneticPr fontId="2" type="noConversion"/>
  </si>
  <si>
    <t>教师控制台</t>
    <phoneticPr fontId="2" type="noConversion"/>
  </si>
  <si>
    <t>张</t>
    <phoneticPr fontId="2" type="noConversion"/>
  </si>
  <si>
    <t>c</t>
    <phoneticPr fontId="1" type="noConversion"/>
  </si>
  <si>
    <t>计算机桌椅</t>
    <phoneticPr fontId="1" type="noConversion"/>
  </si>
  <si>
    <t>座</t>
    <phoneticPr fontId="2" type="noConversion"/>
  </si>
  <si>
    <t>可组合</t>
    <phoneticPr fontId="2" type="noConversion"/>
  </si>
  <si>
    <t>d</t>
    <phoneticPr fontId="1" type="noConversion"/>
  </si>
  <si>
    <t>劳动技术教室（含教具室）</t>
    <phoneticPr fontId="2" type="noConversion"/>
  </si>
  <si>
    <t>配电源插座，可放置多媒体设备</t>
    <phoneticPr fontId="2" type="noConversion"/>
  </si>
  <si>
    <t>实验台椅</t>
    <phoneticPr fontId="2" type="noConversion"/>
  </si>
  <si>
    <t>准备台</t>
    <phoneticPr fontId="2" type="noConversion"/>
  </si>
  <si>
    <t>矮柜，上面抽屉下面橱门</t>
    <phoneticPr fontId="2" type="noConversion"/>
  </si>
  <si>
    <t>三</t>
    <phoneticPr fontId="2" type="noConversion"/>
  </si>
  <si>
    <t>多功能教室（兼学生剧场）</t>
    <phoneticPr fontId="2" type="noConversion"/>
  </si>
  <si>
    <t>主席台</t>
    <phoneticPr fontId="2" type="noConversion"/>
  </si>
  <si>
    <t xml:space="preserve">前排桌 </t>
    <phoneticPr fontId="2" type="noConversion"/>
  </si>
  <si>
    <t>c</t>
    <phoneticPr fontId="2" type="noConversion"/>
  </si>
  <si>
    <t>剧场椅</t>
    <phoneticPr fontId="2" type="noConversion"/>
  </si>
  <si>
    <t>云录播教室</t>
    <phoneticPr fontId="2" type="noConversion"/>
  </si>
  <si>
    <t>含高清摄像机、定位跟踪系统、音频系统、资源管理平台等</t>
    <phoneticPr fontId="2" type="noConversion"/>
  </si>
  <si>
    <t>图书馆</t>
    <phoneticPr fontId="2" type="noConversion"/>
  </si>
  <si>
    <t>开放式图书馆家具设备</t>
    <phoneticPr fontId="2" type="noConversion"/>
  </si>
  <si>
    <t>含书架、矮书柜、书橱、阅览桌椅等家具一批</t>
    <phoneticPr fontId="2" type="noConversion"/>
  </si>
  <si>
    <t>图书自助借阅设备</t>
    <phoneticPr fontId="2" type="noConversion"/>
  </si>
  <si>
    <t>含2台图书自助借阅机、25000张贴书芯片、1台导读机、10000张定位标签、1把定位枪、1台笔记本、1辆推车、250张借阅证。</t>
    <phoneticPr fontId="2" type="noConversion"/>
  </si>
  <si>
    <t>数字阅览</t>
    <phoneticPr fontId="2" type="noConversion"/>
  </si>
  <si>
    <t>含播出、扩音、显示设备，并支持互动</t>
    <phoneticPr fontId="2" type="noConversion"/>
  </si>
  <si>
    <t>心理咨询室（心理辅导室）</t>
    <phoneticPr fontId="2" type="noConversion"/>
  </si>
  <si>
    <t>组</t>
    <phoneticPr fontId="2" type="noConversion"/>
  </si>
  <si>
    <t>一组6人</t>
    <phoneticPr fontId="2" type="noConversion"/>
  </si>
  <si>
    <t>体育馆（体育教师办公室）</t>
    <phoneticPr fontId="2" type="noConversion"/>
  </si>
  <si>
    <t>1800*400*1200</t>
    <phoneticPr fontId="2" type="noConversion"/>
  </si>
  <si>
    <t>体育器材室</t>
    <phoneticPr fontId="2" type="noConversion"/>
  </si>
  <si>
    <t>四</t>
    <phoneticPr fontId="2" type="noConversion"/>
  </si>
  <si>
    <t>办公及生活用房</t>
    <phoneticPr fontId="2" type="noConversion"/>
  </si>
  <si>
    <t>教职工办公室</t>
    <phoneticPr fontId="2" type="noConversion"/>
  </si>
  <si>
    <t>办公橱</t>
    <phoneticPr fontId="2" type="noConversion"/>
  </si>
  <si>
    <t>空调</t>
    <phoneticPr fontId="2" type="noConversion"/>
  </si>
  <si>
    <t>行政办公室</t>
    <phoneticPr fontId="2" type="noConversion"/>
  </si>
  <si>
    <t>校长、</t>
    <phoneticPr fontId="2" type="noConversion"/>
  </si>
  <si>
    <t>办公桌椅橱柜沙发及其他</t>
    <phoneticPr fontId="2" type="noConversion"/>
  </si>
  <si>
    <t>书记</t>
    <phoneticPr fontId="2" type="noConversion"/>
  </si>
  <si>
    <t>沙发</t>
    <phoneticPr fontId="2" type="noConversion"/>
  </si>
  <si>
    <t>行政</t>
    <phoneticPr fontId="2" type="noConversion"/>
  </si>
  <si>
    <t>e</t>
    <phoneticPr fontId="2" type="noConversion"/>
  </si>
  <si>
    <t>个</t>
    <phoneticPr fontId="2" type="noConversion"/>
  </si>
  <si>
    <t>工会活动室</t>
    <phoneticPr fontId="2" type="noConversion"/>
  </si>
  <si>
    <t>间</t>
    <phoneticPr fontId="2" type="noConversion"/>
  </si>
  <si>
    <t>a</t>
    <phoneticPr fontId="2" type="noConversion"/>
  </si>
  <si>
    <t>b</t>
    <phoneticPr fontId="2" type="noConversion"/>
  </si>
  <si>
    <t>会议条桌</t>
    <phoneticPr fontId="2" type="noConversion"/>
  </si>
  <si>
    <t>c</t>
    <phoneticPr fontId="2" type="noConversion"/>
  </si>
  <si>
    <t>f</t>
    <phoneticPr fontId="2" type="noConversion"/>
  </si>
  <si>
    <t>3P</t>
    <phoneticPr fontId="2" type="noConversion"/>
  </si>
  <si>
    <t>团队活动室</t>
    <phoneticPr fontId="2" type="noConversion"/>
  </si>
  <si>
    <t>d</t>
    <phoneticPr fontId="2" type="noConversion"/>
  </si>
  <si>
    <t>组</t>
    <phoneticPr fontId="2" type="noConversion"/>
  </si>
  <si>
    <t>会议室多媒体设备</t>
    <phoneticPr fontId="2" type="noConversion"/>
  </si>
  <si>
    <t>卫生保健室</t>
    <phoneticPr fontId="2" type="noConversion"/>
  </si>
  <si>
    <t>工作台</t>
    <phoneticPr fontId="2" type="noConversion"/>
  </si>
  <si>
    <t>药品柜</t>
    <phoneticPr fontId="2" type="noConversion"/>
  </si>
  <si>
    <t>g</t>
    <phoneticPr fontId="2" type="noConversion"/>
  </si>
  <si>
    <t>门卫值班室</t>
    <phoneticPr fontId="2" type="noConversion"/>
  </si>
  <si>
    <t>更衣橱</t>
    <phoneticPr fontId="2" type="noConversion"/>
  </si>
  <si>
    <t>套</t>
    <phoneticPr fontId="2" type="noConversion"/>
  </si>
  <si>
    <t>1桌8椅</t>
    <phoneticPr fontId="2" type="noConversion"/>
  </si>
  <si>
    <t>教师餐桌椅</t>
    <phoneticPr fontId="2" type="noConversion"/>
  </si>
  <si>
    <t>1桌4椅</t>
    <phoneticPr fontId="2" type="noConversion"/>
  </si>
  <si>
    <t>h</t>
    <phoneticPr fontId="2" type="noConversion"/>
  </si>
  <si>
    <t>油烟分离器</t>
    <phoneticPr fontId="2" type="noConversion"/>
  </si>
  <si>
    <t>i</t>
    <phoneticPr fontId="2" type="noConversion"/>
  </si>
  <si>
    <t>厨房设备</t>
    <phoneticPr fontId="2" type="noConversion"/>
  </si>
  <si>
    <t>批</t>
    <phoneticPr fontId="2" type="noConversion"/>
  </si>
  <si>
    <t>k</t>
    <phoneticPr fontId="2" type="noConversion"/>
  </si>
  <si>
    <t>项</t>
    <phoneticPr fontId="2" type="noConversion"/>
  </si>
  <si>
    <t>l</t>
    <phoneticPr fontId="2" type="noConversion"/>
  </si>
  <si>
    <t>六</t>
    <phoneticPr fontId="2" type="noConversion"/>
  </si>
  <si>
    <t>直饮饮用水设备</t>
    <phoneticPr fontId="2" type="noConversion"/>
  </si>
  <si>
    <t>安装调试搬迁费</t>
    <phoneticPr fontId="2" type="noConversion"/>
  </si>
  <si>
    <r>
      <rPr>
        <sz val="10"/>
        <rFont val="宋体"/>
        <family val="3"/>
        <charset val="134"/>
      </rPr>
      <t>折扣系数</t>
    </r>
    <r>
      <rPr>
        <sz val="10"/>
        <rFont val="Times New Roman"/>
        <family val="1"/>
      </rPr>
      <t>0.90</t>
    </r>
    <phoneticPr fontId="1" type="noConversion"/>
  </si>
  <si>
    <r>
      <rPr>
        <b/>
        <sz val="14"/>
        <rFont val="宋体"/>
        <family val="3"/>
        <charset val="134"/>
      </rPr>
      <t>闵行区七宝春欣幼儿园分园装备配置明细确认单（</t>
    </r>
    <r>
      <rPr>
        <b/>
        <sz val="14"/>
        <rFont val="Times New Roman"/>
        <family val="1"/>
      </rPr>
      <t>21</t>
    </r>
    <r>
      <rPr>
        <b/>
        <sz val="14"/>
        <rFont val="宋体"/>
        <family val="3"/>
        <charset val="134"/>
      </rPr>
      <t>班规模开</t>
    </r>
    <r>
      <rPr>
        <b/>
        <sz val="14"/>
        <rFont val="Times New Roman"/>
        <family val="1"/>
      </rPr>
      <t>4</t>
    </r>
    <r>
      <rPr>
        <b/>
        <sz val="14"/>
        <rFont val="宋体"/>
        <family val="3"/>
        <charset val="134"/>
      </rPr>
      <t>班）</t>
    </r>
    <phoneticPr fontId="2" type="noConversion"/>
  </si>
  <si>
    <r>
      <rPr>
        <sz val="10"/>
        <rFont val="宋体"/>
        <family val="3"/>
        <charset val="134"/>
      </rPr>
      <t>录音机</t>
    </r>
    <phoneticPr fontId="1" type="noConversion"/>
  </si>
  <si>
    <r>
      <rPr>
        <sz val="10"/>
        <rFont val="宋体"/>
        <family val="3"/>
        <charset val="134"/>
      </rPr>
      <t>数码</t>
    </r>
    <phoneticPr fontId="1" type="noConversion"/>
  </si>
  <si>
    <r>
      <rPr>
        <sz val="10"/>
        <rFont val="宋体"/>
        <family val="3"/>
        <charset val="134"/>
      </rPr>
      <t>有蒸汽并带集气罩</t>
    </r>
    <phoneticPr fontId="2" type="noConversion"/>
  </si>
  <si>
    <r>
      <t>4</t>
    </r>
    <r>
      <rPr>
        <sz val="10"/>
        <rFont val="宋体"/>
        <family val="3"/>
        <charset val="134"/>
      </rPr>
      <t>台台式计算机，</t>
    </r>
    <r>
      <rPr>
        <sz val="10"/>
        <rFont val="Times New Roman"/>
        <family val="1"/>
      </rPr>
      <t>4</t>
    </r>
    <r>
      <rPr>
        <sz val="10"/>
        <rFont val="宋体"/>
        <family val="3"/>
        <charset val="134"/>
      </rPr>
      <t>台便携式计算机</t>
    </r>
    <phoneticPr fontId="1" type="noConversion"/>
  </si>
  <si>
    <r>
      <rPr>
        <sz val="10"/>
        <rFont val="宋体"/>
        <family val="3"/>
        <charset val="134"/>
      </rPr>
      <t>基建已完成，园方还需教学软件</t>
    </r>
    <phoneticPr fontId="1" type="noConversion"/>
  </si>
  <si>
    <r>
      <rPr>
        <b/>
        <sz val="14"/>
        <rFont val="宋体"/>
        <family val="3"/>
        <charset val="134"/>
      </rPr>
      <t>上海市闵行区七宝明强幼儿园装备配置明细确认单（</t>
    </r>
    <r>
      <rPr>
        <b/>
        <sz val="14"/>
        <rFont val="Times New Roman"/>
        <family val="1"/>
      </rPr>
      <t>15</t>
    </r>
    <r>
      <rPr>
        <b/>
        <sz val="14"/>
        <rFont val="宋体"/>
        <family val="3"/>
        <charset val="134"/>
      </rPr>
      <t>班规模开</t>
    </r>
    <r>
      <rPr>
        <b/>
        <sz val="14"/>
        <rFont val="Times New Roman"/>
        <family val="1"/>
      </rPr>
      <t>5</t>
    </r>
    <r>
      <rPr>
        <b/>
        <sz val="14"/>
        <rFont val="宋体"/>
        <family val="3"/>
        <charset val="134"/>
      </rPr>
      <t>班）</t>
    </r>
    <phoneticPr fontId="2" type="noConversion"/>
  </si>
  <si>
    <r>
      <rPr>
        <sz val="10"/>
        <rFont val="宋体"/>
        <family val="3"/>
        <charset val="134"/>
      </rPr>
      <t>智能小音响</t>
    </r>
    <phoneticPr fontId="1" type="noConversion"/>
  </si>
  <si>
    <r>
      <t>5</t>
    </r>
    <r>
      <rPr>
        <sz val="10"/>
        <rFont val="宋体"/>
        <family val="3"/>
        <charset val="134"/>
      </rPr>
      <t>台台式计算机、</t>
    </r>
    <r>
      <rPr>
        <sz val="10"/>
        <rFont val="Times New Roman"/>
        <family val="1"/>
      </rPr>
      <t>5</t>
    </r>
    <r>
      <rPr>
        <sz val="10"/>
        <rFont val="宋体"/>
        <family val="3"/>
        <charset val="134"/>
      </rPr>
      <t>台便携式计算机</t>
    </r>
    <phoneticPr fontId="1" type="noConversion"/>
  </si>
  <si>
    <r>
      <rPr>
        <sz val="10"/>
        <rFont val="宋体"/>
        <family val="3"/>
        <charset val="134"/>
      </rPr>
      <t>门卫室、水果间、备餐间</t>
    </r>
  </si>
  <si>
    <t>2021年专项申报明细表（教育学院）</t>
    <phoneticPr fontId="2" type="noConversion"/>
  </si>
  <si>
    <t>七宝二中</t>
    <phoneticPr fontId="1" type="noConversion"/>
  </si>
  <si>
    <t>闵行区中小学心理健康发展分中心</t>
    <phoneticPr fontId="1" type="noConversion"/>
  </si>
  <si>
    <t>补2020年尾款（元）</t>
    <phoneticPr fontId="1" type="noConversion"/>
  </si>
  <si>
    <t>局部修缮</t>
    <phoneticPr fontId="2" type="noConversion"/>
  </si>
  <si>
    <t>马桥</t>
    <phoneticPr fontId="2" type="noConversion"/>
  </si>
  <si>
    <t>马桥实验幼儿园</t>
    <phoneticPr fontId="2" type="noConversion"/>
  </si>
  <si>
    <t>孙文艳/15000967158</t>
    <phoneticPr fontId="2" type="noConversion"/>
  </si>
  <si>
    <t>银春路1800弄150号</t>
    <phoneticPr fontId="2" type="noConversion"/>
  </si>
  <si>
    <t>幼儿园</t>
    <phoneticPr fontId="2" type="noConversion"/>
  </si>
  <si>
    <t>上海市闵行区上虹中学</t>
  </si>
  <si>
    <t>周波  13621825579</t>
  </si>
  <si>
    <t>环镇南路110号</t>
  </si>
  <si>
    <t>梅陇</t>
    <phoneticPr fontId="1" type="noConversion"/>
  </si>
  <si>
    <t>上海中医药大学附属闵行蔷薇小学（春申校区）</t>
  </si>
  <si>
    <t>王锤毅/18017105031</t>
  </si>
  <si>
    <t>春申路1581弄5号</t>
  </si>
  <si>
    <t>2021年镇管学校新增校舍修缮专项投资计划细化表</t>
    <phoneticPr fontId="2" type="noConversion"/>
  </si>
  <si>
    <t>7.8折</t>
    <phoneticPr fontId="2" type="noConversion"/>
  </si>
  <si>
    <t>浦江</t>
    <phoneticPr fontId="2" type="noConversion"/>
  </si>
  <si>
    <t>上海市闵行区浦航实验中学</t>
    <phoneticPr fontId="2" type="noConversion"/>
  </si>
  <si>
    <t>江航南路1051号</t>
    <phoneticPr fontId="2" type="noConversion"/>
  </si>
  <si>
    <t>外墙面修补（局部修补）</t>
    <phoneticPr fontId="2" type="noConversion"/>
  </si>
  <si>
    <t>m²</t>
  </si>
  <si>
    <t>收缩缝不锈钢盖板</t>
    <phoneticPr fontId="2" type="noConversion"/>
  </si>
  <si>
    <t>星空馆开凿检修口</t>
    <phoneticPr fontId="2" type="noConversion"/>
  </si>
  <si>
    <t>小办公室墙面</t>
  </si>
  <si>
    <t>二类费用(按10%计）</t>
    <phoneticPr fontId="2" type="noConversion"/>
  </si>
  <si>
    <t>不可预见费(按5%计）</t>
    <phoneticPr fontId="2" type="noConversion"/>
  </si>
  <si>
    <t>谈家港口03-04地块幼儿园</t>
    <phoneticPr fontId="2" type="noConversion"/>
  </si>
  <si>
    <t>联恒路71号</t>
    <phoneticPr fontId="2" type="noConversion"/>
  </si>
  <si>
    <t>室外</t>
    <phoneticPr fontId="2" type="noConversion"/>
  </si>
  <si>
    <t>15厚EPDM活动场地</t>
    <phoneticPr fontId="2" type="noConversion"/>
  </si>
  <si>
    <t>玩沙池新建防腐木</t>
    <phoneticPr fontId="2" type="noConversion"/>
  </si>
  <si>
    <t>消防水箱平台封窗</t>
    <phoneticPr fontId="2" type="noConversion"/>
  </si>
  <si>
    <t>厨房</t>
    <phoneticPr fontId="2" type="noConversion"/>
  </si>
  <si>
    <t>备餐间隔墙</t>
    <phoneticPr fontId="2" type="noConversion"/>
  </si>
  <si>
    <t>备餐间传递窗口</t>
    <phoneticPr fontId="2" type="noConversion"/>
  </si>
  <si>
    <t>项</t>
    <phoneticPr fontId="2" type="noConversion"/>
  </si>
  <si>
    <t>点心间电气工程</t>
    <phoneticPr fontId="2" type="noConversion"/>
  </si>
  <si>
    <t>新增点心间</t>
    <phoneticPr fontId="2" type="noConversion"/>
  </si>
  <si>
    <t>二类费用(按10%计）</t>
    <phoneticPr fontId="2" type="noConversion"/>
  </si>
  <si>
    <t>不可预见费(按5%计）</t>
    <phoneticPr fontId="2" type="noConversion"/>
  </si>
  <si>
    <t>场地检测费</t>
    <phoneticPr fontId="2" type="noConversion"/>
  </si>
  <si>
    <t>合计</t>
    <phoneticPr fontId="2" type="noConversion"/>
  </si>
  <si>
    <t>马桥</t>
    <phoneticPr fontId="2" type="noConversion"/>
  </si>
  <si>
    <t>马桥启英幼儿园</t>
    <phoneticPr fontId="2" type="noConversion"/>
  </si>
  <si>
    <t>富卓路320号</t>
    <phoneticPr fontId="2" type="noConversion"/>
  </si>
  <si>
    <t>教学楼</t>
    <phoneticPr fontId="2" type="noConversion"/>
  </si>
  <si>
    <t>幼儿园厕所局部修缮</t>
    <phoneticPr fontId="2" type="noConversion"/>
  </si>
  <si>
    <t>间</t>
    <phoneticPr fontId="2" type="noConversion"/>
  </si>
  <si>
    <t>马桥文来外国语小学分校</t>
    <phoneticPr fontId="2" type="noConversion"/>
  </si>
  <si>
    <t>富杰路296号</t>
    <phoneticPr fontId="2" type="noConversion"/>
  </si>
  <si>
    <t>教学楼</t>
    <phoneticPr fontId="2" type="noConversion"/>
  </si>
  <si>
    <t>2#楼实验室改造</t>
  </si>
  <si>
    <t>2号楼3号楼</t>
    <phoneticPr fontId="2" type="noConversion"/>
  </si>
  <si>
    <r>
      <t>二类费用(按10</t>
    </r>
    <r>
      <rPr>
        <sz val="11"/>
        <color indexed="8"/>
        <rFont val="宋体"/>
        <family val="3"/>
        <charset val="134"/>
      </rPr>
      <t>%计）</t>
    </r>
    <phoneticPr fontId="2" type="noConversion"/>
  </si>
  <si>
    <t>不可预见费(按5%计）</t>
    <phoneticPr fontId="2" type="noConversion"/>
  </si>
  <si>
    <t>合计</t>
    <phoneticPr fontId="2" type="noConversion"/>
  </si>
  <si>
    <t>马桥</t>
    <phoneticPr fontId="2" type="noConversion"/>
  </si>
  <si>
    <t>马桥实验学校</t>
    <phoneticPr fontId="2" type="noConversion"/>
  </si>
  <si>
    <t>银春路1750号</t>
    <phoneticPr fontId="2" type="noConversion"/>
  </si>
  <si>
    <t>室外</t>
    <phoneticPr fontId="2" type="noConversion"/>
  </si>
  <si>
    <t>门头、校园文化景观布置</t>
  </si>
  <si>
    <t>走廊铝格栅吊顶</t>
  </si>
  <si>
    <t>前排1至5楼学生教室</t>
  </si>
  <si>
    <t>前排1至5楼学生厕所</t>
  </si>
  <si>
    <t>前排1至5楼学生教室外走廊柱子书柜</t>
  </si>
  <si>
    <t>个</t>
    <phoneticPr fontId="2" type="noConversion"/>
  </si>
  <si>
    <t>前排底楼大厅</t>
  </si>
  <si>
    <t>食堂地砖及下水沟格栅改建</t>
    <phoneticPr fontId="2" type="noConversion"/>
  </si>
  <si>
    <t>m²</t>
    <phoneticPr fontId="2" type="noConversion"/>
  </si>
  <si>
    <t>后排三、四、五楼走廊过道地砖</t>
  </si>
  <si>
    <t>七宝</t>
    <phoneticPr fontId="2" type="noConversion"/>
  </si>
  <si>
    <t>七宝中心幼儿园</t>
    <phoneticPr fontId="2" type="noConversion"/>
  </si>
  <si>
    <t>中谊路361号</t>
    <phoneticPr fontId="2" type="noConversion"/>
  </si>
  <si>
    <t>盥洗室</t>
    <phoneticPr fontId="2" type="noConversion"/>
  </si>
  <si>
    <t>拆除墙体，地面</t>
  </si>
  <si>
    <t>新做砖墙</t>
    <phoneticPr fontId="2" type="noConversion"/>
  </si>
  <si>
    <t>给排水铺设</t>
  </si>
  <si>
    <t>m</t>
    <phoneticPr fontId="2" type="noConversion"/>
  </si>
  <si>
    <t>新做防水石膏板吊顶</t>
    <phoneticPr fontId="2" type="noConversion"/>
  </si>
  <si>
    <t>灯具</t>
  </si>
  <si>
    <t>管道井+接入户外污水井</t>
  </si>
  <si>
    <t>新做防水</t>
    <phoneticPr fontId="2" type="noConversion"/>
  </si>
  <si>
    <t>新铺地面防滑砖</t>
  </si>
  <si>
    <t>新铺墙砖</t>
  </si>
  <si>
    <t>马桶及安装</t>
  </si>
  <si>
    <t>小便斗及安装</t>
  </si>
  <si>
    <t>新做洗手台面</t>
    <phoneticPr fontId="2" type="noConversion"/>
  </si>
  <si>
    <t>新做台下盆</t>
    <phoneticPr fontId="2" type="noConversion"/>
  </si>
  <si>
    <t>新做门</t>
    <phoneticPr fontId="2" type="noConversion"/>
  </si>
  <si>
    <t>扇</t>
  </si>
  <si>
    <t>公共区域</t>
    <phoneticPr fontId="2" type="noConversion"/>
  </si>
  <si>
    <t>内墙涂料</t>
  </si>
  <si>
    <t>实木地板修补</t>
  </si>
  <si>
    <t>民俗文化专用活动室</t>
  </si>
  <si>
    <t>墙面乳胶漆</t>
  </si>
  <si>
    <t>新做石膏板造型吊顶</t>
    <phoneticPr fontId="2" type="noConversion"/>
  </si>
  <si>
    <t>射灯</t>
  </si>
  <si>
    <t>套</t>
    <phoneticPr fontId="2" type="noConversion"/>
  </si>
  <si>
    <t>轨道射灯</t>
  </si>
  <si>
    <t>m</t>
    <phoneticPr fontId="2" type="noConversion"/>
  </si>
  <si>
    <t>洗手池</t>
  </si>
  <si>
    <t>套</t>
    <phoneticPr fontId="2" type="noConversion"/>
  </si>
  <si>
    <t>上下水</t>
  </si>
  <si>
    <t>地面木地板更换</t>
  </si>
  <si>
    <t>多功能厅改造（454m2）</t>
    <phoneticPr fontId="2" type="noConversion"/>
  </si>
  <si>
    <t>地面实木强化地板更换</t>
  </si>
  <si>
    <t>新做隔墙</t>
    <phoneticPr fontId="2" type="noConversion"/>
  </si>
  <si>
    <t>软包墙裙</t>
  </si>
  <si>
    <t>民族特色墙面烤漆板造型</t>
  </si>
  <si>
    <t>造型木饰面包柱</t>
  </si>
  <si>
    <t>新做天花造型</t>
    <phoneticPr fontId="2" type="noConversion"/>
  </si>
  <si>
    <t>舞台扩建</t>
  </si>
  <si>
    <t>新做乳胶漆</t>
    <phoneticPr fontId="2" type="noConversion"/>
  </si>
  <si>
    <t>新做门</t>
    <phoneticPr fontId="2" type="noConversion"/>
  </si>
  <si>
    <t>电路改造</t>
  </si>
  <si>
    <t>阳台封窗</t>
  </si>
  <si>
    <t>特色大厅创建（621m2）</t>
    <phoneticPr fontId="2" type="noConversion"/>
  </si>
  <si>
    <t>拆除地砖</t>
  </si>
  <si>
    <t>新做地面</t>
    <phoneticPr fontId="2" type="noConversion"/>
  </si>
  <si>
    <t>新做文化墙面</t>
    <phoneticPr fontId="2" type="noConversion"/>
  </si>
  <si>
    <t>新做造型地台</t>
    <phoneticPr fontId="2" type="noConversion"/>
  </si>
  <si>
    <t>阅读书架</t>
  </si>
  <si>
    <t>m²</t>
    <phoneticPr fontId="2" type="noConversion"/>
  </si>
  <si>
    <t>环状下沉式桌椅组合</t>
  </si>
  <si>
    <t>书屋</t>
  </si>
  <si>
    <t>绿化椅子组合</t>
  </si>
  <si>
    <t>落地灯</t>
  </si>
  <si>
    <t>侧面轨道射灯</t>
  </si>
  <si>
    <t>顶部垂钓灯</t>
  </si>
  <si>
    <t>电路排布</t>
  </si>
  <si>
    <t>户外沙水池改建</t>
    <phoneticPr fontId="2" type="noConversion"/>
  </si>
  <si>
    <t>沙水池泥土下挖</t>
  </si>
  <si>
    <t>地面排水管道铺设</t>
  </si>
  <si>
    <t>地面硬化及垫层</t>
  </si>
  <si>
    <t>黄沙铺设</t>
  </si>
  <si>
    <t>戏水池</t>
  </si>
  <si>
    <t>沙鼓互动墙</t>
  </si>
  <si>
    <t>换鞋区</t>
  </si>
  <si>
    <t>树屋</t>
  </si>
  <si>
    <t>建安费</t>
    <phoneticPr fontId="2" type="noConversion"/>
  </si>
  <si>
    <t>不可预见费(按5%计）</t>
  </si>
  <si>
    <t>合计</t>
    <phoneticPr fontId="2" type="noConversion"/>
  </si>
  <si>
    <t>总计</t>
    <phoneticPr fontId="2" type="noConversion"/>
  </si>
  <si>
    <t>2021年理化实验室项目信息化部分申报明细表（教育局统一采购）</t>
    <phoneticPr fontId="2" type="noConversion"/>
  </si>
  <si>
    <t>总计</t>
    <phoneticPr fontId="1" type="noConversion"/>
  </si>
  <si>
    <r>
      <t>2021</t>
    </r>
    <r>
      <rPr>
        <b/>
        <sz val="10"/>
        <rFont val="宋体"/>
        <family val="2"/>
        <charset val="134"/>
      </rPr>
      <t>年闵行区镇管学校扩班设备预算明细汇总表</t>
    </r>
    <phoneticPr fontId="1" type="noConversion"/>
  </si>
  <si>
    <r>
      <rPr>
        <b/>
        <sz val="9"/>
        <rFont val="宋体"/>
        <family val="2"/>
        <charset val="134"/>
      </rPr>
      <t>序号</t>
    </r>
    <phoneticPr fontId="1" type="noConversion"/>
  </si>
  <si>
    <r>
      <rPr>
        <b/>
        <sz val="9"/>
        <rFont val="宋体"/>
        <family val="3"/>
        <charset val="134"/>
      </rPr>
      <t>备注</t>
    </r>
    <phoneticPr fontId="1" type="noConversion"/>
  </si>
  <si>
    <r>
      <rPr>
        <sz val="9"/>
        <rFont val="宋体"/>
        <family val="3"/>
        <charset val="134"/>
      </rPr>
      <t>龙柏一小</t>
    </r>
  </si>
  <si>
    <r>
      <t>2021</t>
    </r>
    <r>
      <rPr>
        <sz val="9"/>
        <rFont val="宋体"/>
        <family val="3"/>
        <charset val="134"/>
      </rPr>
      <t>年镇管扩班设备</t>
    </r>
    <phoneticPr fontId="1" type="noConversion"/>
  </si>
  <si>
    <r>
      <rPr>
        <sz val="9"/>
        <rFont val="宋体"/>
        <family val="3"/>
        <charset val="134"/>
      </rPr>
      <t>家具设备</t>
    </r>
  </si>
  <si>
    <r>
      <rPr>
        <sz val="9"/>
        <rFont val="宋体"/>
        <family val="3"/>
        <charset val="134"/>
      </rPr>
      <t>课桌椅</t>
    </r>
  </si>
  <si>
    <r>
      <rPr>
        <sz val="9"/>
        <rFont val="宋体"/>
        <family val="3"/>
        <charset val="134"/>
      </rPr>
      <t>多媒体讲台</t>
    </r>
  </si>
  <si>
    <r>
      <rPr>
        <sz val="9"/>
        <rFont val="宋体"/>
        <family val="3"/>
        <charset val="134"/>
      </rPr>
      <t>学生储物柜</t>
    </r>
  </si>
  <si>
    <t>交互式多媒体设备</t>
    <phoneticPr fontId="1" type="noConversion"/>
  </si>
  <si>
    <r>
      <rPr>
        <sz val="9"/>
        <rFont val="宋体"/>
        <family val="3"/>
        <charset val="134"/>
      </rPr>
      <t>智能交互式平板电视机（</t>
    </r>
    <r>
      <rPr>
        <sz val="9"/>
        <rFont val="Times New Roman"/>
        <family val="1"/>
      </rPr>
      <t>70'</t>
    </r>
    <r>
      <rPr>
        <sz val="9"/>
        <rFont val="宋体"/>
        <family val="3"/>
        <charset val="134"/>
      </rPr>
      <t>以上含推拉式书写板）</t>
    </r>
    <phoneticPr fontId="1" type="noConversion"/>
  </si>
  <si>
    <t>教师便携式计算机</t>
  </si>
  <si>
    <r>
      <rPr>
        <b/>
        <sz val="9"/>
        <rFont val="宋体"/>
        <family val="3"/>
        <charset val="134"/>
      </rPr>
      <t>小</t>
    </r>
    <r>
      <rPr>
        <b/>
        <sz val="9"/>
        <rFont val="Times New Roman"/>
        <family val="1"/>
      </rPr>
      <t xml:space="preserve">  </t>
    </r>
    <r>
      <rPr>
        <b/>
        <sz val="9"/>
        <rFont val="宋体"/>
        <family val="3"/>
        <charset val="134"/>
      </rPr>
      <t>计</t>
    </r>
  </si>
  <si>
    <r>
      <rPr>
        <sz val="9"/>
        <rFont val="宋体"/>
        <family val="2"/>
        <charset val="134"/>
      </rPr>
      <t>闵行区龙柏第一幼儿园</t>
    </r>
  </si>
  <si>
    <r>
      <t>2021年镇管扩班设备</t>
    </r>
    <r>
      <rPr>
        <sz val="10"/>
        <rFont val="宋体"/>
        <family val="3"/>
        <charset val="134"/>
      </rPr>
      <t/>
    </r>
  </si>
  <si>
    <r>
      <rPr>
        <sz val="9"/>
        <rFont val="宋体"/>
        <family val="3"/>
        <charset val="134"/>
      </rPr>
      <t>家具设备</t>
    </r>
    <phoneticPr fontId="1" type="noConversion"/>
  </si>
  <si>
    <r>
      <rPr>
        <sz val="9"/>
        <rFont val="宋体"/>
        <family val="3"/>
        <charset val="134"/>
      </rPr>
      <t>幼儿桌椅</t>
    </r>
    <phoneticPr fontId="1" type="noConversion"/>
  </si>
  <si>
    <r>
      <rPr>
        <sz val="9"/>
        <rFont val="宋体"/>
        <family val="3"/>
        <charset val="134"/>
      </rPr>
      <t>一桌六椅，木质</t>
    </r>
    <phoneticPr fontId="1" type="noConversion"/>
  </si>
  <si>
    <r>
      <rPr>
        <sz val="9"/>
        <rFont val="宋体"/>
        <family val="3"/>
        <charset val="134"/>
      </rPr>
      <t>幼儿餐桌椅</t>
    </r>
  </si>
  <si>
    <r>
      <rPr>
        <sz val="9"/>
        <rFont val="宋体"/>
        <family val="3"/>
        <charset val="134"/>
      </rPr>
      <t>幼儿床</t>
    </r>
    <phoneticPr fontId="2" type="noConversion"/>
  </si>
  <si>
    <r>
      <rPr>
        <sz val="9"/>
        <rFont val="宋体"/>
        <family val="3"/>
        <charset val="134"/>
      </rPr>
      <t>木质、可固定或叠放收藏</t>
    </r>
  </si>
  <si>
    <r>
      <rPr>
        <sz val="9"/>
        <rFont val="宋体"/>
        <family val="3"/>
        <charset val="134"/>
      </rPr>
      <t>幼儿饮水设备</t>
    </r>
  </si>
  <si>
    <r>
      <rPr>
        <sz val="9"/>
        <rFont val="宋体"/>
        <family val="3"/>
        <charset val="134"/>
      </rPr>
      <t>保温桶、茶水柜等，应具备锁定装置、木质</t>
    </r>
    <phoneticPr fontId="2" type="noConversion"/>
  </si>
  <si>
    <r>
      <rPr>
        <sz val="9"/>
        <rFont val="宋体"/>
        <family val="3"/>
        <charset val="134"/>
      </rPr>
      <t>玩具柜</t>
    </r>
    <phoneticPr fontId="2" type="noConversion"/>
  </si>
  <si>
    <r>
      <rPr>
        <sz val="9"/>
        <rFont val="宋体"/>
        <family val="3"/>
        <charset val="134"/>
      </rPr>
      <t>一组九件（含展示板）、木质、开放式可移动</t>
    </r>
  </si>
  <si>
    <r>
      <rPr>
        <sz val="9"/>
        <rFont val="宋体"/>
        <family val="3"/>
        <charset val="134"/>
      </rPr>
      <t>钢琴</t>
    </r>
  </si>
  <si>
    <r>
      <rPr>
        <sz val="9"/>
        <rFont val="宋体"/>
        <family val="3"/>
        <charset val="134"/>
      </rPr>
      <t>桌面玩具</t>
    </r>
  </si>
  <si>
    <r>
      <rPr>
        <sz val="9"/>
        <rFont val="宋体"/>
        <family val="3"/>
        <charset val="134"/>
      </rPr>
      <t>一批</t>
    </r>
    <phoneticPr fontId="1" type="noConversion"/>
  </si>
  <si>
    <r>
      <rPr>
        <sz val="9"/>
        <rFont val="宋体"/>
        <family val="2"/>
        <charset val="134"/>
      </rPr>
      <t>教师计算机</t>
    </r>
    <phoneticPr fontId="1" type="noConversion"/>
  </si>
  <si>
    <r>
      <rPr>
        <sz val="9"/>
        <rFont val="宋体"/>
        <family val="3"/>
        <charset val="134"/>
      </rPr>
      <t>教师计算机</t>
    </r>
    <phoneticPr fontId="1" type="noConversion"/>
  </si>
  <si>
    <r>
      <rPr>
        <sz val="9"/>
        <rFont val="宋体"/>
        <family val="2"/>
        <charset val="134"/>
      </rPr>
      <t>一体机</t>
    </r>
    <phoneticPr fontId="1" type="noConversion"/>
  </si>
  <si>
    <r>
      <rPr>
        <sz val="9"/>
        <rFont val="宋体"/>
        <family val="3"/>
        <charset val="134"/>
      </rPr>
      <t>空调</t>
    </r>
    <r>
      <rPr>
        <sz val="9"/>
        <rFont val="Times New Roman"/>
        <family val="1"/>
      </rPr>
      <t>3P</t>
    </r>
    <phoneticPr fontId="2" type="noConversion"/>
  </si>
  <si>
    <r>
      <rPr>
        <sz val="9"/>
        <rFont val="宋体"/>
        <family val="2"/>
        <charset val="134"/>
      </rPr>
      <t>柜式空调</t>
    </r>
    <r>
      <rPr>
        <sz val="9"/>
        <rFont val="Times New Roman"/>
        <family val="1"/>
      </rPr>
      <t>3P(220V</t>
    </r>
    <r>
      <rPr>
        <sz val="9"/>
        <rFont val="宋体"/>
        <family val="3"/>
        <charset val="134"/>
      </rPr>
      <t>电源</t>
    </r>
    <r>
      <rPr>
        <sz val="9"/>
        <rFont val="Times New Roman"/>
        <family val="1"/>
      </rPr>
      <t>)</t>
    </r>
    <phoneticPr fontId="1" type="noConversion"/>
  </si>
  <si>
    <r>
      <rPr>
        <sz val="9"/>
        <rFont val="宋体"/>
        <family val="3"/>
        <charset val="134"/>
      </rPr>
      <t>空调</t>
    </r>
    <r>
      <rPr>
        <sz val="9"/>
        <rFont val="Times New Roman"/>
        <family val="1"/>
      </rPr>
      <t>5P</t>
    </r>
    <phoneticPr fontId="1" type="noConversion"/>
  </si>
  <si>
    <r>
      <rPr>
        <sz val="9"/>
        <rFont val="宋体"/>
        <family val="3"/>
        <charset val="134"/>
      </rPr>
      <t>柜式空调</t>
    </r>
    <r>
      <rPr>
        <sz val="9"/>
        <rFont val="Times New Roman"/>
        <family val="1"/>
      </rPr>
      <t>5P</t>
    </r>
  </si>
  <si>
    <r>
      <t>65</t>
    </r>
    <r>
      <rPr>
        <sz val="9"/>
        <rFont val="宋体"/>
        <family val="3"/>
        <charset val="134"/>
      </rPr>
      <t>寸及以上智能交互式一体机</t>
    </r>
    <phoneticPr fontId="1" type="noConversion"/>
  </si>
  <si>
    <r>
      <rPr>
        <sz val="9"/>
        <rFont val="宋体"/>
        <family val="3"/>
        <charset val="134"/>
      </rPr>
      <t>热水器</t>
    </r>
  </si>
  <si>
    <r>
      <rPr>
        <sz val="9"/>
        <rFont val="宋体"/>
        <family val="3"/>
        <charset val="134"/>
      </rPr>
      <t>洗衣机</t>
    </r>
    <phoneticPr fontId="2" type="noConversion"/>
  </si>
  <si>
    <t>小    计</t>
    <phoneticPr fontId="1" type="noConversion"/>
  </si>
  <si>
    <r>
      <rPr>
        <sz val="9"/>
        <rFont val="宋体"/>
        <family val="2"/>
        <charset val="134"/>
      </rPr>
      <t>闵行区虹桥中心幼儿园</t>
    </r>
  </si>
  <si>
    <r>
      <rPr>
        <sz val="9"/>
        <rFont val="宋体"/>
        <family val="3"/>
        <charset val="134"/>
      </rPr>
      <t>幼儿衣帽橱</t>
    </r>
    <phoneticPr fontId="1" type="noConversion"/>
  </si>
  <si>
    <r>
      <rPr>
        <sz val="9"/>
        <rFont val="宋体"/>
        <family val="3"/>
        <charset val="134"/>
      </rPr>
      <t>一组，木质</t>
    </r>
    <phoneticPr fontId="1" type="noConversion"/>
  </si>
  <si>
    <t>教师办公桌椅</t>
  </si>
  <si>
    <r>
      <rPr>
        <sz val="9"/>
        <rFont val="宋体"/>
        <family val="3"/>
        <charset val="134"/>
      </rPr>
      <t>办公橱</t>
    </r>
  </si>
  <si>
    <r>
      <rPr>
        <sz val="9"/>
        <rFont val="宋体"/>
        <family val="3"/>
        <charset val="134"/>
      </rPr>
      <t>教师便携式计算机</t>
    </r>
    <phoneticPr fontId="1" type="noConversion"/>
  </si>
  <si>
    <r>
      <rPr>
        <sz val="9"/>
        <rFont val="宋体"/>
        <family val="3"/>
        <charset val="134"/>
      </rPr>
      <t>明强二小</t>
    </r>
  </si>
  <si>
    <r>
      <t>2021年镇管扩班设备</t>
    </r>
    <r>
      <rPr>
        <sz val="9"/>
        <rFont val="宋体"/>
        <family val="3"/>
        <charset val="134"/>
      </rPr>
      <t/>
    </r>
  </si>
  <si>
    <r>
      <rPr>
        <b/>
        <sz val="9"/>
        <rFont val="宋体"/>
        <family val="3"/>
        <charset val="134"/>
      </rPr>
      <t>小</t>
    </r>
    <r>
      <rPr>
        <b/>
        <sz val="9"/>
        <rFont val="Times New Roman"/>
        <family val="1"/>
      </rPr>
      <t xml:space="preserve">  </t>
    </r>
    <r>
      <rPr>
        <b/>
        <sz val="9"/>
        <rFont val="宋体"/>
        <family val="3"/>
        <charset val="134"/>
      </rPr>
      <t>计</t>
    </r>
    <phoneticPr fontId="1" type="noConversion"/>
  </si>
  <si>
    <r>
      <rPr>
        <sz val="9"/>
        <rFont val="宋体"/>
        <family val="3"/>
        <charset val="134"/>
      </rPr>
      <t>明强小学（农科院教学点）</t>
    </r>
    <phoneticPr fontId="2" type="noConversion"/>
  </si>
  <si>
    <r>
      <rPr>
        <sz val="9"/>
        <rFont val="宋体"/>
        <family val="3"/>
        <charset val="134"/>
      </rPr>
      <t>教室设备添置</t>
    </r>
    <phoneticPr fontId="2" type="noConversion"/>
  </si>
  <si>
    <r>
      <rPr>
        <sz val="9"/>
        <rFont val="宋体"/>
        <family val="3"/>
        <charset val="134"/>
      </rPr>
      <t>扩声音响</t>
    </r>
    <phoneticPr fontId="2" type="noConversion"/>
  </si>
  <si>
    <r>
      <rPr>
        <sz val="9"/>
        <rFont val="宋体"/>
        <family val="3"/>
        <charset val="134"/>
      </rPr>
      <t>多媒体讲台</t>
    </r>
    <phoneticPr fontId="2" type="noConversion"/>
  </si>
  <si>
    <r>
      <rPr>
        <sz val="9"/>
        <rFont val="宋体"/>
        <family val="3"/>
        <charset val="134"/>
      </rPr>
      <t>教师设备添置</t>
    </r>
    <phoneticPr fontId="2" type="noConversion"/>
  </si>
  <si>
    <r>
      <rPr>
        <sz val="9"/>
        <rFont val="宋体"/>
        <family val="3"/>
        <charset val="134"/>
      </rPr>
      <t>学生课桌椅</t>
    </r>
    <phoneticPr fontId="2" type="noConversion"/>
  </si>
  <si>
    <r>
      <rPr>
        <sz val="9"/>
        <rFont val="宋体"/>
        <family val="3"/>
        <charset val="134"/>
      </rPr>
      <t>复印机</t>
    </r>
    <phoneticPr fontId="2" type="noConversion"/>
  </si>
  <si>
    <r>
      <rPr>
        <sz val="9"/>
        <rFont val="宋体"/>
        <family val="3"/>
        <charset val="134"/>
      </rPr>
      <t>办公室设备添置</t>
    </r>
    <phoneticPr fontId="2" type="noConversion"/>
  </si>
  <si>
    <r>
      <rPr>
        <sz val="9"/>
        <rFont val="宋体"/>
        <family val="3"/>
        <charset val="134"/>
      </rPr>
      <t>办公桌椅、橱柜</t>
    </r>
    <phoneticPr fontId="2" type="noConversion"/>
  </si>
  <si>
    <r>
      <rPr>
        <sz val="9"/>
        <rFont val="宋体"/>
        <family val="3"/>
        <charset val="134"/>
      </rPr>
      <t>教师办公桌椅、橱柜</t>
    </r>
    <phoneticPr fontId="2" type="noConversion"/>
  </si>
  <si>
    <r>
      <rPr>
        <sz val="9"/>
        <rFont val="宋体"/>
        <family val="3"/>
        <charset val="134"/>
      </rPr>
      <t>专用教室设备添置</t>
    </r>
    <phoneticPr fontId="2" type="noConversion"/>
  </si>
  <si>
    <t>音响设备</t>
    <phoneticPr fontId="1" type="noConversion"/>
  </si>
  <si>
    <r>
      <rPr>
        <sz val="9"/>
        <rFont val="宋体"/>
        <family val="3"/>
        <charset val="134"/>
      </rPr>
      <t>扩声音响</t>
    </r>
  </si>
  <si>
    <r>
      <rPr>
        <sz val="9"/>
        <rFont val="宋体"/>
        <family val="3"/>
        <charset val="134"/>
      </rPr>
      <t>专用教室设备添置</t>
    </r>
  </si>
  <si>
    <r>
      <rPr>
        <sz val="9"/>
        <rFont val="宋体"/>
        <family val="3"/>
        <charset val="134"/>
      </rPr>
      <t>七宝实小</t>
    </r>
  </si>
  <si>
    <r>
      <rPr>
        <sz val="9"/>
        <rFont val="宋体"/>
        <family val="3"/>
        <charset val="134"/>
      </rPr>
      <t>七宝二中</t>
    </r>
    <phoneticPr fontId="1" type="noConversion"/>
  </si>
  <si>
    <t>80寸及以上交互式智能一体白板（含推拉板）</t>
  </si>
  <si>
    <r>
      <rPr>
        <sz val="9"/>
        <rFont val="宋体"/>
        <family val="3"/>
        <charset val="134"/>
      </rPr>
      <t>七宝三中</t>
    </r>
  </si>
  <si>
    <r>
      <rPr>
        <sz val="9"/>
        <rFont val="宋体"/>
        <family val="3"/>
        <charset val="134"/>
      </rPr>
      <t>七宝实中</t>
    </r>
  </si>
  <si>
    <r>
      <rPr>
        <sz val="9"/>
        <rFont val="宋体"/>
        <family val="2"/>
        <charset val="134"/>
      </rPr>
      <t>上海市闵行区七宝皇都幼儿园</t>
    </r>
  </si>
  <si>
    <r>
      <rPr>
        <sz val="9"/>
        <rFont val="宋体"/>
        <family val="3"/>
        <charset val="134"/>
      </rPr>
      <t>复旦闵行实验</t>
    </r>
  </si>
  <si>
    <r>
      <rPr>
        <sz val="9"/>
        <rFont val="宋体"/>
        <family val="3"/>
        <charset val="134"/>
      </rPr>
      <t>教室展示板</t>
    </r>
    <phoneticPr fontId="2" type="noConversion"/>
  </si>
  <si>
    <r>
      <rPr>
        <sz val="9"/>
        <rFont val="宋体"/>
        <family val="3"/>
        <charset val="134"/>
      </rPr>
      <t>教师办公桌椅</t>
    </r>
    <phoneticPr fontId="2" type="noConversion"/>
  </si>
  <si>
    <r>
      <rPr>
        <sz val="9"/>
        <rFont val="宋体"/>
        <family val="3"/>
        <charset val="134"/>
      </rPr>
      <t>教师办公橱</t>
    </r>
  </si>
  <si>
    <t>小    计</t>
  </si>
  <si>
    <r>
      <rPr>
        <sz val="9"/>
        <rFont val="宋体"/>
        <family val="3"/>
        <charset val="134"/>
      </rPr>
      <t>蔷薇小学（晶城）</t>
    </r>
    <phoneticPr fontId="2" type="noConversion"/>
  </si>
  <si>
    <r>
      <rPr>
        <sz val="9"/>
        <rFont val="宋体"/>
        <family val="3"/>
        <charset val="134"/>
      </rPr>
      <t>罗阳中学</t>
    </r>
  </si>
  <si>
    <r>
      <rPr>
        <sz val="9"/>
        <rFont val="宋体"/>
        <family val="3"/>
        <charset val="134"/>
      </rPr>
      <t>晶城中学</t>
    </r>
  </si>
  <si>
    <r>
      <rPr>
        <sz val="9"/>
        <rFont val="宋体"/>
        <family val="3"/>
        <charset val="134"/>
      </rPr>
      <t>七宝金都（原曹行中学）</t>
    </r>
    <phoneticPr fontId="1" type="noConversion"/>
  </si>
  <si>
    <r>
      <rPr>
        <sz val="9"/>
        <rFont val="宋体"/>
        <family val="2"/>
        <charset val="134"/>
      </rPr>
      <t>上海市闵行区梅陇金都幼儿园</t>
    </r>
  </si>
  <si>
    <r>
      <rPr>
        <sz val="9"/>
        <rFont val="宋体"/>
        <family val="2"/>
        <charset val="134"/>
      </rPr>
      <t>柜式空调</t>
    </r>
    <r>
      <rPr>
        <sz val="9"/>
        <rFont val="Times New Roman"/>
        <family val="1"/>
      </rPr>
      <t>3P(380V</t>
    </r>
    <r>
      <rPr>
        <sz val="9"/>
        <rFont val="宋体"/>
        <family val="3"/>
        <charset val="134"/>
      </rPr>
      <t>电源</t>
    </r>
    <r>
      <rPr>
        <sz val="9"/>
        <rFont val="Times New Roman"/>
        <family val="1"/>
      </rPr>
      <t>)</t>
    </r>
    <phoneticPr fontId="1" type="noConversion"/>
  </si>
  <si>
    <r>
      <rPr>
        <sz val="9"/>
        <rFont val="宋体"/>
        <family val="2"/>
        <charset val="134"/>
      </rPr>
      <t>上海市闵行区梅陇梅锦幼儿园</t>
    </r>
  </si>
  <si>
    <r>
      <rPr>
        <sz val="9"/>
        <rFont val="宋体"/>
        <family val="3"/>
        <charset val="134"/>
      </rPr>
      <t>田园二外小</t>
    </r>
    <phoneticPr fontId="2" type="noConversion"/>
  </si>
  <si>
    <r>
      <rPr>
        <sz val="9"/>
        <rFont val="宋体"/>
        <family val="3"/>
        <charset val="134"/>
      </rPr>
      <t>北桥中学</t>
    </r>
  </si>
  <si>
    <r>
      <rPr>
        <sz val="9"/>
        <rFont val="宋体"/>
        <family val="3"/>
        <charset val="134"/>
      </rPr>
      <t>田外初中</t>
    </r>
    <phoneticPr fontId="1" type="noConversion"/>
  </si>
  <si>
    <r>
      <rPr>
        <sz val="9"/>
        <rFont val="宋体"/>
        <family val="3"/>
        <charset val="134"/>
      </rPr>
      <t>田园外小（银都校区）</t>
    </r>
    <phoneticPr fontId="2" type="noConversion"/>
  </si>
  <si>
    <r>
      <rPr>
        <sz val="9"/>
        <rFont val="宋体"/>
        <family val="2"/>
        <charset val="134"/>
      </rPr>
      <t>上海市闵行区君莲幼儿园春都分园</t>
    </r>
  </si>
  <si>
    <r>
      <rPr>
        <sz val="9"/>
        <rFont val="宋体"/>
        <family val="2"/>
        <charset val="134"/>
      </rPr>
      <t>上海市闵行区颛桥镇田园都市幼儿园</t>
    </r>
  </si>
  <si>
    <r>
      <rPr>
        <sz val="9"/>
        <rFont val="宋体"/>
        <family val="3"/>
        <charset val="134"/>
      </rPr>
      <t>浦江二小（谈中）</t>
    </r>
    <phoneticPr fontId="2" type="noConversion"/>
  </si>
  <si>
    <r>
      <rPr>
        <sz val="9"/>
        <rFont val="宋体"/>
        <family val="3"/>
        <charset val="134"/>
      </rPr>
      <t>浦江三小</t>
    </r>
  </si>
  <si>
    <r>
      <rPr>
        <sz val="9"/>
        <rFont val="宋体"/>
        <family val="3"/>
        <charset val="134"/>
      </rPr>
      <t>浦汇小学</t>
    </r>
    <phoneticPr fontId="2" type="noConversion"/>
  </si>
  <si>
    <r>
      <rPr>
        <sz val="9"/>
        <rFont val="宋体"/>
        <family val="3"/>
        <charset val="134"/>
      </rPr>
      <t>汇秀小学</t>
    </r>
    <phoneticPr fontId="2" type="noConversion"/>
  </si>
  <si>
    <r>
      <rPr>
        <sz val="9"/>
        <rFont val="宋体"/>
        <family val="3"/>
        <charset val="134"/>
      </rPr>
      <t>世外浦江（小学部）</t>
    </r>
    <phoneticPr fontId="1" type="noConversion"/>
  </si>
  <si>
    <r>
      <rPr>
        <sz val="9"/>
        <rFont val="宋体"/>
        <family val="3"/>
        <charset val="134"/>
      </rPr>
      <t>世外浦江（初中部）</t>
    </r>
    <phoneticPr fontId="1" type="noConversion"/>
  </si>
  <si>
    <r>
      <rPr>
        <sz val="9"/>
        <rFont val="宋体"/>
        <family val="3"/>
        <charset val="134"/>
      </rPr>
      <t>浦航实中</t>
    </r>
    <phoneticPr fontId="1" type="noConversion"/>
  </si>
  <si>
    <r>
      <rPr>
        <sz val="9"/>
        <rFont val="宋体"/>
        <family val="2"/>
        <charset val="134"/>
      </rPr>
      <t>闵行区浦江镇第三幼儿园</t>
    </r>
  </si>
  <si>
    <r>
      <rPr>
        <sz val="9"/>
        <rFont val="宋体"/>
        <family val="3"/>
        <charset val="134"/>
      </rPr>
      <t>交互式多媒体设备</t>
    </r>
    <phoneticPr fontId="1" type="noConversion"/>
  </si>
  <si>
    <r>
      <rPr>
        <b/>
        <sz val="9"/>
        <rFont val="宋体"/>
        <family val="3"/>
        <charset val="134"/>
      </rPr>
      <t>小</t>
    </r>
    <r>
      <rPr>
        <b/>
        <sz val="9"/>
        <rFont val="Times New Roman"/>
        <family val="1"/>
      </rPr>
      <t xml:space="preserve">    </t>
    </r>
    <r>
      <rPr>
        <b/>
        <sz val="9"/>
        <rFont val="宋体"/>
        <family val="3"/>
        <charset val="134"/>
      </rPr>
      <t>计</t>
    </r>
    <phoneticPr fontId="1" type="noConversion"/>
  </si>
  <si>
    <r>
      <rPr>
        <sz val="9"/>
        <rFont val="宋体"/>
        <family val="2"/>
        <charset val="134"/>
      </rPr>
      <t>上海市闵行区浦江宝邸幼儿园水语分园</t>
    </r>
  </si>
  <si>
    <r>
      <rPr>
        <sz val="9"/>
        <rFont val="宋体"/>
        <family val="2"/>
        <charset val="134"/>
      </rPr>
      <t>上海市闵行区浦航幼儿园中城分园</t>
    </r>
  </si>
  <si>
    <r>
      <rPr>
        <sz val="9"/>
        <rFont val="宋体"/>
        <family val="2"/>
        <charset val="134"/>
      </rPr>
      <t>上海市闵行区浦江瑞和城幼儿园</t>
    </r>
  </si>
  <si>
    <r>
      <rPr>
        <sz val="9"/>
        <rFont val="宋体"/>
        <family val="3"/>
        <charset val="134"/>
      </rPr>
      <t>永德路实小</t>
    </r>
    <phoneticPr fontId="2" type="noConversion"/>
  </si>
  <si>
    <r>
      <rPr>
        <sz val="9"/>
        <rFont val="宋体"/>
        <family val="3"/>
        <charset val="134"/>
      </rPr>
      <t>教院友中</t>
    </r>
    <phoneticPr fontId="1" type="noConversion"/>
  </si>
  <si>
    <r>
      <rPr>
        <sz val="9"/>
        <rFont val="宋体"/>
        <family val="2"/>
        <charset val="134"/>
      </rPr>
      <t>华东师范大学闵行永德实验幼儿园尚德分园</t>
    </r>
  </si>
  <si>
    <r>
      <rPr>
        <sz val="9"/>
        <rFont val="宋体"/>
        <family val="3"/>
        <charset val="134"/>
      </rPr>
      <t>文来外小（西校区）</t>
    </r>
    <phoneticPr fontId="2" type="noConversion"/>
  </si>
  <si>
    <r>
      <rPr>
        <sz val="9"/>
        <rFont val="宋体"/>
        <family val="2"/>
        <charset val="134"/>
      </rPr>
      <t>上海市闵行区马桥富卓幼儿园</t>
    </r>
  </si>
  <si>
    <r>
      <rPr>
        <sz val="9"/>
        <rFont val="宋体"/>
        <family val="2"/>
        <charset val="134"/>
      </rPr>
      <t>上海市闵行区马桥富国幼儿园</t>
    </r>
  </si>
  <si>
    <r>
      <rPr>
        <sz val="9"/>
        <rFont val="宋体"/>
        <family val="3"/>
        <charset val="134"/>
      </rPr>
      <t>诸翟学校</t>
    </r>
    <phoneticPr fontId="2" type="noConversion"/>
  </si>
  <si>
    <r>
      <rPr>
        <sz val="9"/>
        <rFont val="宋体"/>
        <family val="2"/>
        <charset val="134"/>
      </rPr>
      <t>上海市闵行区实验幼儿园</t>
    </r>
  </si>
  <si>
    <r>
      <rPr>
        <sz val="9"/>
        <rFont val="宋体"/>
        <family val="3"/>
        <charset val="134"/>
      </rPr>
      <t>吸顶空调</t>
    </r>
    <r>
      <rPr>
        <sz val="9"/>
        <rFont val="Times New Roman"/>
        <family val="1"/>
      </rPr>
      <t>3P</t>
    </r>
    <phoneticPr fontId="2" type="noConversion"/>
  </si>
  <si>
    <t>合    计</t>
    <phoneticPr fontId="1" type="noConversion"/>
  </si>
  <si>
    <t>虹桥合计</t>
    <phoneticPr fontId="1" type="noConversion"/>
  </si>
  <si>
    <t>七宝小计</t>
    <phoneticPr fontId="1" type="noConversion"/>
  </si>
  <si>
    <t>梅陇合计</t>
    <phoneticPr fontId="1" type="noConversion"/>
  </si>
  <si>
    <t>颛桥合计</t>
    <phoneticPr fontId="1" type="noConversion"/>
  </si>
  <si>
    <t>浦江合计</t>
    <phoneticPr fontId="1" type="noConversion"/>
  </si>
  <si>
    <t>吴泾合计</t>
    <phoneticPr fontId="1" type="noConversion"/>
  </si>
  <si>
    <t>马桥合计</t>
    <phoneticPr fontId="1" type="noConversion"/>
  </si>
  <si>
    <t>华漕合计</t>
    <phoneticPr fontId="1" type="noConversion"/>
  </si>
  <si>
    <t>莘庄合计</t>
    <phoneticPr fontId="1" type="noConversion"/>
  </si>
  <si>
    <r>
      <t>2021</t>
    </r>
    <r>
      <rPr>
        <b/>
        <sz val="10"/>
        <rFont val="宋体"/>
        <family val="3"/>
        <charset val="134"/>
      </rPr>
      <t>年镇管单位经费预算（学前科）</t>
    </r>
    <phoneticPr fontId="1" type="noConversion"/>
  </si>
  <si>
    <t>上海市闵行区七宝第二中学</t>
  </si>
  <si>
    <t>上海市七宝实验中学</t>
  </si>
  <si>
    <t>上海市闵行区七宝第三中学</t>
  </si>
  <si>
    <t>上海市七宝实验小学</t>
  </si>
  <si>
    <t>上海市闵行区七宝明强第二小学</t>
  </si>
  <si>
    <t>上海市闵行区七宝镇社区学校</t>
  </si>
  <si>
    <t>上海市闵行区七宝实验幼儿园</t>
  </si>
  <si>
    <t>上海市闵行区七宝皇都幼儿园</t>
  </si>
  <si>
    <t>上海市航华中学</t>
  </si>
  <si>
    <t>项目</t>
    <phoneticPr fontId="2" type="noConversion"/>
  </si>
  <si>
    <t>工资福利支出</t>
    <phoneticPr fontId="1" type="noConversion"/>
  </si>
  <si>
    <t>七宝镇：</t>
    <phoneticPr fontId="2" type="noConversion"/>
  </si>
  <si>
    <t>单位：元</t>
    <phoneticPr fontId="1" type="noConversion"/>
  </si>
  <si>
    <t>2022年教育统筹经费第二次分配明细表</t>
    <phoneticPr fontId="1" type="noConversion"/>
  </si>
  <si>
    <t>2021年镇管学校绩效清算</t>
    <phoneticPr fontId="2" type="noConversion"/>
  </si>
  <si>
    <t>单位名称</t>
  </si>
  <si>
    <t>属性</t>
  </si>
  <si>
    <t>类别</t>
  </si>
  <si>
    <t>乡镇代垫</t>
    <phoneticPr fontId="2" type="noConversion"/>
  </si>
  <si>
    <t>2021年12月27日
常规绩效测算</t>
    <phoneticPr fontId="1" type="noConversion"/>
  </si>
  <si>
    <t>2021年人事科常规绩效终稿</t>
    <phoneticPr fontId="1" type="noConversion"/>
  </si>
  <si>
    <t>测算差异</t>
    <phoneticPr fontId="1" type="noConversion"/>
  </si>
  <si>
    <t>2022年清算下达</t>
    <phoneticPr fontId="1" type="noConversion"/>
  </si>
  <si>
    <t>校长书记</t>
    <phoneticPr fontId="1" type="noConversion"/>
  </si>
  <si>
    <t>其他教工</t>
    <phoneticPr fontId="1" type="noConversion"/>
  </si>
  <si>
    <t>九年一贯</t>
  </si>
  <si>
    <t>镇管-七宝</t>
  </si>
  <si>
    <t>上海市闵行区七宝文来学校</t>
    <phoneticPr fontId="2" type="noConversion"/>
  </si>
  <si>
    <t>上海市闵行区七宝幼儿园</t>
  </si>
  <si>
    <t>镇管-七宝 汇总</t>
  </si>
  <si>
    <t>二次分配</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</si>
</sst>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0.00_ "/>
    <numFmt numFmtId="178" formatCode="0.00_ ;\-0.00;;"/>
    <numFmt numFmtId="179" formatCode="0.00_);[Red]\(0.00\)"/>
    <numFmt numFmtId="180" formatCode="0.000000000_ "/>
    <numFmt numFmtId="181" formatCode="_-* #,##0_-;\-* #,##0_-;_-* &quot;-&quot;_-;_-@_-"/>
    <numFmt numFmtId="182" formatCode="[$-F800]dddd\,\ mmmm\ dd\,\ yyyy"/>
    <numFmt numFmtId="183" formatCode="_ &quot;￥&quot;* #,##0_ ;_ &quot;￥&quot;* \-#,##0_ ;_ &quot;￥&quot;* &quot;-&quot;_ ;_ @_ "/>
    <numFmt numFmtId="184" formatCode="0_);[Red]\(0\)"/>
  </numFmts>
  <fonts count="148">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0"/>
      <name val="宋体"/>
      <family val="3"/>
      <charset val="134"/>
    </font>
    <font>
      <sz val="11"/>
      <color theme="1"/>
      <name val="宋体"/>
      <family val="3"/>
      <charset val="134"/>
      <scheme val="minor"/>
    </font>
    <font>
      <sz val="12"/>
      <name val="宋体"/>
      <family val="3"/>
      <charset val="134"/>
    </font>
    <font>
      <sz val="10"/>
      <name val="宋体"/>
      <family val="3"/>
      <charset val="134"/>
    </font>
    <font>
      <sz val="11"/>
      <color theme="1"/>
      <name val="宋体"/>
      <family val="3"/>
      <charset val="134"/>
      <scheme val="minor"/>
    </font>
    <font>
      <b/>
      <sz val="16"/>
      <name val="宋体"/>
      <family val="3"/>
      <charset val="134"/>
    </font>
    <font>
      <b/>
      <sz val="16"/>
      <color theme="1"/>
      <name val="宋体"/>
      <family val="3"/>
      <charset val="134"/>
      <scheme val="minor"/>
    </font>
    <font>
      <b/>
      <sz val="11"/>
      <color theme="1"/>
      <name val="宋体"/>
      <family val="3"/>
      <charset val="134"/>
      <scheme val="minor"/>
    </font>
    <font>
      <sz val="18"/>
      <color theme="1"/>
      <name val="宋体"/>
      <family val="2"/>
      <charset val="134"/>
      <scheme val="minor"/>
    </font>
    <font>
      <sz val="18"/>
      <color theme="1"/>
      <name val="宋体"/>
      <family val="3"/>
      <charset val="134"/>
      <scheme val="minor"/>
    </font>
    <font>
      <b/>
      <sz val="20"/>
      <color indexed="8"/>
      <name val="宋体"/>
      <family val="3"/>
      <charset val="134"/>
    </font>
    <font>
      <sz val="9"/>
      <name val="宋体"/>
      <family val="3"/>
      <charset val="134"/>
    </font>
    <font>
      <b/>
      <sz val="20"/>
      <name val="宋体"/>
      <family val="3"/>
      <charset val="134"/>
    </font>
    <font>
      <b/>
      <sz val="9"/>
      <color indexed="8"/>
      <name val="宋体"/>
      <family val="3"/>
      <charset val="134"/>
    </font>
    <font>
      <sz val="9"/>
      <color indexed="8"/>
      <name val="宋体"/>
      <family val="3"/>
      <charset val="134"/>
    </font>
    <font>
      <sz val="9"/>
      <color indexed="12"/>
      <name val="宋体"/>
      <family val="3"/>
      <charset val="134"/>
    </font>
    <font>
      <sz val="11"/>
      <color theme="1"/>
      <name val="宋体"/>
      <family val="2"/>
      <charset val="134"/>
      <scheme val="minor"/>
    </font>
    <font>
      <b/>
      <sz val="14"/>
      <color theme="1"/>
      <name val="微软雅黑"/>
      <family val="2"/>
      <charset val="134"/>
    </font>
    <font>
      <sz val="11"/>
      <color theme="1"/>
      <name val="Arial"/>
      <family val="2"/>
    </font>
    <font>
      <sz val="10"/>
      <name val="Times New Roman"/>
      <family val="1"/>
    </font>
    <font>
      <sz val="12"/>
      <name val="Times New Roman"/>
      <family val="1"/>
    </font>
    <font>
      <sz val="14"/>
      <color theme="1"/>
      <name val="宋体"/>
      <family val="2"/>
      <charset val="134"/>
      <scheme val="minor"/>
    </font>
    <font>
      <sz val="9"/>
      <color theme="1"/>
      <name val="Arial"/>
      <family val="2"/>
    </font>
    <font>
      <sz val="11"/>
      <color theme="1"/>
      <name val="宋体"/>
      <family val="2"/>
      <charset val="134"/>
    </font>
    <font>
      <sz val="11"/>
      <name val="Arial"/>
      <family val="2"/>
    </font>
    <font>
      <sz val="11"/>
      <name val="宋体"/>
      <family val="3"/>
      <charset val="134"/>
    </font>
    <font>
      <sz val="11"/>
      <name val="宋体"/>
      <family val="3"/>
      <charset val="134"/>
      <scheme val="minor"/>
    </font>
    <font>
      <sz val="11"/>
      <name val="微软雅黑"/>
      <family val="2"/>
      <charset val="134"/>
    </font>
    <font>
      <sz val="11"/>
      <color theme="1"/>
      <name val="宋体"/>
      <family val="3"/>
      <charset val="134"/>
    </font>
    <font>
      <b/>
      <sz val="9"/>
      <name val="Arial"/>
      <family val="2"/>
    </font>
    <font>
      <sz val="9"/>
      <name val="Arial"/>
      <family val="2"/>
    </font>
    <font>
      <b/>
      <sz val="9"/>
      <name val="宋体"/>
      <family val="3"/>
      <charset val="134"/>
    </font>
    <font>
      <b/>
      <sz val="20"/>
      <name val="宋体"/>
      <family val="3"/>
      <charset val="134"/>
    </font>
    <font>
      <b/>
      <sz val="9"/>
      <color indexed="8"/>
      <name val="宋体"/>
      <family val="3"/>
      <charset val="134"/>
    </font>
    <font>
      <sz val="9"/>
      <color indexed="8"/>
      <name val="宋体"/>
      <family val="3"/>
      <charset val="134"/>
    </font>
    <font>
      <sz val="9"/>
      <color indexed="12"/>
      <name val="宋体"/>
      <family val="3"/>
      <charset val="134"/>
    </font>
    <font>
      <b/>
      <sz val="11"/>
      <color indexed="8"/>
      <name val="宋体"/>
      <family val="3"/>
      <charset val="134"/>
    </font>
    <font>
      <sz val="10"/>
      <name val="Arial"/>
      <family val="2"/>
    </font>
    <font>
      <sz val="11"/>
      <color indexed="8"/>
      <name val="宋体"/>
      <family val="3"/>
      <charset val="134"/>
    </font>
    <font>
      <b/>
      <sz val="12"/>
      <name val="宋体"/>
      <family val="3"/>
      <charset val="134"/>
    </font>
    <font>
      <sz val="11"/>
      <color indexed="9"/>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b/>
      <sz val="15"/>
      <color indexed="56"/>
      <name val="宋体"/>
      <family val="3"/>
      <charset val="134"/>
    </font>
    <font>
      <sz val="11"/>
      <color indexed="20"/>
      <name val="宋体"/>
      <family val="3"/>
      <charset val="134"/>
    </font>
    <font>
      <sz val="12"/>
      <color indexed="14"/>
      <name val="宋体"/>
      <family val="3"/>
      <charset val="134"/>
    </font>
    <font>
      <sz val="11"/>
      <color indexed="14"/>
      <name val="宋体"/>
      <family val="3"/>
      <charset val="134"/>
    </font>
    <font>
      <sz val="10"/>
      <color theme="1"/>
      <name val="宋体"/>
      <family val="3"/>
      <charset val="134"/>
      <scheme val="minor"/>
    </font>
    <font>
      <sz val="11"/>
      <color indexed="10"/>
      <name val="宋体"/>
      <family val="3"/>
      <charset val="134"/>
    </font>
    <font>
      <sz val="9"/>
      <color theme="1"/>
      <name val="宋体"/>
      <family val="3"/>
      <charset val="134"/>
      <scheme val="minor"/>
    </font>
    <font>
      <b/>
      <sz val="11"/>
      <color rgb="FFFA7D00"/>
      <name val="宋体"/>
      <family val="3"/>
      <charset val="134"/>
      <scheme val="minor"/>
    </font>
    <font>
      <sz val="11"/>
      <color indexed="17"/>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theme="0"/>
      <name val="宋体"/>
      <family val="3"/>
      <charset val="134"/>
      <scheme val="min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b/>
      <sz val="18"/>
      <color theme="3"/>
      <name val="宋体"/>
      <family val="3"/>
      <charset val="134"/>
      <scheme val="major"/>
    </font>
    <font>
      <sz val="11"/>
      <color rgb="FF9C0006"/>
      <name val="宋体"/>
      <family val="3"/>
      <charset val="134"/>
      <scheme val="minor"/>
    </font>
    <font>
      <sz val="11"/>
      <color rgb="FF006100"/>
      <name val="宋体"/>
      <family val="3"/>
      <charset val="134"/>
      <scheme val="minor"/>
    </font>
    <font>
      <b/>
      <sz val="11"/>
      <color theme="0"/>
      <name val="宋体"/>
      <family val="3"/>
      <charset val="134"/>
      <scheme val="minor"/>
    </font>
    <font>
      <i/>
      <sz val="11"/>
      <color rgb="FF7F7F7F"/>
      <name val="宋体"/>
      <family val="3"/>
      <charset val="134"/>
      <scheme val="minor"/>
    </font>
    <font>
      <sz val="11"/>
      <color rgb="FFFF0000"/>
      <name val="宋体"/>
      <family val="3"/>
      <charset val="134"/>
      <scheme val="minor"/>
    </font>
    <font>
      <sz val="11"/>
      <color rgb="FFFA7D00"/>
      <name val="宋体"/>
      <family val="3"/>
      <charset val="134"/>
      <scheme val="minor"/>
    </font>
    <font>
      <sz val="11"/>
      <color rgb="FF9C6500"/>
      <name val="宋体"/>
      <family val="3"/>
      <charset val="134"/>
      <scheme val="minor"/>
    </font>
    <font>
      <b/>
      <sz val="11"/>
      <color rgb="FF3F3F3F"/>
      <name val="宋体"/>
      <family val="3"/>
      <charset val="134"/>
      <scheme val="minor"/>
    </font>
    <font>
      <sz val="11"/>
      <color rgb="FF3F3F76"/>
      <name val="宋体"/>
      <family val="3"/>
      <charset val="134"/>
      <scheme val="minor"/>
    </font>
    <font>
      <sz val="11"/>
      <color indexed="8"/>
      <name val="宋体"/>
      <family val="3"/>
      <charset val="134"/>
      <scheme val="minor"/>
    </font>
    <font>
      <b/>
      <sz val="16"/>
      <color indexed="8"/>
      <name val="宋体"/>
      <family val="3"/>
      <charset val="134"/>
    </font>
    <font>
      <sz val="9"/>
      <color theme="1"/>
      <name val="等线"/>
      <family val="3"/>
      <charset val="134"/>
    </font>
    <font>
      <sz val="10"/>
      <name val="Helv"/>
      <family val="2"/>
    </font>
    <font>
      <sz val="10"/>
      <name val="宋体"/>
      <family val="3"/>
      <charset val="134"/>
      <scheme val="minor"/>
    </font>
    <font>
      <sz val="10"/>
      <color indexed="8"/>
      <name val="宋体"/>
      <family val="3"/>
      <charset val="134"/>
      <scheme val="minor"/>
    </font>
    <font>
      <sz val="9"/>
      <color theme="1"/>
      <name val="宋体"/>
      <family val="2"/>
      <charset val="134"/>
      <scheme val="minor"/>
    </font>
    <font>
      <sz val="14"/>
      <name val="宋体"/>
      <family val="3"/>
      <charset val="134"/>
      <scheme val="major"/>
    </font>
    <font>
      <sz val="14"/>
      <name val="Arial"/>
      <family val="2"/>
    </font>
    <font>
      <sz val="10"/>
      <name val="宋体"/>
      <family val="3"/>
      <charset val="134"/>
      <scheme val="major"/>
    </font>
    <font>
      <sz val="12"/>
      <name val="宋体"/>
      <family val="3"/>
      <charset val="134"/>
      <scheme val="major"/>
    </font>
    <font>
      <sz val="9"/>
      <name val="宋体"/>
      <family val="3"/>
      <charset val="134"/>
      <scheme val="major"/>
    </font>
    <font>
      <sz val="18"/>
      <name val="宋体"/>
      <family val="3"/>
      <charset val="134"/>
      <scheme val="major"/>
    </font>
    <font>
      <sz val="9"/>
      <color theme="1"/>
      <name val="宋体"/>
      <family val="3"/>
      <charset val="134"/>
      <scheme val="major"/>
    </font>
    <font>
      <sz val="8.5"/>
      <name val="宋体"/>
      <family val="3"/>
      <charset val="134"/>
      <scheme val="major"/>
    </font>
    <font>
      <b/>
      <sz val="16"/>
      <name val="仿宋"/>
      <family val="3"/>
      <charset val="134"/>
    </font>
    <font>
      <sz val="9"/>
      <name val="仿宋"/>
      <family val="3"/>
      <charset val="134"/>
    </font>
    <font>
      <b/>
      <sz val="16"/>
      <color theme="1"/>
      <name val="宋体"/>
      <family val="3"/>
      <charset val="134"/>
    </font>
    <font>
      <sz val="10"/>
      <color theme="1"/>
      <name val="宋体"/>
      <family val="3"/>
      <charset val="134"/>
    </font>
    <font>
      <sz val="12"/>
      <color theme="1"/>
      <name val="宋体"/>
      <family val="3"/>
      <charset val="134"/>
    </font>
    <font>
      <b/>
      <sz val="14"/>
      <color theme="1"/>
      <name val="宋体"/>
      <family val="3"/>
      <charset val="134"/>
    </font>
    <font>
      <sz val="9"/>
      <color theme="1"/>
      <name val="宋体"/>
      <family val="3"/>
      <charset val="134"/>
    </font>
    <font>
      <sz val="12"/>
      <color theme="1"/>
      <name val="宋体"/>
      <family val="3"/>
      <charset val="134"/>
      <scheme val="minor"/>
    </font>
    <font>
      <sz val="11"/>
      <color theme="1"/>
      <name val="宋体"/>
      <family val="3"/>
      <charset val="134"/>
      <scheme val="minor"/>
    </font>
    <font>
      <b/>
      <sz val="9"/>
      <color theme="1"/>
      <name val="宋体"/>
      <family val="3"/>
      <charset val="134"/>
    </font>
    <font>
      <b/>
      <sz val="9"/>
      <color theme="1"/>
      <name val="宋体"/>
      <family val="3"/>
      <charset val="134"/>
      <scheme val="minor"/>
    </font>
    <font>
      <sz val="9"/>
      <name val="宋体"/>
      <family val="3"/>
      <charset val="134"/>
      <scheme val="minor"/>
    </font>
    <font>
      <sz val="20"/>
      <name val="黑体"/>
      <family val="3"/>
      <charset val="134"/>
    </font>
    <font>
      <sz val="9"/>
      <color theme="1"/>
      <name val="Heiti SC Light"/>
      <family val="1"/>
    </font>
    <font>
      <sz val="9"/>
      <color theme="1"/>
      <name val="Times New Roman"/>
      <family val="1"/>
    </font>
    <font>
      <vertAlign val="superscript"/>
      <sz val="9"/>
      <color theme="1"/>
      <name val="宋体"/>
      <family val="3"/>
      <charset val="134"/>
    </font>
    <font>
      <b/>
      <sz val="18"/>
      <color theme="1"/>
      <name val="宋体"/>
      <family val="3"/>
      <charset val="134"/>
    </font>
    <font>
      <sz val="12"/>
      <name val="仿宋"/>
      <family val="3"/>
      <charset val="134"/>
    </font>
    <font>
      <sz val="12"/>
      <color theme="1"/>
      <name val="宋体"/>
      <family val="2"/>
      <charset val="134"/>
      <scheme val="minor"/>
    </font>
    <font>
      <b/>
      <sz val="14"/>
      <color indexed="8"/>
      <name val="宋体"/>
      <family val="3"/>
      <charset val="134"/>
      <scheme val="minor"/>
    </font>
    <font>
      <b/>
      <sz val="9"/>
      <name val="Times New Roman"/>
      <family val="1"/>
    </font>
    <font>
      <b/>
      <sz val="9"/>
      <color indexed="8"/>
      <name val="Times New Roman"/>
      <family val="1"/>
    </font>
    <font>
      <b/>
      <sz val="11"/>
      <name val="宋体"/>
      <family val="3"/>
      <charset val="134"/>
    </font>
    <font>
      <sz val="10"/>
      <name val="宋体"/>
      <family val="2"/>
      <charset val="134"/>
      <scheme val="minor"/>
    </font>
    <font>
      <b/>
      <sz val="10"/>
      <name val="Times New Roman"/>
      <family val="1"/>
    </font>
    <font>
      <b/>
      <sz val="10"/>
      <name val="宋体"/>
      <family val="3"/>
      <charset val="134"/>
    </font>
    <font>
      <b/>
      <sz val="14"/>
      <name val="宋体"/>
      <family val="3"/>
      <charset val="134"/>
    </font>
    <font>
      <b/>
      <sz val="14"/>
      <name val="Times New Roman"/>
      <family val="1"/>
    </font>
    <font>
      <sz val="10"/>
      <color indexed="10"/>
      <name val="宋体"/>
      <family val="3"/>
      <charset val="134"/>
    </font>
    <font>
      <sz val="11"/>
      <name val="宋体"/>
      <family val="2"/>
      <charset val="134"/>
      <scheme val="minor"/>
    </font>
    <font>
      <sz val="11"/>
      <name val="Times New Roman"/>
      <family val="1"/>
    </font>
    <font>
      <b/>
      <sz val="12"/>
      <color theme="1"/>
      <name val="Times New Roman"/>
      <family val="1"/>
    </font>
    <font>
      <b/>
      <sz val="12"/>
      <color theme="1"/>
      <name val="宋体"/>
      <family val="2"/>
      <charset val="134"/>
    </font>
    <font>
      <sz val="12"/>
      <name val="楷体_GB2312"/>
      <family val="3"/>
      <charset val="134"/>
    </font>
    <font>
      <b/>
      <sz val="11"/>
      <name val="宋体"/>
      <family val="3"/>
      <charset val="134"/>
      <scheme val="minor"/>
    </font>
    <font>
      <b/>
      <sz val="10"/>
      <name val="宋体"/>
      <family val="3"/>
      <charset val="134"/>
      <scheme val="minor"/>
    </font>
    <font>
      <sz val="8"/>
      <name val="宋体"/>
      <family val="3"/>
      <charset val="134"/>
      <scheme val="minor"/>
    </font>
    <font>
      <sz val="11"/>
      <color theme="1"/>
      <name val="Times New Roman"/>
      <family val="1"/>
    </font>
    <font>
      <b/>
      <sz val="10"/>
      <color theme="1"/>
      <name val="宋体"/>
      <family val="3"/>
      <charset val="134"/>
      <scheme val="minor"/>
    </font>
    <font>
      <sz val="10"/>
      <color theme="1"/>
      <name val="Times New Roman"/>
      <family val="1"/>
    </font>
    <font>
      <b/>
      <sz val="9"/>
      <name val="宋体"/>
      <family val="2"/>
      <charset val="134"/>
    </font>
    <font>
      <b/>
      <sz val="9"/>
      <name val="宋体"/>
      <family val="3"/>
      <charset val="134"/>
      <scheme val="major"/>
    </font>
    <font>
      <b/>
      <sz val="11"/>
      <name val="Times New Roman"/>
      <family val="1"/>
    </font>
    <font>
      <sz val="10"/>
      <color rgb="FFFF0000"/>
      <name val="Times New Roman"/>
      <family val="1"/>
    </font>
    <font>
      <b/>
      <sz val="18"/>
      <name val="宋体"/>
      <family val="3"/>
      <charset val="134"/>
      <scheme val="minor"/>
    </font>
    <font>
      <sz val="11"/>
      <color rgb="FF000000"/>
      <name val="宋体"/>
      <family val="3"/>
      <charset val="134"/>
      <scheme val="minor"/>
    </font>
    <font>
      <b/>
      <sz val="12"/>
      <name val="宋体"/>
      <family val="3"/>
      <charset val="134"/>
      <scheme val="minor"/>
    </font>
    <font>
      <b/>
      <sz val="10"/>
      <name val="宋体"/>
      <family val="2"/>
      <charset val="134"/>
    </font>
    <font>
      <sz val="9"/>
      <name val="Times New Roman"/>
      <family val="1"/>
    </font>
    <font>
      <sz val="9"/>
      <name val="宋体"/>
      <family val="2"/>
      <charset val="134"/>
    </font>
    <font>
      <b/>
      <sz val="16"/>
      <name val="宋体"/>
      <family val="3"/>
      <charset val="134"/>
      <scheme val="major"/>
    </font>
    <font>
      <sz val="14"/>
      <name val="仿宋"/>
      <family val="3"/>
      <charset val="134"/>
    </font>
    <font>
      <sz val="12"/>
      <color theme="1"/>
      <name val="仿宋"/>
      <family val="3"/>
      <charset val="134"/>
    </font>
    <font>
      <sz val="14"/>
      <color theme="1"/>
      <name val="仿宋"/>
      <family val="3"/>
      <charset val="134"/>
    </font>
    <font>
      <sz val="18"/>
      <name val="宋体"/>
      <family val="3"/>
      <charset val="134"/>
    </font>
  </fonts>
  <fills count="6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indexed="22"/>
        <bgColor indexed="64"/>
      </patternFill>
    </fill>
    <fill>
      <patternFill patternType="solid">
        <fgColor indexed="1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rgb="FFF2F2F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45"/>
      </patternFill>
    </fill>
    <fill>
      <patternFill patternType="solid">
        <fgColor indexed="42"/>
      </patternFill>
    </fill>
    <fill>
      <patternFill patternType="solid">
        <fgColor theme="0" tint="-0.14996795556505021"/>
        <bgColor indexed="64"/>
      </patternFill>
    </fill>
  </fills>
  <borders count="10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8"/>
      </left>
      <right/>
      <top style="thin">
        <color indexed="8"/>
      </top>
      <bottom style="thin">
        <color indexed="8"/>
      </bottom>
      <diagonal/>
    </border>
    <border>
      <left style="thin">
        <color indexed="64"/>
      </left>
      <right style="thin">
        <color indexed="8"/>
      </right>
      <top/>
      <bottom/>
      <diagonal/>
    </border>
    <border>
      <left style="thin">
        <color auto="1"/>
      </left>
      <right style="thin">
        <color indexed="8"/>
      </right>
      <top style="thin">
        <color auto="1"/>
      </top>
      <bottom/>
      <diagonal/>
    </border>
    <border>
      <left style="thin">
        <color auto="1"/>
      </left>
      <right style="thin">
        <color indexed="8"/>
      </right>
      <top/>
      <bottom style="thin">
        <color auto="1"/>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auto="1"/>
      </left>
      <right style="thin">
        <color indexed="64"/>
      </right>
      <top style="thin">
        <color auto="1"/>
      </top>
      <bottom/>
      <diagonal/>
    </border>
    <border>
      <left style="thin">
        <color indexed="64"/>
      </left>
      <right/>
      <top style="thin">
        <color indexed="64"/>
      </top>
      <bottom style="thin">
        <color indexed="64"/>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64"/>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auto="1"/>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s>
  <cellStyleXfs count="9489">
    <xf numFmtId="182" fontId="0" fillId="0" borderId="0">
      <alignment vertical="center"/>
    </xf>
    <xf numFmtId="182" fontId="4" fillId="0" borderId="0"/>
    <xf numFmtId="182" fontId="4" fillId="0" borderId="0"/>
    <xf numFmtId="43" fontId="4" fillId="0" borderId="0" applyFont="0" applyFill="0" applyBorder="0" applyAlignment="0" applyProtection="0">
      <alignment vertical="center"/>
    </xf>
    <xf numFmtId="182" fontId="5" fillId="0" borderId="0"/>
    <xf numFmtId="182" fontId="6" fillId="0" borderId="0"/>
    <xf numFmtId="182" fontId="7" fillId="0" borderId="0"/>
    <xf numFmtId="182" fontId="5" fillId="0" borderId="0"/>
    <xf numFmtId="182" fontId="8" fillId="0" borderId="0">
      <alignment vertical="center"/>
    </xf>
    <xf numFmtId="182" fontId="8" fillId="0" borderId="0"/>
    <xf numFmtId="182" fontId="3" fillId="0" borderId="0"/>
    <xf numFmtId="182" fontId="4" fillId="0" borderId="0"/>
    <xf numFmtId="182" fontId="8" fillId="0" borderId="0"/>
    <xf numFmtId="182" fontId="3" fillId="0" borderId="0"/>
    <xf numFmtId="182" fontId="8" fillId="0" borderId="0">
      <alignment vertical="center"/>
    </xf>
    <xf numFmtId="182" fontId="3" fillId="0" borderId="0"/>
    <xf numFmtId="43" fontId="20" fillId="0" borderId="0" applyFont="0" applyFill="0" applyBorder="0" applyAlignment="0" applyProtection="0">
      <alignment vertical="center"/>
    </xf>
    <xf numFmtId="9" fontId="20" fillId="0" borderId="0" applyFont="0" applyFill="0" applyBorder="0" applyAlignment="0" applyProtection="0">
      <alignment vertical="center"/>
    </xf>
    <xf numFmtId="182" fontId="7" fillId="0" borderId="0"/>
    <xf numFmtId="182" fontId="20" fillId="0" borderId="0">
      <alignment vertical="center"/>
    </xf>
    <xf numFmtId="182" fontId="20" fillId="0" borderId="0">
      <alignment vertical="center"/>
    </xf>
    <xf numFmtId="182" fontId="4" fillId="0" borderId="0"/>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3" fillId="0" borderId="0" applyNumberForma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8" fillId="0" borderId="0">
      <alignment vertical="center"/>
    </xf>
    <xf numFmtId="182" fontId="24" fillId="0" borderId="0"/>
    <xf numFmtId="182" fontId="20" fillId="0" borderId="0">
      <alignment vertical="center"/>
    </xf>
    <xf numFmtId="43" fontId="42"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182" fontId="3" fillId="0" borderId="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82" fontId="42" fillId="0" borderId="0">
      <alignment vertical="center"/>
    </xf>
    <xf numFmtId="182" fontId="3" fillId="0" borderId="0"/>
    <xf numFmtId="182" fontId="20" fillId="0" borderId="0">
      <alignment vertical="center"/>
    </xf>
    <xf numFmtId="182" fontId="20" fillId="0" borderId="0">
      <alignment vertical="center"/>
    </xf>
    <xf numFmtId="182" fontId="3" fillId="0" borderId="0">
      <alignment vertical="center"/>
    </xf>
    <xf numFmtId="182" fontId="55" fillId="58" borderId="16" applyNumberFormat="0" applyAlignment="0" applyProtection="0">
      <alignment vertical="center"/>
    </xf>
    <xf numFmtId="182" fontId="3" fillId="0" borderId="0"/>
    <xf numFmtId="43" fontId="42" fillId="0" borderId="0" applyFont="0" applyFill="0" applyBorder="0" applyAlignment="0" applyProtection="0">
      <alignment vertical="center"/>
    </xf>
    <xf numFmtId="182" fontId="41" fillId="0" borderId="0"/>
    <xf numFmtId="182" fontId="56" fillId="44" borderId="0" applyNumberFormat="0" applyBorder="0" applyAlignment="0" applyProtection="0">
      <alignment vertical="center"/>
    </xf>
    <xf numFmtId="182" fontId="40" fillId="0" borderId="25" applyNumberFormat="0" applyFill="0" applyAlignment="0" applyProtection="0">
      <alignment vertical="center"/>
    </xf>
    <xf numFmtId="182" fontId="57" fillId="9" borderId="26" applyNumberFormat="0" applyAlignment="0" applyProtection="0">
      <alignment vertical="center"/>
    </xf>
    <xf numFmtId="182" fontId="58" fillId="57" borderId="27" applyNumberFormat="0" applyAlignment="0" applyProtection="0">
      <alignment vertical="center"/>
    </xf>
    <xf numFmtId="182" fontId="59" fillId="0" borderId="0" applyNumberFormat="0" applyFill="0" applyBorder="0" applyAlignment="0" applyProtection="0">
      <alignment vertical="center"/>
    </xf>
    <xf numFmtId="182" fontId="53" fillId="0" borderId="0" applyNumberFormat="0" applyFill="0" applyBorder="0" applyAlignment="0" applyProtection="0">
      <alignment vertical="center"/>
    </xf>
    <xf numFmtId="182" fontId="60" fillId="0" borderId="28" applyNumberFormat="0" applyFill="0" applyAlignment="0" applyProtection="0">
      <alignment vertical="center"/>
    </xf>
    <xf numFmtId="182" fontId="44" fillId="59" borderId="0" applyNumberFormat="0" applyBorder="0" applyAlignment="0" applyProtection="0">
      <alignment vertical="center"/>
    </xf>
    <xf numFmtId="182" fontId="44" fillId="60" borderId="0" applyNumberFormat="0" applyBorder="0" applyAlignment="0" applyProtection="0">
      <alignment vertical="center"/>
    </xf>
    <xf numFmtId="182" fontId="44" fillId="61" borderId="0" applyNumberFormat="0" applyBorder="0" applyAlignment="0" applyProtection="0">
      <alignment vertical="center"/>
    </xf>
    <xf numFmtId="182" fontId="44" fillId="53" borderId="0" applyNumberFormat="0" applyBorder="0" applyAlignment="0" applyProtection="0">
      <alignment vertical="center"/>
    </xf>
    <xf numFmtId="182" fontId="44" fillId="55" borderId="0" applyNumberFormat="0" applyBorder="0" applyAlignment="0" applyProtection="0">
      <alignment vertical="center"/>
    </xf>
    <xf numFmtId="182" fontId="44" fillId="62" borderId="0" applyNumberFormat="0" applyBorder="0" applyAlignment="0" applyProtection="0">
      <alignment vertical="center"/>
    </xf>
    <xf numFmtId="182" fontId="61" fillId="63" borderId="0" applyNumberFormat="0" applyBorder="0" applyAlignment="0" applyProtection="0">
      <alignment vertical="center"/>
    </xf>
    <xf numFmtId="182" fontId="62" fillId="9" borderId="29" applyNumberFormat="0" applyAlignment="0" applyProtection="0">
      <alignment vertical="center"/>
    </xf>
    <xf numFmtId="182" fontId="63" fillId="47" borderId="26" applyNumberFormat="0" applyAlignment="0" applyProtection="0">
      <alignment vertical="center"/>
    </xf>
    <xf numFmtId="182" fontId="3" fillId="64" borderId="30" applyNumberFormat="0" applyFont="0" applyAlignment="0" applyProtection="0">
      <alignment vertical="center"/>
    </xf>
    <xf numFmtId="182" fontId="40" fillId="0" borderId="25" applyNumberFormat="0" applyFill="0" applyAlignment="0" applyProtection="0">
      <alignment vertical="center"/>
    </xf>
    <xf numFmtId="182" fontId="57" fillId="9" borderId="26" applyNumberFormat="0" applyAlignment="0" applyProtection="0">
      <alignment vertical="center"/>
    </xf>
    <xf numFmtId="182" fontId="62" fillId="9" borderId="29" applyNumberFormat="0" applyAlignment="0" applyProtection="0">
      <alignment vertical="center"/>
    </xf>
    <xf numFmtId="182" fontId="63" fillId="47" borderId="26" applyNumberFormat="0" applyAlignment="0" applyProtection="0">
      <alignment vertical="center"/>
    </xf>
    <xf numFmtId="182" fontId="3" fillId="64" borderId="30" applyNumberFormat="0" applyFont="0" applyAlignment="0" applyProtection="0">
      <alignment vertical="center"/>
    </xf>
    <xf numFmtId="182" fontId="8" fillId="27" borderId="0" applyNumberFormat="0" applyBorder="0" applyAlignment="0" applyProtection="0">
      <alignment vertical="center"/>
    </xf>
    <xf numFmtId="182" fontId="8" fillId="27" borderId="0" applyNumberFormat="0" applyBorder="0" applyAlignment="0" applyProtection="0">
      <alignment vertical="center"/>
    </xf>
    <xf numFmtId="182" fontId="8" fillId="27" borderId="0" applyNumberFormat="0" applyBorder="0" applyAlignment="0" applyProtection="0">
      <alignment vertical="center"/>
    </xf>
    <xf numFmtId="182" fontId="8" fillId="27" borderId="0" applyNumberFormat="0" applyBorder="0" applyAlignment="0" applyProtection="0">
      <alignment vertical="center"/>
    </xf>
    <xf numFmtId="182" fontId="8" fillId="27" borderId="0" applyNumberFormat="0" applyBorder="0" applyAlignment="0" applyProtection="0">
      <alignment vertical="center"/>
    </xf>
    <xf numFmtId="182" fontId="8" fillId="31" borderId="0" applyNumberFormat="0" applyBorder="0" applyAlignment="0" applyProtection="0">
      <alignment vertical="center"/>
    </xf>
    <xf numFmtId="182" fontId="8" fillId="31" borderId="0" applyNumberFormat="0" applyBorder="0" applyAlignment="0" applyProtection="0">
      <alignment vertical="center"/>
    </xf>
    <xf numFmtId="182" fontId="8" fillId="31" borderId="0" applyNumberFormat="0" applyBorder="0" applyAlignment="0" applyProtection="0">
      <alignment vertical="center"/>
    </xf>
    <xf numFmtId="182" fontId="8" fillId="31" borderId="0" applyNumberFormat="0" applyBorder="0" applyAlignment="0" applyProtection="0">
      <alignment vertical="center"/>
    </xf>
    <xf numFmtId="182" fontId="8" fillId="31" borderId="0" applyNumberFormat="0" applyBorder="0" applyAlignment="0" applyProtection="0">
      <alignment vertical="center"/>
    </xf>
    <xf numFmtId="182" fontId="8" fillId="31" borderId="0" applyNumberFormat="0" applyBorder="0" applyAlignment="0" applyProtection="0">
      <alignment vertical="center"/>
    </xf>
    <xf numFmtId="182" fontId="8" fillId="35" borderId="0" applyNumberFormat="0" applyBorder="0" applyAlignment="0" applyProtection="0">
      <alignment vertical="center"/>
    </xf>
    <xf numFmtId="182" fontId="8" fillId="35" borderId="0" applyNumberFormat="0" applyBorder="0" applyAlignment="0" applyProtection="0">
      <alignment vertical="center"/>
    </xf>
    <xf numFmtId="182" fontId="8" fillId="35" borderId="0" applyNumberFormat="0" applyBorder="0" applyAlignment="0" applyProtection="0">
      <alignment vertical="center"/>
    </xf>
    <xf numFmtId="182" fontId="8" fillId="35" borderId="0" applyNumberFormat="0" applyBorder="0" applyAlignment="0" applyProtection="0">
      <alignment vertical="center"/>
    </xf>
    <xf numFmtId="182" fontId="8" fillId="35" borderId="0" applyNumberFormat="0" applyBorder="0" applyAlignment="0" applyProtection="0">
      <alignment vertical="center"/>
    </xf>
    <xf numFmtId="182" fontId="8" fillId="35" borderId="0" applyNumberFormat="0" applyBorder="0" applyAlignment="0" applyProtection="0">
      <alignment vertical="center"/>
    </xf>
    <xf numFmtId="182" fontId="8" fillId="39" borderId="0" applyNumberFormat="0" applyBorder="0" applyAlignment="0" applyProtection="0">
      <alignment vertical="center"/>
    </xf>
    <xf numFmtId="182" fontId="8" fillId="39" borderId="0" applyNumberFormat="0" applyBorder="0" applyAlignment="0" applyProtection="0">
      <alignment vertical="center"/>
    </xf>
    <xf numFmtId="182" fontId="8" fillId="39" borderId="0" applyNumberFormat="0" applyBorder="0" applyAlignment="0" applyProtection="0">
      <alignment vertical="center"/>
    </xf>
    <xf numFmtId="182" fontId="8" fillId="39" borderId="0" applyNumberFormat="0" applyBorder="0" applyAlignment="0" applyProtection="0">
      <alignment vertical="center"/>
    </xf>
    <xf numFmtId="182" fontId="8" fillId="39" borderId="0" applyNumberFormat="0" applyBorder="0" applyAlignment="0" applyProtection="0">
      <alignment vertical="center"/>
    </xf>
    <xf numFmtId="182" fontId="8" fillId="39" borderId="0" applyNumberFormat="0" applyBorder="0" applyAlignment="0" applyProtection="0">
      <alignment vertical="center"/>
    </xf>
    <xf numFmtId="182" fontId="8" fillId="20" borderId="0" applyNumberFormat="0" applyBorder="0" applyAlignment="0" applyProtection="0">
      <alignment vertical="center"/>
    </xf>
    <xf numFmtId="182" fontId="8" fillId="20" borderId="0" applyNumberFormat="0" applyBorder="0" applyAlignment="0" applyProtection="0">
      <alignment vertical="center"/>
    </xf>
    <xf numFmtId="182" fontId="8" fillId="20" borderId="0" applyNumberFormat="0" applyBorder="0" applyAlignment="0" applyProtection="0">
      <alignment vertical="center"/>
    </xf>
    <xf numFmtId="182" fontId="8" fillId="20" borderId="0" applyNumberFormat="0" applyBorder="0" applyAlignment="0" applyProtection="0">
      <alignment vertical="center"/>
    </xf>
    <xf numFmtId="182" fontId="8" fillId="20" borderId="0" applyNumberFormat="0" applyBorder="0" applyAlignment="0" applyProtection="0">
      <alignment vertical="center"/>
    </xf>
    <xf numFmtId="182" fontId="8" fillId="20" borderId="0" applyNumberFormat="0" applyBorder="0" applyAlignment="0" applyProtection="0">
      <alignment vertical="center"/>
    </xf>
    <xf numFmtId="182" fontId="8" fillId="24" borderId="0" applyNumberFormat="0" applyBorder="0" applyAlignment="0" applyProtection="0">
      <alignment vertical="center"/>
    </xf>
    <xf numFmtId="182" fontId="8" fillId="24" borderId="0" applyNumberFormat="0" applyBorder="0" applyAlignment="0" applyProtection="0">
      <alignment vertical="center"/>
    </xf>
    <xf numFmtId="182" fontId="8" fillId="24" borderId="0" applyNumberFormat="0" applyBorder="0" applyAlignment="0" applyProtection="0">
      <alignment vertical="center"/>
    </xf>
    <xf numFmtId="182" fontId="8" fillId="24" borderId="0" applyNumberFormat="0" applyBorder="0" applyAlignment="0" applyProtection="0">
      <alignment vertical="center"/>
    </xf>
    <xf numFmtId="182" fontId="8" fillId="24" borderId="0" applyNumberFormat="0" applyBorder="0" applyAlignment="0" applyProtection="0">
      <alignment vertical="center"/>
    </xf>
    <xf numFmtId="182" fontId="8" fillId="24" borderId="0" applyNumberFormat="0" applyBorder="0" applyAlignment="0" applyProtection="0">
      <alignment vertical="center"/>
    </xf>
    <xf numFmtId="182" fontId="8" fillId="28" borderId="0" applyNumberFormat="0" applyBorder="0" applyAlignment="0" applyProtection="0">
      <alignment vertical="center"/>
    </xf>
    <xf numFmtId="182" fontId="8" fillId="28" borderId="0" applyNumberFormat="0" applyBorder="0" applyAlignment="0" applyProtection="0">
      <alignment vertical="center"/>
    </xf>
    <xf numFmtId="182" fontId="8" fillId="28" borderId="0" applyNumberFormat="0" applyBorder="0" applyAlignment="0" applyProtection="0">
      <alignment vertical="center"/>
    </xf>
    <xf numFmtId="182" fontId="8" fillId="28" borderId="0" applyNumberFormat="0" applyBorder="0" applyAlignment="0" applyProtection="0">
      <alignment vertical="center"/>
    </xf>
    <xf numFmtId="182" fontId="8" fillId="28" borderId="0" applyNumberFormat="0" applyBorder="0" applyAlignment="0" applyProtection="0">
      <alignment vertical="center"/>
    </xf>
    <xf numFmtId="182" fontId="8" fillId="28" borderId="0" applyNumberFormat="0" applyBorder="0" applyAlignment="0" applyProtection="0">
      <alignment vertical="center"/>
    </xf>
    <xf numFmtId="182" fontId="8" fillId="32" borderId="0" applyNumberFormat="0" applyBorder="0" applyAlignment="0" applyProtection="0">
      <alignment vertical="center"/>
    </xf>
    <xf numFmtId="182" fontId="8" fillId="32" borderId="0" applyNumberFormat="0" applyBorder="0" applyAlignment="0" applyProtection="0">
      <alignment vertical="center"/>
    </xf>
    <xf numFmtId="182" fontId="8" fillId="32" borderId="0" applyNumberFormat="0" applyBorder="0" applyAlignment="0" applyProtection="0">
      <alignment vertical="center"/>
    </xf>
    <xf numFmtId="182" fontId="8" fillId="32" borderId="0" applyNumberFormat="0" applyBorder="0" applyAlignment="0" applyProtection="0">
      <alignment vertical="center"/>
    </xf>
    <xf numFmtId="182" fontId="8" fillId="36" borderId="0" applyNumberFormat="0" applyBorder="0" applyAlignment="0" applyProtection="0">
      <alignment vertical="center"/>
    </xf>
    <xf numFmtId="182" fontId="8" fillId="36" borderId="0" applyNumberFormat="0" applyBorder="0" applyAlignment="0" applyProtection="0">
      <alignment vertical="center"/>
    </xf>
    <xf numFmtId="182" fontId="8" fillId="36" borderId="0" applyNumberFormat="0" applyBorder="0" applyAlignment="0" applyProtection="0">
      <alignment vertical="center"/>
    </xf>
    <xf numFmtId="182" fontId="8" fillId="36" borderId="0" applyNumberFormat="0" applyBorder="0" applyAlignment="0" applyProtection="0">
      <alignment vertical="center"/>
    </xf>
    <xf numFmtId="182" fontId="8" fillId="36" borderId="0" applyNumberFormat="0" applyBorder="0" applyAlignment="0" applyProtection="0">
      <alignment vertical="center"/>
    </xf>
    <xf numFmtId="182" fontId="8" fillId="36" borderId="0" applyNumberFormat="0" applyBorder="0" applyAlignment="0" applyProtection="0">
      <alignment vertical="center"/>
    </xf>
    <xf numFmtId="182" fontId="8" fillId="40" borderId="0" applyNumberFormat="0" applyBorder="0" applyAlignment="0" applyProtection="0">
      <alignment vertical="center"/>
    </xf>
    <xf numFmtId="182" fontId="8" fillId="40" borderId="0" applyNumberFormat="0" applyBorder="0" applyAlignment="0" applyProtection="0">
      <alignment vertical="center"/>
    </xf>
    <xf numFmtId="182" fontId="8" fillId="40" borderId="0" applyNumberFormat="0" applyBorder="0" applyAlignment="0" applyProtection="0">
      <alignment vertical="center"/>
    </xf>
    <xf numFmtId="182" fontId="8" fillId="40" borderId="0" applyNumberFormat="0" applyBorder="0" applyAlignment="0" applyProtection="0">
      <alignment vertical="center"/>
    </xf>
    <xf numFmtId="182" fontId="8" fillId="40" borderId="0" applyNumberFormat="0" applyBorder="0" applyAlignment="0" applyProtection="0">
      <alignment vertical="center"/>
    </xf>
    <xf numFmtId="182" fontId="8" fillId="40" borderId="0" applyNumberFormat="0" applyBorder="0" applyAlignment="0" applyProtection="0">
      <alignment vertical="center"/>
    </xf>
    <xf numFmtId="182" fontId="64" fillId="21" borderId="0" applyNumberFormat="0" applyBorder="0" applyAlignment="0" applyProtection="0">
      <alignment vertical="center"/>
    </xf>
    <xf numFmtId="182" fontId="64" fillId="21" borderId="0" applyNumberFormat="0" applyBorder="0" applyAlignment="0" applyProtection="0">
      <alignment vertical="center"/>
    </xf>
    <xf numFmtId="182" fontId="64" fillId="21" borderId="0" applyNumberFormat="0" applyBorder="0" applyAlignment="0" applyProtection="0">
      <alignment vertical="center"/>
    </xf>
    <xf numFmtId="182" fontId="64" fillId="21" borderId="0" applyNumberFormat="0" applyBorder="0" applyAlignment="0" applyProtection="0">
      <alignment vertical="center"/>
    </xf>
    <xf numFmtId="182" fontId="64" fillId="21" borderId="0" applyNumberFormat="0" applyBorder="0" applyAlignment="0" applyProtection="0">
      <alignment vertical="center"/>
    </xf>
    <xf numFmtId="182" fontId="64" fillId="21" borderId="0" applyNumberFormat="0" applyBorder="0" applyAlignment="0" applyProtection="0">
      <alignment vertical="center"/>
    </xf>
    <xf numFmtId="182" fontId="64" fillId="25" borderId="0" applyNumberFormat="0" applyBorder="0" applyAlignment="0" applyProtection="0">
      <alignment vertical="center"/>
    </xf>
    <xf numFmtId="182" fontId="64" fillId="25" borderId="0" applyNumberFormat="0" applyBorder="0" applyAlignment="0" applyProtection="0">
      <alignment vertical="center"/>
    </xf>
    <xf numFmtId="182" fontId="64" fillId="25" borderId="0" applyNumberFormat="0" applyBorder="0" applyAlignment="0" applyProtection="0">
      <alignment vertical="center"/>
    </xf>
    <xf numFmtId="182" fontId="64" fillId="25" borderId="0" applyNumberFormat="0" applyBorder="0" applyAlignment="0" applyProtection="0">
      <alignment vertical="center"/>
    </xf>
    <xf numFmtId="182" fontId="64" fillId="25" borderId="0" applyNumberFormat="0" applyBorder="0" applyAlignment="0" applyProtection="0">
      <alignment vertical="center"/>
    </xf>
    <xf numFmtId="182" fontId="64" fillId="25" borderId="0" applyNumberFormat="0" applyBorder="0" applyAlignment="0" applyProtection="0">
      <alignment vertical="center"/>
    </xf>
    <xf numFmtId="182" fontId="64" fillId="29" borderId="0" applyNumberFormat="0" applyBorder="0" applyAlignment="0" applyProtection="0">
      <alignment vertical="center"/>
    </xf>
    <xf numFmtId="182" fontId="64" fillId="29" borderId="0" applyNumberFormat="0" applyBorder="0" applyAlignment="0" applyProtection="0">
      <alignment vertical="center"/>
    </xf>
    <xf numFmtId="182" fontId="64" fillId="29" borderId="0" applyNumberFormat="0" applyBorder="0" applyAlignment="0" applyProtection="0">
      <alignment vertical="center"/>
    </xf>
    <xf numFmtId="182" fontId="64" fillId="29" borderId="0" applyNumberFormat="0" applyBorder="0" applyAlignment="0" applyProtection="0">
      <alignment vertical="center"/>
    </xf>
    <xf numFmtId="182" fontId="64" fillId="29" borderId="0" applyNumberFormat="0" applyBorder="0" applyAlignment="0" applyProtection="0">
      <alignment vertical="center"/>
    </xf>
    <xf numFmtId="182" fontId="64" fillId="29" borderId="0" applyNumberFormat="0" applyBorder="0" applyAlignment="0" applyProtection="0">
      <alignment vertical="center"/>
    </xf>
    <xf numFmtId="182" fontId="64" fillId="33" borderId="0" applyNumberFormat="0" applyBorder="0" applyAlignment="0" applyProtection="0">
      <alignment vertical="center"/>
    </xf>
    <xf numFmtId="182" fontId="64" fillId="33" borderId="0" applyNumberFormat="0" applyBorder="0" applyAlignment="0" applyProtection="0">
      <alignment vertical="center"/>
    </xf>
    <xf numFmtId="182" fontId="64" fillId="33" borderId="0" applyNumberFormat="0" applyBorder="0" applyAlignment="0" applyProtection="0">
      <alignment vertical="center"/>
    </xf>
    <xf numFmtId="182" fontId="64" fillId="33" borderId="0" applyNumberFormat="0" applyBorder="0" applyAlignment="0" applyProtection="0">
      <alignment vertical="center"/>
    </xf>
    <xf numFmtId="182" fontId="64" fillId="33" borderId="0" applyNumberFormat="0" applyBorder="0" applyAlignment="0" applyProtection="0">
      <alignment vertical="center"/>
    </xf>
    <xf numFmtId="182" fontId="64" fillId="33" borderId="0" applyNumberFormat="0" applyBorder="0" applyAlignment="0" applyProtection="0">
      <alignment vertical="center"/>
    </xf>
    <xf numFmtId="182" fontId="64" fillId="37" borderId="0" applyNumberFormat="0" applyBorder="0" applyAlignment="0" applyProtection="0">
      <alignment vertical="center"/>
    </xf>
    <xf numFmtId="182" fontId="64" fillId="37" borderId="0" applyNumberFormat="0" applyBorder="0" applyAlignment="0" applyProtection="0">
      <alignment vertical="center"/>
    </xf>
    <xf numFmtId="182" fontId="64" fillId="37" borderId="0" applyNumberFormat="0" applyBorder="0" applyAlignment="0" applyProtection="0">
      <alignment vertical="center"/>
    </xf>
    <xf numFmtId="182" fontId="64" fillId="37" borderId="0" applyNumberFormat="0" applyBorder="0" applyAlignment="0" applyProtection="0">
      <alignment vertical="center"/>
    </xf>
    <xf numFmtId="182" fontId="64" fillId="37" borderId="0" applyNumberFormat="0" applyBorder="0" applyAlignment="0" applyProtection="0">
      <alignment vertical="center"/>
    </xf>
    <xf numFmtId="182" fontId="64" fillId="37" borderId="0" applyNumberFormat="0" applyBorder="0" applyAlignment="0" applyProtection="0">
      <alignment vertical="center"/>
    </xf>
    <xf numFmtId="182" fontId="64" fillId="41" borderId="0" applyNumberFormat="0" applyBorder="0" applyAlignment="0" applyProtection="0">
      <alignment vertical="center"/>
    </xf>
    <xf numFmtId="182" fontId="64" fillId="41" borderId="0" applyNumberFormat="0" applyBorder="0" applyAlignment="0" applyProtection="0">
      <alignment vertical="center"/>
    </xf>
    <xf numFmtId="182" fontId="64" fillId="41" borderId="0" applyNumberFormat="0" applyBorder="0" applyAlignment="0" applyProtection="0">
      <alignment vertical="center"/>
    </xf>
    <xf numFmtId="182" fontId="64" fillId="41" borderId="0" applyNumberFormat="0" applyBorder="0" applyAlignment="0" applyProtection="0">
      <alignment vertical="center"/>
    </xf>
    <xf numFmtId="182" fontId="64" fillId="41" borderId="0" applyNumberFormat="0" applyBorder="0" applyAlignment="0" applyProtection="0">
      <alignment vertical="center"/>
    </xf>
    <xf numFmtId="182" fontId="64" fillId="41" borderId="0" applyNumberFormat="0" applyBorder="0" applyAlignment="0" applyProtection="0">
      <alignment vertical="center"/>
    </xf>
    <xf numFmtId="182" fontId="65" fillId="0" borderId="13" applyNumberFormat="0" applyFill="0" applyAlignment="0" applyProtection="0">
      <alignment vertical="center"/>
    </xf>
    <xf numFmtId="182" fontId="65" fillId="0" borderId="13" applyNumberFormat="0" applyFill="0" applyAlignment="0" applyProtection="0">
      <alignment vertical="center"/>
    </xf>
    <xf numFmtId="182" fontId="65" fillId="0" borderId="13" applyNumberFormat="0" applyFill="0" applyAlignment="0" applyProtection="0">
      <alignment vertical="center"/>
    </xf>
    <xf numFmtId="182" fontId="65" fillId="0" borderId="13" applyNumberFormat="0" applyFill="0" applyAlignment="0" applyProtection="0">
      <alignment vertical="center"/>
    </xf>
    <xf numFmtId="182" fontId="65" fillId="0" borderId="13" applyNumberFormat="0" applyFill="0" applyAlignment="0" applyProtection="0">
      <alignment vertical="center"/>
    </xf>
    <xf numFmtId="182" fontId="65" fillId="0" borderId="13" applyNumberFormat="0" applyFill="0" applyAlignment="0" applyProtection="0">
      <alignment vertical="center"/>
    </xf>
    <xf numFmtId="182" fontId="66" fillId="0" borderId="14" applyNumberFormat="0" applyFill="0" applyAlignment="0" applyProtection="0">
      <alignment vertical="center"/>
    </xf>
    <xf numFmtId="182" fontId="66" fillId="0" borderId="14" applyNumberFormat="0" applyFill="0" applyAlignment="0" applyProtection="0">
      <alignment vertical="center"/>
    </xf>
    <xf numFmtId="182" fontId="66" fillId="0" borderId="14" applyNumberFormat="0" applyFill="0" applyAlignment="0" applyProtection="0">
      <alignment vertical="center"/>
    </xf>
    <xf numFmtId="182" fontId="66" fillId="0" borderId="14" applyNumberFormat="0" applyFill="0" applyAlignment="0" applyProtection="0">
      <alignment vertical="center"/>
    </xf>
    <xf numFmtId="182" fontId="66" fillId="0" borderId="14" applyNumberFormat="0" applyFill="0" applyAlignment="0" applyProtection="0">
      <alignment vertical="center"/>
    </xf>
    <xf numFmtId="182" fontId="66" fillId="0" borderId="14" applyNumberFormat="0" applyFill="0" applyAlignment="0" applyProtection="0">
      <alignment vertical="center"/>
    </xf>
    <xf numFmtId="182" fontId="67" fillId="0" borderId="15" applyNumberFormat="0" applyFill="0" applyAlignment="0" applyProtection="0">
      <alignment vertical="center"/>
    </xf>
    <xf numFmtId="182" fontId="67" fillId="0" borderId="15" applyNumberFormat="0" applyFill="0" applyAlignment="0" applyProtection="0">
      <alignment vertical="center"/>
    </xf>
    <xf numFmtId="182" fontId="67" fillId="0" borderId="15" applyNumberFormat="0" applyFill="0" applyAlignment="0" applyProtection="0">
      <alignment vertical="center"/>
    </xf>
    <xf numFmtId="182" fontId="67" fillId="0" borderId="15" applyNumberFormat="0" applyFill="0" applyAlignment="0" applyProtection="0">
      <alignment vertical="center"/>
    </xf>
    <xf numFmtId="182" fontId="67" fillId="0" borderId="15" applyNumberFormat="0" applyFill="0" applyAlignment="0" applyProtection="0">
      <alignment vertical="center"/>
    </xf>
    <xf numFmtId="182" fontId="67" fillId="0" borderId="15" applyNumberFormat="0" applyFill="0" applyAlignment="0" applyProtection="0">
      <alignment vertical="center"/>
    </xf>
    <xf numFmtId="182" fontId="67" fillId="0" borderId="0" applyNumberFormat="0" applyFill="0" applyBorder="0" applyAlignment="0" applyProtection="0">
      <alignment vertical="center"/>
    </xf>
    <xf numFmtId="182" fontId="67" fillId="0" borderId="0" applyNumberFormat="0" applyFill="0" applyBorder="0" applyAlignment="0" applyProtection="0">
      <alignment vertical="center"/>
    </xf>
    <xf numFmtId="182" fontId="67" fillId="0" borderId="0" applyNumberFormat="0" applyFill="0" applyBorder="0" applyAlignment="0" applyProtection="0">
      <alignment vertical="center"/>
    </xf>
    <xf numFmtId="182" fontId="67" fillId="0" borderId="0" applyNumberFormat="0" applyFill="0" applyBorder="0" applyAlignment="0" applyProtection="0">
      <alignment vertical="center"/>
    </xf>
    <xf numFmtId="182" fontId="67" fillId="0" borderId="0" applyNumberFormat="0" applyFill="0" applyBorder="0" applyAlignment="0" applyProtection="0">
      <alignment vertical="center"/>
    </xf>
    <xf numFmtId="182" fontId="67"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9" fillId="12" borderId="0" applyNumberFormat="0" applyBorder="0" applyAlignment="0" applyProtection="0">
      <alignment vertical="center"/>
    </xf>
    <xf numFmtId="182" fontId="69" fillId="12" borderId="0" applyNumberFormat="0" applyBorder="0" applyAlignment="0" applyProtection="0">
      <alignment vertical="center"/>
    </xf>
    <xf numFmtId="182" fontId="69" fillId="12" borderId="0" applyNumberFormat="0" applyBorder="0" applyAlignment="0" applyProtection="0">
      <alignment vertical="center"/>
    </xf>
    <xf numFmtId="182" fontId="69" fillId="12" borderId="0" applyNumberFormat="0" applyBorder="0" applyAlignment="0" applyProtection="0">
      <alignment vertical="center"/>
    </xf>
    <xf numFmtId="182" fontId="69" fillId="12" borderId="0" applyNumberFormat="0" applyBorder="0" applyAlignment="0" applyProtection="0">
      <alignment vertical="center"/>
    </xf>
    <xf numFmtId="182" fontId="69" fillId="12" borderId="0" applyNumberFormat="0" applyBorder="0" applyAlignment="0" applyProtection="0">
      <alignment vertical="center"/>
    </xf>
    <xf numFmtId="182" fontId="8" fillId="0" borderId="0">
      <alignment vertical="center"/>
    </xf>
    <xf numFmtId="182" fontId="3" fillId="0" borderId="0">
      <alignment vertical="center"/>
    </xf>
    <xf numFmtId="182" fontId="8" fillId="0" borderId="0">
      <alignment vertical="center"/>
    </xf>
    <xf numFmtId="182" fontId="8" fillId="0" borderId="0">
      <alignment vertical="center"/>
    </xf>
    <xf numFmtId="182" fontId="8" fillId="0" borderId="0">
      <alignment vertical="center"/>
    </xf>
    <xf numFmtId="182" fontId="8" fillId="0" borderId="0">
      <alignment vertical="center"/>
    </xf>
    <xf numFmtId="182" fontId="8" fillId="0" borderId="0">
      <alignment vertical="center"/>
    </xf>
    <xf numFmtId="182" fontId="78" fillId="0" borderId="0">
      <alignment vertical="center"/>
    </xf>
    <xf numFmtId="182" fontId="3" fillId="0" borderId="0"/>
    <xf numFmtId="182" fontId="70" fillId="11" borderId="0" applyNumberFormat="0" applyBorder="0" applyAlignment="0" applyProtection="0">
      <alignment vertical="center"/>
    </xf>
    <xf numFmtId="182" fontId="70" fillId="11" borderId="0" applyNumberFormat="0" applyBorder="0" applyAlignment="0" applyProtection="0">
      <alignment vertical="center"/>
    </xf>
    <xf numFmtId="182" fontId="70" fillId="11" borderId="0" applyNumberFormat="0" applyBorder="0" applyAlignment="0" applyProtection="0">
      <alignment vertical="center"/>
    </xf>
    <xf numFmtId="182" fontId="70" fillId="11" borderId="0" applyNumberFormat="0" applyBorder="0" applyAlignment="0" applyProtection="0">
      <alignment vertical="center"/>
    </xf>
    <xf numFmtId="182" fontId="70" fillId="11" borderId="0" applyNumberFormat="0" applyBorder="0" applyAlignment="0" applyProtection="0">
      <alignment vertical="center"/>
    </xf>
    <xf numFmtId="182" fontId="70" fillId="11" borderId="0" applyNumberFormat="0" applyBorder="0" applyAlignment="0" applyProtection="0">
      <alignment vertical="center"/>
    </xf>
    <xf numFmtId="182" fontId="11" fillId="0" borderId="21" applyNumberFormat="0" applyFill="0" applyAlignment="0" applyProtection="0">
      <alignment vertical="center"/>
    </xf>
    <xf numFmtId="182" fontId="11" fillId="0" borderId="21" applyNumberFormat="0" applyFill="0" applyAlignment="0" applyProtection="0">
      <alignment vertical="center"/>
    </xf>
    <xf numFmtId="182" fontId="11" fillId="0" borderId="21" applyNumberFormat="0" applyFill="0" applyAlignment="0" applyProtection="0">
      <alignment vertical="center"/>
    </xf>
    <xf numFmtId="182" fontId="11" fillId="0" borderId="21" applyNumberFormat="0" applyFill="0" applyAlignment="0" applyProtection="0">
      <alignment vertical="center"/>
    </xf>
    <xf numFmtId="182" fontId="11" fillId="0" borderId="21" applyNumberFormat="0" applyFill="0" applyAlignment="0" applyProtection="0">
      <alignment vertical="center"/>
    </xf>
    <xf numFmtId="182" fontId="11" fillId="0" borderId="21" applyNumberFormat="0" applyFill="0" applyAlignment="0" applyProtection="0">
      <alignment vertical="center"/>
    </xf>
    <xf numFmtId="182" fontId="55" fillId="15" borderId="16" applyNumberFormat="0" applyAlignment="0" applyProtection="0">
      <alignment vertical="center"/>
    </xf>
    <xf numFmtId="182" fontId="55" fillId="15" borderId="16" applyNumberFormat="0" applyAlignment="0" applyProtection="0">
      <alignment vertical="center"/>
    </xf>
    <xf numFmtId="182" fontId="55" fillId="15" borderId="16" applyNumberFormat="0" applyAlignment="0" applyProtection="0">
      <alignment vertical="center"/>
    </xf>
    <xf numFmtId="182" fontId="55" fillId="15" borderId="16" applyNumberFormat="0" applyAlignment="0" applyProtection="0">
      <alignment vertical="center"/>
    </xf>
    <xf numFmtId="182" fontId="55" fillId="15" borderId="16" applyNumberFormat="0" applyAlignment="0" applyProtection="0">
      <alignment vertical="center"/>
    </xf>
    <xf numFmtId="182" fontId="55" fillId="15" borderId="16" applyNumberFormat="0" applyAlignment="0" applyProtection="0">
      <alignment vertical="center"/>
    </xf>
    <xf numFmtId="182" fontId="71" fillId="16" borderId="19" applyNumberFormat="0" applyAlignment="0" applyProtection="0">
      <alignment vertical="center"/>
    </xf>
    <xf numFmtId="182" fontId="71" fillId="16" borderId="19" applyNumberFormat="0" applyAlignment="0" applyProtection="0">
      <alignment vertical="center"/>
    </xf>
    <xf numFmtId="182" fontId="71" fillId="16" borderId="19" applyNumberFormat="0" applyAlignment="0" applyProtection="0">
      <alignment vertical="center"/>
    </xf>
    <xf numFmtId="182" fontId="71" fillId="16" borderId="19" applyNumberFormat="0" applyAlignment="0" applyProtection="0">
      <alignment vertical="center"/>
    </xf>
    <xf numFmtId="182" fontId="71" fillId="16" borderId="19" applyNumberFormat="0" applyAlignment="0" applyProtection="0">
      <alignment vertical="center"/>
    </xf>
    <xf numFmtId="182" fontId="71" fillId="16" borderId="19" applyNumberFormat="0" applyAlignment="0" applyProtection="0">
      <alignment vertical="center"/>
    </xf>
    <xf numFmtId="182" fontId="72" fillId="0" borderId="0" applyNumberFormat="0" applyFill="0" applyBorder="0" applyAlignment="0" applyProtection="0">
      <alignment vertical="center"/>
    </xf>
    <xf numFmtId="182" fontId="72" fillId="0" borderId="0" applyNumberFormat="0" applyFill="0" applyBorder="0" applyAlignment="0" applyProtection="0">
      <alignment vertical="center"/>
    </xf>
    <xf numFmtId="182" fontId="72" fillId="0" borderId="0" applyNumberFormat="0" applyFill="0" applyBorder="0" applyAlignment="0" applyProtection="0">
      <alignment vertical="center"/>
    </xf>
    <xf numFmtId="182" fontId="72" fillId="0" borderId="0" applyNumberFormat="0" applyFill="0" applyBorder="0" applyAlignment="0" applyProtection="0">
      <alignment vertical="center"/>
    </xf>
    <xf numFmtId="182" fontId="72" fillId="0" borderId="0" applyNumberFormat="0" applyFill="0" applyBorder="0" applyAlignment="0" applyProtection="0">
      <alignment vertical="center"/>
    </xf>
    <xf numFmtId="182" fontId="72"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4" fillId="0" borderId="18" applyNumberFormat="0" applyFill="0" applyAlignment="0" applyProtection="0">
      <alignment vertical="center"/>
    </xf>
    <xf numFmtId="182" fontId="74" fillId="0" borderId="18" applyNumberFormat="0" applyFill="0" applyAlignment="0" applyProtection="0">
      <alignment vertical="center"/>
    </xf>
    <xf numFmtId="182" fontId="74" fillId="0" borderId="18" applyNumberFormat="0" applyFill="0" applyAlignment="0" applyProtection="0">
      <alignment vertical="center"/>
    </xf>
    <xf numFmtId="182" fontId="74" fillId="0" borderId="18" applyNumberFormat="0" applyFill="0" applyAlignment="0" applyProtection="0">
      <alignment vertical="center"/>
    </xf>
    <xf numFmtId="182" fontId="74" fillId="0" borderId="18" applyNumberFormat="0" applyFill="0" applyAlignment="0" applyProtection="0">
      <alignment vertical="center"/>
    </xf>
    <xf numFmtId="182" fontId="74" fillId="0" borderId="18" applyNumberFormat="0" applyFill="0" applyAlignment="0" applyProtection="0">
      <alignment vertical="center"/>
    </xf>
    <xf numFmtId="182" fontId="64" fillId="18" borderId="0" applyNumberFormat="0" applyBorder="0" applyAlignment="0" applyProtection="0">
      <alignment vertical="center"/>
    </xf>
    <xf numFmtId="182" fontId="64" fillId="18" borderId="0" applyNumberFormat="0" applyBorder="0" applyAlignment="0" applyProtection="0">
      <alignment vertical="center"/>
    </xf>
    <xf numFmtId="182" fontId="64" fillId="18" borderId="0" applyNumberFormat="0" applyBorder="0" applyAlignment="0" applyProtection="0">
      <alignment vertical="center"/>
    </xf>
    <xf numFmtId="182" fontId="64" fillId="18" borderId="0" applyNumberFormat="0" applyBorder="0" applyAlignment="0" applyProtection="0">
      <alignment vertical="center"/>
    </xf>
    <xf numFmtId="182" fontId="64" fillId="18" borderId="0" applyNumberFormat="0" applyBorder="0" applyAlignment="0" applyProtection="0">
      <alignment vertical="center"/>
    </xf>
    <xf numFmtId="182" fontId="64" fillId="18" borderId="0" applyNumberFormat="0" applyBorder="0" applyAlignment="0" applyProtection="0">
      <alignment vertical="center"/>
    </xf>
    <xf numFmtId="182" fontId="64" fillId="22" borderId="0" applyNumberFormat="0" applyBorder="0" applyAlignment="0" applyProtection="0">
      <alignment vertical="center"/>
    </xf>
    <xf numFmtId="182" fontId="64" fillId="22" borderId="0" applyNumberFormat="0" applyBorder="0" applyAlignment="0" applyProtection="0">
      <alignment vertical="center"/>
    </xf>
    <xf numFmtId="182" fontId="64" fillId="22" borderId="0" applyNumberFormat="0" applyBorder="0" applyAlignment="0" applyProtection="0">
      <alignment vertical="center"/>
    </xf>
    <xf numFmtId="182" fontId="64" fillId="22" borderId="0" applyNumberFormat="0" applyBorder="0" applyAlignment="0" applyProtection="0">
      <alignment vertical="center"/>
    </xf>
    <xf numFmtId="182" fontId="64" fillId="22" borderId="0" applyNumberFormat="0" applyBorder="0" applyAlignment="0" applyProtection="0">
      <alignment vertical="center"/>
    </xf>
    <xf numFmtId="182" fontId="64" fillId="22" borderId="0" applyNumberFormat="0" applyBorder="0" applyAlignment="0" applyProtection="0">
      <alignment vertical="center"/>
    </xf>
    <xf numFmtId="182" fontId="64" fillId="26" borderId="0" applyNumberFormat="0" applyBorder="0" applyAlignment="0" applyProtection="0">
      <alignment vertical="center"/>
    </xf>
    <xf numFmtId="182" fontId="64" fillId="26" borderId="0" applyNumberFormat="0" applyBorder="0" applyAlignment="0" applyProtection="0">
      <alignment vertical="center"/>
    </xf>
    <xf numFmtId="182" fontId="64" fillId="26" borderId="0" applyNumberFormat="0" applyBorder="0" applyAlignment="0" applyProtection="0">
      <alignment vertical="center"/>
    </xf>
    <xf numFmtId="182" fontId="64" fillId="26" borderId="0" applyNumberFormat="0" applyBorder="0" applyAlignment="0" applyProtection="0">
      <alignment vertical="center"/>
    </xf>
    <xf numFmtId="182" fontId="64" fillId="26" borderId="0" applyNumberFormat="0" applyBorder="0" applyAlignment="0" applyProtection="0">
      <alignment vertical="center"/>
    </xf>
    <xf numFmtId="182" fontId="64" fillId="26" borderId="0" applyNumberFormat="0" applyBorder="0" applyAlignment="0" applyProtection="0">
      <alignment vertical="center"/>
    </xf>
    <xf numFmtId="182" fontId="64" fillId="30" borderId="0" applyNumberFormat="0" applyBorder="0" applyAlignment="0" applyProtection="0">
      <alignment vertical="center"/>
    </xf>
    <xf numFmtId="182" fontId="64" fillId="30" borderId="0" applyNumberFormat="0" applyBorder="0" applyAlignment="0" applyProtection="0">
      <alignment vertical="center"/>
    </xf>
    <xf numFmtId="182" fontId="64" fillId="30" borderId="0" applyNumberFormat="0" applyBorder="0" applyAlignment="0" applyProtection="0">
      <alignment vertical="center"/>
    </xf>
    <xf numFmtId="182" fontId="64" fillId="30" borderId="0" applyNumberFormat="0" applyBorder="0" applyAlignment="0" applyProtection="0">
      <alignment vertical="center"/>
    </xf>
    <xf numFmtId="182" fontId="64" fillId="30" borderId="0" applyNumberFormat="0" applyBorder="0" applyAlignment="0" applyProtection="0">
      <alignment vertical="center"/>
    </xf>
    <xf numFmtId="182" fontId="64" fillId="30" borderId="0" applyNumberFormat="0" applyBorder="0" applyAlignment="0" applyProtection="0">
      <alignment vertical="center"/>
    </xf>
    <xf numFmtId="182" fontId="64" fillId="34" borderId="0" applyNumberFormat="0" applyBorder="0" applyAlignment="0" applyProtection="0">
      <alignment vertical="center"/>
    </xf>
    <xf numFmtId="182" fontId="64" fillId="34" borderId="0" applyNumberFormat="0" applyBorder="0" applyAlignment="0" applyProtection="0">
      <alignment vertical="center"/>
    </xf>
    <xf numFmtId="182" fontId="64" fillId="34" borderId="0" applyNumberFormat="0" applyBorder="0" applyAlignment="0" applyProtection="0">
      <alignment vertical="center"/>
    </xf>
    <xf numFmtId="182" fontId="64" fillId="34" borderId="0" applyNumberFormat="0" applyBorder="0" applyAlignment="0" applyProtection="0">
      <alignment vertical="center"/>
    </xf>
    <xf numFmtId="182" fontId="64" fillId="34" borderId="0" applyNumberFormat="0" applyBorder="0" applyAlignment="0" applyProtection="0">
      <alignment vertical="center"/>
    </xf>
    <xf numFmtId="182" fontId="64" fillId="34" borderId="0" applyNumberFormat="0" applyBorder="0" applyAlignment="0" applyProtection="0">
      <alignment vertical="center"/>
    </xf>
    <xf numFmtId="182" fontId="64" fillId="38" borderId="0" applyNumberFormat="0" applyBorder="0" applyAlignment="0" applyProtection="0">
      <alignment vertical="center"/>
    </xf>
    <xf numFmtId="182" fontId="64" fillId="38" borderId="0" applyNumberFormat="0" applyBorder="0" applyAlignment="0" applyProtection="0">
      <alignment vertical="center"/>
    </xf>
    <xf numFmtId="182" fontId="64" fillId="38" borderId="0" applyNumberFormat="0" applyBorder="0" applyAlignment="0" applyProtection="0">
      <alignment vertical="center"/>
    </xf>
    <xf numFmtId="182" fontId="64" fillId="38" borderId="0" applyNumberFormat="0" applyBorder="0" applyAlignment="0" applyProtection="0">
      <alignment vertical="center"/>
    </xf>
    <xf numFmtId="182" fontId="64" fillId="38" borderId="0" applyNumberFormat="0" applyBorder="0" applyAlignment="0" applyProtection="0">
      <alignment vertical="center"/>
    </xf>
    <xf numFmtId="182" fontId="64" fillId="38" borderId="0" applyNumberFormat="0" applyBorder="0" applyAlignment="0" applyProtection="0">
      <alignment vertical="center"/>
    </xf>
    <xf numFmtId="182" fontId="75" fillId="13" borderId="0" applyNumberFormat="0" applyBorder="0" applyAlignment="0" applyProtection="0">
      <alignment vertical="center"/>
    </xf>
    <xf numFmtId="182" fontId="75" fillId="13" borderId="0" applyNumberFormat="0" applyBorder="0" applyAlignment="0" applyProtection="0">
      <alignment vertical="center"/>
    </xf>
    <xf numFmtId="182" fontId="75" fillId="13" borderId="0" applyNumberFormat="0" applyBorder="0" applyAlignment="0" applyProtection="0">
      <alignment vertical="center"/>
    </xf>
    <xf numFmtId="182" fontId="75" fillId="13" borderId="0" applyNumberFormat="0" applyBorder="0" applyAlignment="0" applyProtection="0">
      <alignment vertical="center"/>
    </xf>
    <xf numFmtId="182" fontId="75" fillId="13" borderId="0" applyNumberFormat="0" applyBorder="0" applyAlignment="0" applyProtection="0">
      <alignment vertical="center"/>
    </xf>
    <xf numFmtId="182" fontId="75" fillId="13" borderId="0" applyNumberFormat="0" applyBorder="0" applyAlignment="0" applyProtection="0">
      <alignment vertical="center"/>
    </xf>
    <xf numFmtId="182" fontId="76" fillId="15" borderId="17" applyNumberFormat="0" applyAlignment="0" applyProtection="0">
      <alignment vertical="center"/>
    </xf>
    <xf numFmtId="182" fontId="76" fillId="15" borderId="17" applyNumberFormat="0" applyAlignment="0" applyProtection="0">
      <alignment vertical="center"/>
    </xf>
    <xf numFmtId="182" fontId="76" fillId="15" borderId="17" applyNumberFormat="0" applyAlignment="0" applyProtection="0">
      <alignment vertical="center"/>
    </xf>
    <xf numFmtId="182" fontId="76" fillId="15" borderId="17" applyNumberFormat="0" applyAlignment="0" applyProtection="0">
      <alignment vertical="center"/>
    </xf>
    <xf numFmtId="182" fontId="76" fillId="15" borderId="17" applyNumberFormat="0" applyAlignment="0" applyProtection="0">
      <alignment vertical="center"/>
    </xf>
    <xf numFmtId="182" fontId="76" fillId="15" borderId="17" applyNumberFormat="0" applyAlignment="0" applyProtection="0">
      <alignment vertical="center"/>
    </xf>
    <xf numFmtId="182" fontId="77" fillId="14" borderId="16" applyNumberFormat="0" applyAlignment="0" applyProtection="0">
      <alignment vertical="center"/>
    </xf>
    <xf numFmtId="182" fontId="77" fillId="14" borderId="16" applyNumberFormat="0" applyAlignment="0" applyProtection="0">
      <alignment vertical="center"/>
    </xf>
    <xf numFmtId="182" fontId="77" fillId="14" borderId="16" applyNumberFormat="0" applyAlignment="0" applyProtection="0">
      <alignment vertical="center"/>
    </xf>
    <xf numFmtId="182" fontId="77" fillId="14" borderId="16" applyNumberFormat="0" applyAlignment="0" applyProtection="0">
      <alignment vertical="center"/>
    </xf>
    <xf numFmtId="182" fontId="77" fillId="14" borderId="16" applyNumberFormat="0" applyAlignment="0" applyProtection="0">
      <alignment vertical="center"/>
    </xf>
    <xf numFmtId="182" fontId="77" fillId="14" borderId="16" applyNumberFormat="0" applyAlignment="0" applyProtection="0">
      <alignment vertical="center"/>
    </xf>
    <xf numFmtId="182" fontId="8" fillId="17" borderId="20" applyNumberFormat="0" applyFont="0" applyAlignment="0" applyProtection="0">
      <alignment vertical="center"/>
    </xf>
    <xf numFmtId="182" fontId="8" fillId="17" borderId="20" applyNumberFormat="0" applyFont="0" applyAlignment="0" applyProtection="0">
      <alignment vertical="center"/>
    </xf>
    <xf numFmtId="182" fontId="8" fillId="17" borderId="20" applyNumberFormat="0" applyFont="0" applyAlignment="0" applyProtection="0">
      <alignment vertical="center"/>
    </xf>
    <xf numFmtId="182" fontId="8" fillId="17" borderId="20" applyNumberFormat="0" applyFont="0" applyAlignment="0" applyProtection="0">
      <alignment vertical="center"/>
    </xf>
    <xf numFmtId="182" fontId="8" fillId="17" borderId="20" applyNumberFormat="0" applyFont="0" applyAlignment="0" applyProtection="0">
      <alignment vertical="center"/>
    </xf>
    <xf numFmtId="182" fontId="8" fillId="17" borderId="20" applyNumberFormat="0" applyFont="0" applyAlignment="0" applyProtection="0">
      <alignment vertical="center"/>
    </xf>
    <xf numFmtId="182" fontId="8" fillId="27" borderId="0" applyNumberFormat="0" applyBorder="0" applyAlignment="0" applyProtection="0">
      <alignment vertical="center"/>
    </xf>
    <xf numFmtId="182" fontId="8" fillId="23" borderId="0" applyNumberFormat="0" applyBorder="0" applyAlignment="0" applyProtection="0">
      <alignment vertical="center"/>
    </xf>
    <xf numFmtId="182" fontId="8" fillId="23" borderId="0" applyNumberFormat="0" applyBorder="0" applyAlignment="0" applyProtection="0">
      <alignment vertical="center"/>
    </xf>
    <xf numFmtId="182" fontId="8" fillId="23" borderId="0" applyNumberFormat="0" applyBorder="0" applyAlignment="0" applyProtection="0">
      <alignment vertical="center"/>
    </xf>
    <xf numFmtId="182" fontId="8" fillId="23" borderId="0" applyNumberFormat="0" applyBorder="0" applyAlignment="0" applyProtection="0">
      <alignment vertical="center"/>
    </xf>
    <xf numFmtId="182" fontId="8" fillId="23" borderId="0" applyNumberFormat="0" applyBorder="0" applyAlignment="0" applyProtection="0">
      <alignment vertical="center"/>
    </xf>
    <xf numFmtId="182" fontId="8" fillId="23" borderId="0" applyNumberFormat="0" applyBorder="0" applyAlignment="0" applyProtection="0">
      <alignment vertical="center"/>
    </xf>
    <xf numFmtId="182" fontId="8" fillId="19" borderId="0" applyNumberFormat="0" applyBorder="0" applyAlignment="0" applyProtection="0">
      <alignment vertical="center"/>
    </xf>
    <xf numFmtId="182" fontId="8" fillId="19" borderId="0" applyNumberFormat="0" applyBorder="0" applyAlignment="0" applyProtection="0">
      <alignment vertical="center"/>
    </xf>
    <xf numFmtId="182" fontId="8" fillId="19" borderId="0" applyNumberFormat="0" applyBorder="0" applyAlignment="0" applyProtection="0">
      <alignment vertical="center"/>
    </xf>
    <xf numFmtId="182" fontId="8" fillId="19" borderId="0" applyNumberFormat="0" applyBorder="0" applyAlignment="0" applyProtection="0">
      <alignment vertical="center"/>
    </xf>
    <xf numFmtId="182" fontId="8" fillId="19" borderId="0" applyNumberFormat="0" applyBorder="0" applyAlignment="0" applyProtection="0">
      <alignment vertical="center"/>
    </xf>
    <xf numFmtId="182" fontId="8" fillId="19" borderId="0" applyNumberFormat="0" applyBorder="0" applyAlignment="0" applyProtection="0">
      <alignment vertical="center"/>
    </xf>
    <xf numFmtId="182" fontId="8" fillId="32" borderId="0" applyNumberFormat="0" applyBorder="0" applyAlignment="0" applyProtection="0">
      <alignment vertical="center"/>
    </xf>
    <xf numFmtId="182" fontId="8" fillId="32" borderId="0" applyNumberFormat="0" applyBorder="0" applyAlignment="0" applyProtection="0">
      <alignment vertical="center"/>
    </xf>
    <xf numFmtId="182" fontId="20" fillId="0" borderId="0">
      <alignment vertical="center"/>
    </xf>
    <xf numFmtId="182" fontId="8" fillId="0" borderId="0">
      <alignment vertical="center"/>
    </xf>
    <xf numFmtId="182" fontId="42"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41" fillId="0" borderId="0" applyNumberFormat="0" applyFont="0" applyFill="0" applyBorder="0" applyAlignment="0" applyProtection="0"/>
    <xf numFmtId="182" fontId="3" fillId="0" borderId="0">
      <alignment vertical="center"/>
    </xf>
    <xf numFmtId="182" fontId="3" fillId="0" borderId="0">
      <alignment vertical="center"/>
    </xf>
    <xf numFmtId="182" fontId="3" fillId="0" borderId="0">
      <alignment vertical="center"/>
    </xf>
    <xf numFmtId="182" fontId="8" fillId="0" borderId="0"/>
    <xf numFmtId="182" fontId="42" fillId="0" borderId="0"/>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41" fillId="0" borderId="0" applyNumberFormat="0" applyFont="0" applyFill="0" applyBorder="0" applyAlignment="0" applyProtection="0"/>
    <xf numFmtId="182" fontId="3" fillId="0" borderId="0"/>
    <xf numFmtId="43" fontId="3" fillId="0" borderId="0" applyFont="0" applyFill="0" applyBorder="0" applyAlignment="0" applyProtection="0">
      <alignment vertical="center"/>
    </xf>
    <xf numFmtId="182" fontId="3" fillId="0" borderId="0">
      <alignment vertical="center"/>
    </xf>
    <xf numFmtId="182" fontId="3" fillId="0" borderId="0">
      <alignment vertical="center"/>
    </xf>
    <xf numFmtId="182" fontId="3" fillId="0" borderId="0">
      <alignment vertical="center"/>
    </xf>
    <xf numFmtId="181" fontId="3" fillId="0" borderId="0" applyFont="0" applyFill="0" applyBorder="0" applyAlignment="0" applyProtection="0">
      <alignment vertical="center"/>
    </xf>
    <xf numFmtId="182" fontId="3" fillId="0" borderId="0"/>
    <xf numFmtId="182" fontId="80" fillId="0" borderId="0"/>
    <xf numFmtId="181" fontId="3" fillId="0" borderId="0" applyFont="0" applyFill="0" applyBorder="0" applyAlignment="0" applyProtection="0">
      <alignment vertical="center"/>
    </xf>
    <xf numFmtId="181" fontId="3" fillId="0" borderId="0" applyFont="0" applyFill="0" applyBorder="0" applyAlignment="0" applyProtection="0">
      <alignment vertical="center"/>
    </xf>
    <xf numFmtId="182" fontId="3" fillId="0" borderId="0"/>
    <xf numFmtId="182" fontId="3" fillId="0" borderId="0"/>
    <xf numFmtId="182" fontId="3" fillId="0" borderId="0"/>
    <xf numFmtId="182" fontId="61" fillId="63" borderId="0" applyNumberFormat="0" applyBorder="0" applyAlignment="0" applyProtection="0">
      <alignment vertical="center"/>
    </xf>
    <xf numFmtId="182" fontId="3" fillId="0" borderId="0"/>
    <xf numFmtId="181" fontId="3" fillId="0" borderId="0" applyFont="0" applyFill="0" applyBorder="0" applyAlignment="0" applyProtection="0">
      <alignment vertical="center"/>
    </xf>
    <xf numFmtId="182" fontId="49" fillId="43" borderId="0" applyNumberFormat="0" applyBorder="0" applyAlignment="0" applyProtection="0">
      <alignment vertical="center"/>
    </xf>
    <xf numFmtId="182" fontId="56" fillId="44" borderId="0" applyNumberFormat="0" applyBorder="0" applyAlignment="0" applyProtection="0">
      <alignment vertical="center"/>
    </xf>
    <xf numFmtId="182" fontId="47" fillId="0" borderId="0" applyNumberFormat="0" applyFill="0" applyBorder="0" applyAlignment="0" applyProtection="0">
      <alignment vertical="center"/>
    </xf>
    <xf numFmtId="182" fontId="48" fillId="0" borderId="22" applyNumberFormat="0" applyFill="0" applyAlignment="0" applyProtection="0">
      <alignment vertical="center"/>
    </xf>
    <xf numFmtId="182" fontId="45" fillId="0" borderId="23" applyNumberFormat="0" applyFill="0" applyAlignment="0" applyProtection="0">
      <alignment vertical="center"/>
    </xf>
    <xf numFmtId="182" fontId="46" fillId="0" borderId="24" applyNumberFormat="0" applyFill="0" applyAlignment="0" applyProtection="0">
      <alignment vertical="center"/>
    </xf>
    <xf numFmtId="182" fontId="46" fillId="0" borderId="0" applyNumberFormat="0" applyFill="0" applyBorder="0" applyAlignment="0" applyProtection="0">
      <alignment vertical="center"/>
    </xf>
    <xf numFmtId="182" fontId="49" fillId="43" borderId="0" applyNumberFormat="0" applyBorder="0" applyAlignment="0" applyProtection="0">
      <alignment vertical="center"/>
    </xf>
    <xf numFmtId="182" fontId="49" fillId="65" borderId="0" applyNumberFormat="0" applyBorder="0" applyAlignment="0" applyProtection="0">
      <alignment vertical="center"/>
    </xf>
    <xf numFmtId="182" fontId="56" fillId="44" borderId="0" applyNumberFormat="0" applyBorder="0" applyAlignment="0" applyProtection="0">
      <alignment vertical="center"/>
    </xf>
    <xf numFmtId="182" fontId="56" fillId="66" borderId="0" applyNumberFormat="0" applyBorder="0" applyAlignment="0" applyProtection="0">
      <alignment vertical="center"/>
    </xf>
    <xf numFmtId="182" fontId="40" fillId="0" borderId="25" applyNumberFormat="0" applyFill="0" applyAlignment="0" applyProtection="0">
      <alignment vertical="center"/>
    </xf>
    <xf numFmtId="182" fontId="57" fillId="9" borderId="26" applyNumberFormat="0" applyAlignment="0" applyProtection="0">
      <alignment vertical="center"/>
    </xf>
    <xf numFmtId="182" fontId="58" fillId="57" borderId="27" applyNumberFormat="0" applyAlignment="0" applyProtection="0">
      <alignment vertical="center"/>
    </xf>
    <xf numFmtId="182" fontId="59" fillId="0" borderId="0" applyNumberFormat="0" applyFill="0" applyBorder="0" applyAlignment="0" applyProtection="0">
      <alignment vertical="center"/>
    </xf>
    <xf numFmtId="182" fontId="53" fillId="0" borderId="0" applyNumberFormat="0" applyFill="0" applyBorder="0" applyAlignment="0" applyProtection="0">
      <alignment vertical="center"/>
    </xf>
    <xf numFmtId="182" fontId="60" fillId="0" borderId="28" applyNumberFormat="0" applyFill="0" applyAlignment="0" applyProtection="0">
      <alignment vertical="center"/>
    </xf>
    <xf numFmtId="182" fontId="62" fillId="9" borderId="29" applyNumberFormat="0" applyAlignment="0" applyProtection="0">
      <alignment vertical="center"/>
    </xf>
    <xf numFmtId="182" fontId="63" fillId="47" borderId="26" applyNumberFormat="0" applyAlignment="0" applyProtection="0">
      <alignment vertical="center"/>
    </xf>
    <xf numFmtId="182" fontId="3" fillId="64" borderId="30" applyNumberFormat="0" applyFont="0" applyAlignment="0" applyProtection="0">
      <alignment vertical="center"/>
    </xf>
    <xf numFmtId="41" fontId="20" fillId="0" borderId="0" applyFont="0" applyFill="0" applyBorder="0" applyAlignment="0" applyProtection="0">
      <alignment vertical="center"/>
    </xf>
    <xf numFmtId="43" fontId="20" fillId="0" borderId="0" applyFont="0" applyFill="0" applyBorder="0" applyAlignment="0" applyProtection="0">
      <alignment vertical="center"/>
    </xf>
    <xf numFmtId="182" fontId="41" fillId="0" borderId="0" applyNumberFormat="0" applyFont="0" applyFill="0" applyBorder="0" applyAlignment="0" applyProtection="0"/>
    <xf numFmtId="182" fontId="40" fillId="0" borderId="25" applyNumberFormat="0" applyFill="0" applyAlignment="0" applyProtection="0">
      <alignment vertical="center"/>
    </xf>
    <xf numFmtId="182" fontId="57" fillId="9" borderId="26" applyNumberFormat="0" applyAlignment="0" applyProtection="0">
      <alignment vertical="center"/>
    </xf>
    <xf numFmtId="182" fontId="62" fillId="9" borderId="29" applyNumberFormat="0" applyAlignment="0" applyProtection="0">
      <alignment vertical="center"/>
    </xf>
    <xf numFmtId="182" fontId="63" fillId="47" borderId="26" applyNumberFormat="0" applyAlignment="0" applyProtection="0">
      <alignment vertical="center"/>
    </xf>
    <xf numFmtId="182" fontId="3" fillId="64" borderId="30" applyNumberFormat="0" applyFont="0" applyAlignment="0" applyProtection="0">
      <alignment vertical="center"/>
    </xf>
    <xf numFmtId="182" fontId="20" fillId="0" borderId="0">
      <alignment vertical="center"/>
    </xf>
    <xf numFmtId="182" fontId="40" fillId="0" borderId="25" applyNumberFormat="0" applyFill="0" applyAlignment="0" applyProtection="0">
      <alignment vertical="center"/>
    </xf>
    <xf numFmtId="182" fontId="57" fillId="9" borderId="26" applyNumberFormat="0" applyAlignment="0" applyProtection="0">
      <alignment vertical="center"/>
    </xf>
    <xf numFmtId="182" fontId="62" fillId="9" borderId="29" applyNumberFormat="0" applyAlignment="0" applyProtection="0">
      <alignment vertical="center"/>
    </xf>
    <xf numFmtId="182" fontId="63" fillId="47" borderId="26" applyNumberFormat="0" applyAlignment="0" applyProtection="0">
      <alignment vertical="center"/>
    </xf>
    <xf numFmtId="182" fontId="3" fillId="64" borderId="30" applyNumberFormat="0" applyFont="0" applyAlignment="0" applyProtection="0">
      <alignment vertical="center"/>
    </xf>
    <xf numFmtId="182" fontId="40" fillId="0" borderId="25" applyNumberFormat="0" applyFill="0" applyAlignment="0" applyProtection="0">
      <alignment vertical="center"/>
    </xf>
    <xf numFmtId="182" fontId="57" fillId="9" borderId="26" applyNumberFormat="0" applyAlignment="0" applyProtection="0">
      <alignment vertical="center"/>
    </xf>
    <xf numFmtId="182" fontId="62" fillId="9" borderId="29" applyNumberFormat="0" applyAlignment="0" applyProtection="0">
      <alignment vertical="center"/>
    </xf>
    <xf numFmtId="182" fontId="63" fillId="47" borderId="26" applyNumberFormat="0" applyAlignment="0" applyProtection="0">
      <alignment vertical="center"/>
    </xf>
    <xf numFmtId="182" fontId="3" fillId="64" borderId="30" applyNumberFormat="0" applyFont="0" applyAlignment="0" applyProtection="0">
      <alignment vertical="center"/>
    </xf>
    <xf numFmtId="182" fontId="20" fillId="0" borderId="0">
      <alignment vertical="center"/>
    </xf>
    <xf numFmtId="182" fontId="8" fillId="0" borderId="0">
      <alignment vertical="center"/>
    </xf>
    <xf numFmtId="182" fontId="8" fillId="0" borderId="0">
      <alignment vertical="center"/>
    </xf>
    <xf numFmtId="182" fontId="3" fillId="0" borderId="0"/>
    <xf numFmtId="182" fontId="54" fillId="0" borderId="0"/>
    <xf numFmtId="182" fontId="48" fillId="0" borderId="22" applyNumberFormat="0" applyFill="0" applyAlignment="0" applyProtection="0">
      <alignment vertical="center"/>
    </xf>
    <xf numFmtId="182" fontId="45" fillId="0" borderId="23" applyNumberFormat="0" applyFill="0" applyAlignment="0" applyProtection="0">
      <alignment vertical="center"/>
    </xf>
    <xf numFmtId="182" fontId="46" fillId="0" borderId="24" applyNumberFormat="0" applyFill="0" applyAlignment="0" applyProtection="0">
      <alignment vertical="center"/>
    </xf>
    <xf numFmtId="182" fontId="46"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8" fillId="0" borderId="0">
      <alignment vertical="center"/>
    </xf>
    <xf numFmtId="182" fontId="3" fillId="0" borderId="0"/>
    <xf numFmtId="182" fontId="3" fillId="0" borderId="0"/>
    <xf numFmtId="182" fontId="3" fillId="0" borderId="0"/>
    <xf numFmtId="182" fontId="3" fillId="0" borderId="0"/>
    <xf numFmtId="182" fontId="3" fillId="0" borderId="0">
      <alignment vertical="center"/>
    </xf>
    <xf numFmtId="182" fontId="3" fillId="0" borderId="0"/>
    <xf numFmtId="182" fontId="3" fillId="0" borderId="0"/>
    <xf numFmtId="182" fontId="8" fillId="0" borderId="0">
      <alignment vertical="center"/>
    </xf>
    <xf numFmtId="182" fontId="56" fillId="44" borderId="0" applyNumberFormat="0" applyBorder="0" applyAlignment="0" applyProtection="0">
      <alignment vertical="center"/>
    </xf>
    <xf numFmtId="182" fontId="56" fillId="44" borderId="0" applyNumberFormat="0" applyBorder="0" applyAlignment="0" applyProtection="0">
      <alignment vertical="center"/>
    </xf>
    <xf numFmtId="182" fontId="56" fillId="44" borderId="0" applyNumberFormat="0" applyBorder="0" applyAlignment="0" applyProtection="0">
      <alignment vertical="center"/>
    </xf>
    <xf numFmtId="182" fontId="56" fillId="44" borderId="0" applyNumberFormat="0" applyBorder="0" applyAlignment="0" applyProtection="0">
      <alignment vertical="center"/>
    </xf>
    <xf numFmtId="182" fontId="40" fillId="0" borderId="25" applyNumberFormat="0" applyFill="0" applyAlignment="0" applyProtection="0">
      <alignment vertical="center"/>
    </xf>
    <xf numFmtId="182" fontId="57" fillId="9" borderId="26" applyNumberFormat="0" applyAlignment="0" applyProtection="0">
      <alignment vertical="center"/>
    </xf>
    <xf numFmtId="182" fontId="58" fillId="57" borderId="27" applyNumberFormat="0" applyAlignment="0" applyProtection="0">
      <alignment vertical="center"/>
    </xf>
    <xf numFmtId="182" fontId="59" fillId="0" borderId="0" applyNumberFormat="0" applyFill="0" applyBorder="0" applyAlignment="0" applyProtection="0">
      <alignment vertical="center"/>
    </xf>
    <xf numFmtId="182" fontId="53" fillId="0" borderId="0" applyNumberFormat="0" applyFill="0" applyBorder="0" applyAlignment="0" applyProtection="0">
      <alignment vertical="center"/>
    </xf>
    <xf numFmtId="182" fontId="60" fillId="0" borderId="28" applyNumberFormat="0" applyFill="0" applyAlignment="0" applyProtection="0">
      <alignment vertical="center"/>
    </xf>
    <xf numFmtId="182" fontId="61" fillId="63" borderId="0" applyNumberFormat="0" applyBorder="0" applyAlignment="0" applyProtection="0">
      <alignment vertical="center"/>
    </xf>
    <xf numFmtId="182" fontId="62" fillId="9" borderId="29" applyNumberFormat="0" applyAlignment="0" applyProtection="0">
      <alignment vertical="center"/>
    </xf>
    <xf numFmtId="182" fontId="63" fillId="47" borderId="26" applyNumberFormat="0" applyAlignment="0" applyProtection="0">
      <alignment vertical="center"/>
    </xf>
    <xf numFmtId="182" fontId="3" fillId="64" borderId="30" applyNumberFormat="0" applyFont="0" applyAlignment="0" applyProtection="0">
      <alignment vertical="center"/>
    </xf>
    <xf numFmtId="182" fontId="20" fillId="0" borderId="0">
      <alignment vertical="center"/>
    </xf>
    <xf numFmtId="182" fontId="8" fillId="0" borderId="0">
      <alignment vertical="center"/>
    </xf>
    <xf numFmtId="182" fontId="8" fillId="0" borderId="0">
      <alignment vertical="center"/>
    </xf>
    <xf numFmtId="182" fontId="3"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8" fillId="0" borderId="0">
      <alignment vertical="center"/>
    </xf>
    <xf numFmtId="9" fontId="42" fillId="0" borderId="0" applyFont="0" applyFill="0" applyBorder="0" applyAlignment="0" applyProtection="0">
      <alignment vertical="center"/>
    </xf>
    <xf numFmtId="182" fontId="8" fillId="0" borderId="0">
      <alignment vertical="center"/>
    </xf>
    <xf numFmtId="182" fontId="3" fillId="0" borderId="0"/>
    <xf numFmtId="182" fontId="8" fillId="0" borderId="0"/>
    <xf numFmtId="182" fontId="8" fillId="0" borderId="0"/>
    <xf numFmtId="182" fontId="8" fillId="0" borderId="0"/>
    <xf numFmtId="182" fontId="8" fillId="0" borderId="0"/>
    <xf numFmtId="182" fontId="8" fillId="0" borderId="0"/>
    <xf numFmtId="182" fontId="8" fillId="0" borderId="0"/>
    <xf numFmtId="183" fontId="42" fillId="0" borderId="0" applyFont="0" applyFill="0" applyBorder="0" applyAlignment="0" applyProtection="0">
      <alignment vertical="center"/>
    </xf>
    <xf numFmtId="182" fontId="42" fillId="0" borderId="0">
      <alignment vertical="center"/>
    </xf>
    <xf numFmtId="182" fontId="42" fillId="0" borderId="0">
      <alignment vertical="center"/>
    </xf>
    <xf numFmtId="9" fontId="3" fillId="0" borderId="0" applyFont="0" applyFill="0" applyBorder="0" applyAlignment="0" applyProtection="0">
      <alignment vertical="center"/>
    </xf>
    <xf numFmtId="182" fontId="42" fillId="0" borderId="0">
      <alignment vertical="center"/>
    </xf>
    <xf numFmtId="9" fontId="3" fillId="0" borderId="0" applyFont="0" applyFill="0" applyBorder="0" applyAlignment="0" applyProtection="0">
      <alignment vertical="center"/>
    </xf>
    <xf numFmtId="182" fontId="42" fillId="0" borderId="0">
      <alignment vertical="center"/>
    </xf>
    <xf numFmtId="9" fontId="3" fillId="0" borderId="0" applyFont="0" applyFill="0" applyBorder="0" applyAlignment="0" applyProtection="0">
      <alignment vertical="center"/>
    </xf>
    <xf numFmtId="182" fontId="42" fillId="0" borderId="0">
      <alignment vertical="center"/>
    </xf>
    <xf numFmtId="182" fontId="42" fillId="0" borderId="0">
      <alignment vertical="center"/>
    </xf>
    <xf numFmtId="182" fontId="3" fillId="0" borderId="0">
      <alignment vertical="center"/>
    </xf>
    <xf numFmtId="182" fontId="42" fillId="0" borderId="0">
      <alignment vertical="center"/>
    </xf>
    <xf numFmtId="182" fontId="42" fillId="0" borderId="0">
      <alignment vertical="center"/>
    </xf>
    <xf numFmtId="182" fontId="42" fillId="0" borderId="0">
      <alignment vertical="center"/>
    </xf>
    <xf numFmtId="182" fontId="42" fillId="0" borderId="0">
      <alignment vertical="center"/>
    </xf>
    <xf numFmtId="42" fontId="42" fillId="0" borderId="0" applyFont="0" applyFill="0" applyBorder="0" applyAlignment="0" applyProtection="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3" fillId="0" borderId="0"/>
    <xf numFmtId="43" fontId="81" fillId="0" borderId="0" applyFont="0" applyFill="0" applyBorder="0" applyAlignment="0" applyProtection="0">
      <alignment vertical="center"/>
    </xf>
    <xf numFmtId="182" fontId="3" fillId="0" borderId="0">
      <alignment vertical="center"/>
    </xf>
    <xf numFmtId="182" fontId="24" fillId="0" borderId="0"/>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3" fillId="0" borderId="0"/>
    <xf numFmtId="182" fontId="3" fillId="0" borderId="0"/>
    <xf numFmtId="182" fontId="41" fillId="0" borderId="0" applyNumberFormat="0" applyFont="0" applyFill="0" applyBorder="0" applyAlignment="0" applyProtection="0"/>
    <xf numFmtId="182" fontId="101" fillId="0" borderId="0">
      <alignment vertical="center"/>
    </xf>
    <xf numFmtId="182" fontId="101" fillId="0" borderId="0">
      <alignment vertical="center"/>
    </xf>
    <xf numFmtId="182" fontId="41" fillId="0" borderId="0" applyNumberFormat="0" applyFont="0" applyFill="0" applyBorder="0" applyAlignment="0" applyProtection="0"/>
    <xf numFmtId="182" fontId="101" fillId="0" borderId="0">
      <alignment vertical="center"/>
    </xf>
    <xf numFmtId="182" fontId="101" fillId="0" borderId="0">
      <alignment vertical="center"/>
    </xf>
    <xf numFmtId="182" fontId="101" fillId="0" borderId="0">
      <alignment vertical="center"/>
    </xf>
    <xf numFmtId="182" fontId="41" fillId="0" borderId="0" applyNumberFormat="0" applyFont="0" applyFill="0" applyBorder="0" applyAlignment="0" applyProtection="0"/>
    <xf numFmtId="182" fontId="5" fillId="0" borderId="0">
      <alignment vertical="center"/>
    </xf>
    <xf numFmtId="182" fontId="5" fillId="0" borderId="0">
      <alignment vertical="center"/>
    </xf>
    <xf numFmtId="182" fontId="5" fillId="0" borderId="0">
      <alignment vertical="center"/>
    </xf>
    <xf numFmtId="182" fontId="41" fillId="0" borderId="0" applyNumberFormat="0" applyFont="0" applyFill="0" applyBorder="0" applyAlignment="0" applyProtection="0"/>
    <xf numFmtId="182" fontId="41" fillId="0" borderId="0" applyNumberFormat="0" applyFont="0" applyFill="0" applyBorder="0" applyAlignment="0" applyProtection="0"/>
    <xf numFmtId="182" fontId="3" fillId="0" borderId="0">
      <alignment vertical="center"/>
    </xf>
    <xf numFmtId="182" fontId="41" fillId="0" borderId="0" applyNumberFormat="0" applyFont="0" applyFill="0" applyBorder="0" applyAlignment="0" applyProtection="0"/>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xf numFmtId="182" fontId="3" fillId="0" borderId="0"/>
    <xf numFmtId="182" fontId="3" fillId="0" borderId="0"/>
    <xf numFmtId="182" fontId="3" fillId="0" borderId="0"/>
    <xf numFmtId="182" fontId="41" fillId="0" borderId="0" applyNumberFormat="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2" fontId="3" fillId="0" borderId="0"/>
    <xf numFmtId="182" fontId="81" fillId="0" borderId="0"/>
    <xf numFmtId="182" fontId="81" fillId="0" borderId="0"/>
    <xf numFmtId="182" fontId="81" fillId="0" borderId="0"/>
    <xf numFmtId="182" fontId="3" fillId="0" borderId="0"/>
    <xf numFmtId="182" fontId="81" fillId="0" borderId="0"/>
    <xf numFmtId="182" fontId="126" fillId="0" borderId="0">
      <alignment vertical="center"/>
    </xf>
    <xf numFmtId="0" fontId="3" fillId="0" borderId="0">
      <alignment vertical="center"/>
    </xf>
    <xf numFmtId="0" fontId="3" fillId="0" borderId="0">
      <alignment vertical="center"/>
    </xf>
    <xf numFmtId="0" fontId="5" fillId="0" borderId="0">
      <alignment vertical="center"/>
    </xf>
    <xf numFmtId="0" fontId="3" fillId="0" borderId="0"/>
    <xf numFmtId="0" fontId="20" fillId="0" borderId="0">
      <alignment vertical="center"/>
    </xf>
    <xf numFmtId="0" fontId="3" fillId="0" borderId="0"/>
    <xf numFmtId="0" fontId="5" fillId="0" borderId="0">
      <alignment vertical="center"/>
    </xf>
    <xf numFmtId="0" fontId="3" fillId="0" borderId="0"/>
    <xf numFmtId="0" fontId="54" fillId="0" borderId="0"/>
    <xf numFmtId="0" fontId="48" fillId="0" borderId="22" applyNumberFormat="0" applyFill="0" applyAlignment="0" applyProtection="0">
      <alignment vertical="center"/>
    </xf>
    <xf numFmtId="0" fontId="45" fillId="0" borderId="23" applyNumberFormat="0" applyFill="0" applyAlignment="0" applyProtection="0">
      <alignment vertical="center"/>
    </xf>
    <xf numFmtId="0" fontId="46" fillId="0" borderId="24" applyNumberFormat="0" applyFill="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9" fillId="43" borderId="0" applyNumberFormat="0" applyBorder="0" applyAlignment="0" applyProtection="0">
      <alignment vertical="center"/>
    </xf>
    <xf numFmtId="0" fontId="49" fillId="65"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5" fillId="0" borderId="0">
      <alignment vertical="center"/>
    </xf>
    <xf numFmtId="0" fontId="3" fillId="0" borderId="0"/>
    <xf numFmtId="0" fontId="3" fillId="0" borderId="0"/>
    <xf numFmtId="0" fontId="3" fillId="0" borderId="0"/>
    <xf numFmtId="0" fontId="3" fillId="0" borderId="0">
      <alignment vertical="center"/>
    </xf>
    <xf numFmtId="0" fontId="41" fillId="0" borderId="0" applyNumberFormat="0" applyFont="0" applyFill="0" applyBorder="0" applyAlignment="0" applyProtection="0"/>
    <xf numFmtId="0" fontId="5" fillId="0" borderId="0">
      <alignment vertical="center"/>
    </xf>
    <xf numFmtId="0" fontId="56" fillId="44" borderId="0" applyNumberFormat="0" applyBorder="0" applyAlignment="0" applyProtection="0">
      <alignment vertical="center"/>
    </xf>
    <xf numFmtId="0" fontId="56" fillId="66" borderId="0" applyNumberFormat="0" applyBorder="0" applyAlignment="0" applyProtection="0">
      <alignment vertical="center"/>
    </xf>
    <xf numFmtId="0" fontId="56" fillId="44" borderId="0" applyNumberFormat="0" applyBorder="0" applyAlignment="0" applyProtection="0">
      <alignment vertical="center"/>
    </xf>
    <xf numFmtId="0" fontId="56" fillId="44" borderId="0" applyNumberFormat="0" applyBorder="0" applyAlignment="0" applyProtection="0">
      <alignment vertical="center"/>
    </xf>
    <xf numFmtId="0" fontId="40" fillId="0" borderId="93" applyNumberFormat="0" applyFill="0" applyAlignment="0" applyProtection="0">
      <alignment vertical="center"/>
    </xf>
    <xf numFmtId="0" fontId="57" fillId="9" borderId="94" applyNumberFormat="0" applyAlignment="0" applyProtection="0">
      <alignment vertical="center"/>
    </xf>
    <xf numFmtId="0" fontId="58" fillId="57" borderId="27" applyNumberFormat="0" applyAlignment="0" applyProtection="0">
      <alignment vertical="center"/>
    </xf>
    <xf numFmtId="0" fontId="59"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60" fillId="0" borderId="28" applyNumberFormat="0" applyFill="0" applyAlignment="0" applyProtection="0">
      <alignment vertical="center"/>
    </xf>
    <xf numFmtId="0" fontId="20" fillId="0" borderId="0">
      <alignment vertical="center"/>
    </xf>
    <xf numFmtId="0" fontId="61" fillId="63" borderId="0" applyNumberFormat="0" applyBorder="0" applyAlignment="0" applyProtection="0">
      <alignment vertical="center"/>
    </xf>
    <xf numFmtId="0" fontId="62" fillId="9" borderId="95" applyNumberFormat="0" applyAlignment="0" applyProtection="0">
      <alignment vertical="center"/>
    </xf>
    <xf numFmtId="0" fontId="63" fillId="47" borderId="94" applyNumberFormat="0" applyAlignment="0" applyProtection="0">
      <alignment vertical="center"/>
    </xf>
    <xf numFmtId="0" fontId="3" fillId="64" borderId="96" applyNumberFormat="0" applyFont="0" applyAlignment="0" applyProtection="0">
      <alignment vertical="center"/>
    </xf>
    <xf numFmtId="0" fontId="40" fillId="0" borderId="97" applyNumberFormat="0" applyFill="0" applyAlignment="0" applyProtection="0">
      <alignment vertical="center"/>
    </xf>
    <xf numFmtId="0" fontId="57" fillId="9" borderId="98" applyNumberFormat="0" applyAlignment="0" applyProtection="0">
      <alignment vertical="center"/>
    </xf>
    <xf numFmtId="0" fontId="20" fillId="0" borderId="0">
      <alignment vertical="center"/>
    </xf>
    <xf numFmtId="0" fontId="62" fillId="9" borderId="99" applyNumberFormat="0" applyAlignment="0" applyProtection="0">
      <alignment vertical="center"/>
    </xf>
    <xf numFmtId="0" fontId="63" fillId="47" borderId="98" applyNumberFormat="0" applyAlignment="0" applyProtection="0">
      <alignment vertical="center"/>
    </xf>
    <xf numFmtId="0" fontId="3" fillId="64" borderId="100" applyNumberFormat="0" applyFont="0" applyAlignment="0" applyProtection="0">
      <alignment vertical="center"/>
    </xf>
    <xf numFmtId="0" fontId="20" fillId="0" borderId="0">
      <alignment vertical="center"/>
    </xf>
    <xf numFmtId="0" fontId="20" fillId="0" borderId="0">
      <alignment vertical="center"/>
    </xf>
    <xf numFmtId="0" fontId="20" fillId="0" borderId="0">
      <alignment vertical="center"/>
    </xf>
    <xf numFmtId="44" fontId="3" fillId="0" borderId="0" applyFont="0" applyFill="0" applyBorder="0" applyAlignment="0" applyProtection="0">
      <alignment vertical="center"/>
    </xf>
    <xf numFmtId="182" fontId="5" fillId="0" borderId="0">
      <alignment vertical="center"/>
    </xf>
    <xf numFmtId="182" fontId="5" fillId="0" borderId="0"/>
    <xf numFmtId="182" fontId="5" fillId="0" borderId="0"/>
    <xf numFmtId="182" fontId="5" fillId="0" borderId="0">
      <alignment vertical="center"/>
    </xf>
    <xf numFmtId="182" fontId="5" fillId="0" borderId="0">
      <alignment vertical="center"/>
    </xf>
    <xf numFmtId="182" fontId="40" fillId="0" borderId="97" applyNumberFormat="0" applyFill="0" applyAlignment="0" applyProtection="0">
      <alignment vertical="center"/>
    </xf>
    <xf numFmtId="182" fontId="57" fillId="9" borderId="98" applyNumberFormat="0" applyAlignment="0" applyProtection="0">
      <alignment vertical="center"/>
    </xf>
    <xf numFmtId="182" fontId="62" fillId="9" borderId="99" applyNumberFormat="0" applyAlignment="0" applyProtection="0">
      <alignment vertical="center"/>
    </xf>
    <xf numFmtId="182" fontId="63" fillId="47" borderId="98" applyNumberFormat="0" applyAlignment="0" applyProtection="0">
      <alignment vertical="center"/>
    </xf>
    <xf numFmtId="182" fontId="3" fillId="64" borderId="100" applyNumberFormat="0" applyFont="0" applyAlignment="0" applyProtection="0">
      <alignment vertical="center"/>
    </xf>
    <xf numFmtId="182" fontId="40" fillId="0" borderId="97" applyNumberFormat="0" applyFill="0" applyAlignment="0" applyProtection="0">
      <alignment vertical="center"/>
    </xf>
    <xf numFmtId="182" fontId="57" fillId="9" borderId="98" applyNumberFormat="0" applyAlignment="0" applyProtection="0">
      <alignment vertical="center"/>
    </xf>
    <xf numFmtId="182" fontId="62" fillId="9" borderId="99" applyNumberFormat="0" applyAlignment="0" applyProtection="0">
      <alignment vertical="center"/>
    </xf>
    <xf numFmtId="182" fontId="63" fillId="47" borderId="98" applyNumberFormat="0" applyAlignment="0" applyProtection="0">
      <alignment vertical="center"/>
    </xf>
    <xf numFmtId="182" fontId="3" fillId="64" borderId="100" applyNumberFormat="0" applyFont="0" applyAlignment="0" applyProtection="0">
      <alignment vertical="center"/>
    </xf>
    <xf numFmtId="182" fontId="5" fillId="27" borderId="0" applyNumberFormat="0" applyBorder="0" applyAlignment="0" applyProtection="0">
      <alignment vertical="center"/>
    </xf>
    <xf numFmtId="182" fontId="5" fillId="27" borderId="0" applyNumberFormat="0" applyBorder="0" applyAlignment="0" applyProtection="0">
      <alignment vertical="center"/>
    </xf>
    <xf numFmtId="182" fontId="5" fillId="27" borderId="0" applyNumberFormat="0" applyBorder="0" applyAlignment="0" applyProtection="0">
      <alignment vertical="center"/>
    </xf>
    <xf numFmtId="182" fontId="5" fillId="27" borderId="0" applyNumberFormat="0" applyBorder="0" applyAlignment="0" applyProtection="0">
      <alignment vertical="center"/>
    </xf>
    <xf numFmtId="182" fontId="5" fillId="27" borderId="0" applyNumberFormat="0" applyBorder="0" applyAlignment="0" applyProtection="0">
      <alignment vertical="center"/>
    </xf>
    <xf numFmtId="182" fontId="5" fillId="31" borderId="0" applyNumberFormat="0" applyBorder="0" applyAlignment="0" applyProtection="0">
      <alignment vertical="center"/>
    </xf>
    <xf numFmtId="182" fontId="5" fillId="31" borderId="0" applyNumberFormat="0" applyBorder="0" applyAlignment="0" applyProtection="0">
      <alignment vertical="center"/>
    </xf>
    <xf numFmtId="182" fontId="5" fillId="31" borderId="0" applyNumberFormat="0" applyBorder="0" applyAlignment="0" applyProtection="0">
      <alignment vertical="center"/>
    </xf>
    <xf numFmtId="182" fontId="5" fillId="31" borderId="0" applyNumberFormat="0" applyBorder="0" applyAlignment="0" applyProtection="0">
      <alignment vertical="center"/>
    </xf>
    <xf numFmtId="182" fontId="5" fillId="31" borderId="0" applyNumberFormat="0" applyBorder="0" applyAlignment="0" applyProtection="0">
      <alignment vertical="center"/>
    </xf>
    <xf numFmtId="182" fontId="5" fillId="31" borderId="0" applyNumberFormat="0" applyBorder="0" applyAlignment="0" applyProtection="0">
      <alignment vertical="center"/>
    </xf>
    <xf numFmtId="182" fontId="5" fillId="35" borderId="0" applyNumberFormat="0" applyBorder="0" applyAlignment="0" applyProtection="0">
      <alignment vertical="center"/>
    </xf>
    <xf numFmtId="182" fontId="5" fillId="35" borderId="0" applyNumberFormat="0" applyBorder="0" applyAlignment="0" applyProtection="0">
      <alignment vertical="center"/>
    </xf>
    <xf numFmtId="182" fontId="5" fillId="35" borderId="0" applyNumberFormat="0" applyBorder="0" applyAlignment="0" applyProtection="0">
      <alignment vertical="center"/>
    </xf>
    <xf numFmtId="182" fontId="5" fillId="35" borderId="0" applyNumberFormat="0" applyBorder="0" applyAlignment="0" applyProtection="0">
      <alignment vertical="center"/>
    </xf>
    <xf numFmtId="182" fontId="5" fillId="35" borderId="0" applyNumberFormat="0" applyBorder="0" applyAlignment="0" applyProtection="0">
      <alignment vertical="center"/>
    </xf>
    <xf numFmtId="182" fontId="5" fillId="35" borderId="0" applyNumberFormat="0" applyBorder="0" applyAlignment="0" applyProtection="0">
      <alignment vertical="center"/>
    </xf>
    <xf numFmtId="182" fontId="5" fillId="39" borderId="0" applyNumberFormat="0" applyBorder="0" applyAlignment="0" applyProtection="0">
      <alignment vertical="center"/>
    </xf>
    <xf numFmtId="182" fontId="5" fillId="39" borderId="0" applyNumberFormat="0" applyBorder="0" applyAlignment="0" applyProtection="0">
      <alignment vertical="center"/>
    </xf>
    <xf numFmtId="182" fontId="5" fillId="39" borderId="0" applyNumberFormat="0" applyBorder="0" applyAlignment="0" applyProtection="0">
      <alignment vertical="center"/>
    </xf>
    <xf numFmtId="182" fontId="5" fillId="39" borderId="0" applyNumberFormat="0" applyBorder="0" applyAlignment="0" applyProtection="0">
      <alignment vertical="center"/>
    </xf>
    <xf numFmtId="182" fontId="5" fillId="39" borderId="0" applyNumberFormat="0" applyBorder="0" applyAlignment="0" applyProtection="0">
      <alignment vertical="center"/>
    </xf>
    <xf numFmtId="182" fontId="5" fillId="39" borderId="0" applyNumberFormat="0" applyBorder="0" applyAlignment="0" applyProtection="0">
      <alignment vertical="center"/>
    </xf>
    <xf numFmtId="182" fontId="5" fillId="20" borderId="0" applyNumberFormat="0" applyBorder="0" applyAlignment="0" applyProtection="0">
      <alignment vertical="center"/>
    </xf>
    <xf numFmtId="182" fontId="5" fillId="20" borderId="0" applyNumberFormat="0" applyBorder="0" applyAlignment="0" applyProtection="0">
      <alignment vertical="center"/>
    </xf>
    <xf numFmtId="182" fontId="5" fillId="20" borderId="0" applyNumberFormat="0" applyBorder="0" applyAlignment="0" applyProtection="0">
      <alignment vertical="center"/>
    </xf>
    <xf numFmtId="182" fontId="5" fillId="20" borderId="0" applyNumberFormat="0" applyBorder="0" applyAlignment="0" applyProtection="0">
      <alignment vertical="center"/>
    </xf>
    <xf numFmtId="182" fontId="5" fillId="20" borderId="0" applyNumberFormat="0" applyBorder="0" applyAlignment="0" applyProtection="0">
      <alignment vertical="center"/>
    </xf>
    <xf numFmtId="182" fontId="5" fillId="20" borderId="0" applyNumberFormat="0" applyBorder="0" applyAlignment="0" applyProtection="0">
      <alignment vertical="center"/>
    </xf>
    <xf numFmtId="182" fontId="5" fillId="24" borderId="0" applyNumberFormat="0" applyBorder="0" applyAlignment="0" applyProtection="0">
      <alignment vertical="center"/>
    </xf>
    <xf numFmtId="182" fontId="5" fillId="24" borderId="0" applyNumberFormat="0" applyBorder="0" applyAlignment="0" applyProtection="0">
      <alignment vertical="center"/>
    </xf>
    <xf numFmtId="182" fontId="5" fillId="24" borderId="0" applyNumberFormat="0" applyBorder="0" applyAlignment="0" applyProtection="0">
      <alignment vertical="center"/>
    </xf>
    <xf numFmtId="182" fontId="5" fillId="24" borderId="0" applyNumberFormat="0" applyBorder="0" applyAlignment="0" applyProtection="0">
      <alignment vertical="center"/>
    </xf>
    <xf numFmtId="182" fontId="5" fillId="24" borderId="0" applyNumberFormat="0" applyBorder="0" applyAlignment="0" applyProtection="0">
      <alignment vertical="center"/>
    </xf>
    <xf numFmtId="182" fontId="5" fillId="24" borderId="0" applyNumberFormat="0" applyBorder="0" applyAlignment="0" applyProtection="0">
      <alignment vertical="center"/>
    </xf>
    <xf numFmtId="182" fontId="5" fillId="28" borderId="0" applyNumberFormat="0" applyBorder="0" applyAlignment="0" applyProtection="0">
      <alignment vertical="center"/>
    </xf>
    <xf numFmtId="182" fontId="5" fillId="28" borderId="0" applyNumberFormat="0" applyBorder="0" applyAlignment="0" applyProtection="0">
      <alignment vertical="center"/>
    </xf>
    <xf numFmtId="182" fontId="5" fillId="28" borderId="0" applyNumberFormat="0" applyBorder="0" applyAlignment="0" applyProtection="0">
      <alignment vertical="center"/>
    </xf>
    <xf numFmtId="182" fontId="5" fillId="28" borderId="0" applyNumberFormat="0" applyBorder="0" applyAlignment="0" applyProtection="0">
      <alignment vertical="center"/>
    </xf>
    <xf numFmtId="182" fontId="5" fillId="28" borderId="0" applyNumberFormat="0" applyBorder="0" applyAlignment="0" applyProtection="0">
      <alignment vertical="center"/>
    </xf>
    <xf numFmtId="182" fontId="5" fillId="28" borderId="0" applyNumberFormat="0" applyBorder="0" applyAlignment="0" applyProtection="0">
      <alignment vertical="center"/>
    </xf>
    <xf numFmtId="182" fontId="5" fillId="32" borderId="0" applyNumberFormat="0" applyBorder="0" applyAlignment="0" applyProtection="0">
      <alignment vertical="center"/>
    </xf>
    <xf numFmtId="182" fontId="5" fillId="32" borderId="0" applyNumberFormat="0" applyBorder="0" applyAlignment="0" applyProtection="0">
      <alignment vertical="center"/>
    </xf>
    <xf numFmtId="182" fontId="5" fillId="32" borderId="0" applyNumberFormat="0" applyBorder="0" applyAlignment="0" applyProtection="0">
      <alignment vertical="center"/>
    </xf>
    <xf numFmtId="182" fontId="5" fillId="32" borderId="0" applyNumberFormat="0" applyBorder="0" applyAlignment="0" applyProtection="0">
      <alignment vertical="center"/>
    </xf>
    <xf numFmtId="182" fontId="5" fillId="36" borderId="0" applyNumberFormat="0" applyBorder="0" applyAlignment="0" applyProtection="0">
      <alignment vertical="center"/>
    </xf>
    <xf numFmtId="182" fontId="5" fillId="36" borderId="0" applyNumberFormat="0" applyBorder="0" applyAlignment="0" applyProtection="0">
      <alignment vertical="center"/>
    </xf>
    <xf numFmtId="182" fontId="5" fillId="36" borderId="0" applyNumberFormat="0" applyBorder="0" applyAlignment="0" applyProtection="0">
      <alignment vertical="center"/>
    </xf>
    <xf numFmtId="182" fontId="5" fillId="36" borderId="0" applyNumberFormat="0" applyBorder="0" applyAlignment="0" applyProtection="0">
      <alignment vertical="center"/>
    </xf>
    <xf numFmtId="182" fontId="5" fillId="36" borderId="0" applyNumberFormat="0" applyBorder="0" applyAlignment="0" applyProtection="0">
      <alignment vertical="center"/>
    </xf>
    <xf numFmtId="182" fontId="5" fillId="36" borderId="0" applyNumberFormat="0" applyBorder="0" applyAlignment="0" applyProtection="0">
      <alignment vertical="center"/>
    </xf>
    <xf numFmtId="182" fontId="5" fillId="40" borderId="0" applyNumberFormat="0" applyBorder="0" applyAlignment="0" applyProtection="0">
      <alignment vertical="center"/>
    </xf>
    <xf numFmtId="182" fontId="5" fillId="40" borderId="0" applyNumberFormat="0" applyBorder="0" applyAlignment="0" applyProtection="0">
      <alignment vertical="center"/>
    </xf>
    <xf numFmtId="182" fontId="5" fillId="40" borderId="0" applyNumberFormat="0" applyBorder="0" applyAlignment="0" applyProtection="0">
      <alignment vertical="center"/>
    </xf>
    <xf numFmtId="182" fontId="5" fillId="40" borderId="0" applyNumberFormat="0" applyBorder="0" applyAlignment="0" applyProtection="0">
      <alignment vertical="center"/>
    </xf>
    <xf numFmtId="182" fontId="5" fillId="40" borderId="0" applyNumberFormat="0" applyBorder="0" applyAlignment="0" applyProtection="0">
      <alignment vertical="center"/>
    </xf>
    <xf numFmtId="182" fontId="5" fillId="40" borderId="0" applyNumberFormat="0" applyBorder="0" applyAlignment="0" applyProtection="0">
      <alignment vertical="center"/>
    </xf>
    <xf numFmtId="182" fontId="5" fillId="0" borderId="0">
      <alignment vertical="center"/>
    </xf>
    <xf numFmtId="182" fontId="5" fillId="0" borderId="0">
      <alignment vertical="center"/>
    </xf>
    <xf numFmtId="182" fontId="5" fillId="0" borderId="0">
      <alignment vertical="center"/>
    </xf>
    <xf numFmtId="182" fontId="5" fillId="0" borderId="0">
      <alignment vertical="center"/>
    </xf>
    <xf numFmtId="182" fontId="5" fillId="0" borderId="0">
      <alignment vertical="center"/>
    </xf>
    <xf numFmtId="182" fontId="5" fillId="0" borderId="0">
      <alignment vertical="center"/>
    </xf>
    <xf numFmtId="182" fontId="5" fillId="17" borderId="20" applyNumberFormat="0" applyFont="0" applyAlignment="0" applyProtection="0">
      <alignment vertical="center"/>
    </xf>
    <xf numFmtId="182" fontId="5" fillId="17" borderId="20" applyNumberFormat="0" applyFont="0" applyAlignment="0" applyProtection="0">
      <alignment vertical="center"/>
    </xf>
    <xf numFmtId="182" fontId="5" fillId="17" borderId="20" applyNumberFormat="0" applyFont="0" applyAlignment="0" applyProtection="0">
      <alignment vertical="center"/>
    </xf>
    <xf numFmtId="182" fontId="5" fillId="17" borderId="20" applyNumberFormat="0" applyFont="0" applyAlignment="0" applyProtection="0">
      <alignment vertical="center"/>
    </xf>
    <xf numFmtId="182" fontId="5" fillId="17" borderId="20" applyNumberFormat="0" applyFont="0" applyAlignment="0" applyProtection="0">
      <alignment vertical="center"/>
    </xf>
    <xf numFmtId="182" fontId="5" fillId="17" borderId="20" applyNumberFormat="0" applyFont="0" applyAlignment="0" applyProtection="0">
      <alignment vertical="center"/>
    </xf>
    <xf numFmtId="182" fontId="5" fillId="27" borderId="0" applyNumberFormat="0" applyBorder="0" applyAlignment="0" applyProtection="0">
      <alignment vertical="center"/>
    </xf>
    <xf numFmtId="182" fontId="5" fillId="23" borderId="0" applyNumberFormat="0" applyBorder="0" applyAlignment="0" applyProtection="0">
      <alignment vertical="center"/>
    </xf>
    <xf numFmtId="182" fontId="5" fillId="23" borderId="0" applyNumberFormat="0" applyBorder="0" applyAlignment="0" applyProtection="0">
      <alignment vertical="center"/>
    </xf>
    <xf numFmtId="182" fontId="5" fillId="23" borderId="0" applyNumberFormat="0" applyBorder="0" applyAlignment="0" applyProtection="0">
      <alignment vertical="center"/>
    </xf>
    <xf numFmtId="182" fontId="5" fillId="23" borderId="0" applyNumberFormat="0" applyBorder="0" applyAlignment="0" applyProtection="0">
      <alignment vertical="center"/>
    </xf>
    <xf numFmtId="182" fontId="5" fillId="23" borderId="0" applyNumberFormat="0" applyBorder="0" applyAlignment="0" applyProtection="0">
      <alignment vertical="center"/>
    </xf>
    <xf numFmtId="182" fontId="5" fillId="23" borderId="0" applyNumberFormat="0" applyBorder="0" applyAlignment="0" applyProtection="0">
      <alignment vertical="center"/>
    </xf>
    <xf numFmtId="182" fontId="5" fillId="19" borderId="0" applyNumberFormat="0" applyBorder="0" applyAlignment="0" applyProtection="0">
      <alignment vertical="center"/>
    </xf>
    <xf numFmtId="182" fontId="5" fillId="19" borderId="0" applyNumberFormat="0" applyBorder="0" applyAlignment="0" applyProtection="0">
      <alignment vertical="center"/>
    </xf>
    <xf numFmtId="182" fontId="5" fillId="19" borderId="0" applyNumberFormat="0" applyBorder="0" applyAlignment="0" applyProtection="0">
      <alignment vertical="center"/>
    </xf>
    <xf numFmtId="182" fontId="5" fillId="19" borderId="0" applyNumberFormat="0" applyBorder="0" applyAlignment="0" applyProtection="0">
      <alignment vertical="center"/>
    </xf>
    <xf numFmtId="182" fontId="5" fillId="19" borderId="0" applyNumberFormat="0" applyBorder="0" applyAlignment="0" applyProtection="0">
      <alignment vertical="center"/>
    </xf>
    <xf numFmtId="182" fontId="5" fillId="19" borderId="0" applyNumberFormat="0" applyBorder="0" applyAlignment="0" applyProtection="0">
      <alignment vertical="center"/>
    </xf>
    <xf numFmtId="182" fontId="5" fillId="32" borderId="0" applyNumberFormat="0" applyBorder="0" applyAlignment="0" applyProtection="0">
      <alignment vertical="center"/>
    </xf>
    <xf numFmtId="182" fontId="5" fillId="32" borderId="0" applyNumberFormat="0" applyBorder="0" applyAlignment="0" applyProtection="0">
      <alignment vertical="center"/>
    </xf>
    <xf numFmtId="182" fontId="5" fillId="0" borderId="0">
      <alignment vertical="center"/>
    </xf>
    <xf numFmtId="182" fontId="5" fillId="0" borderId="0"/>
    <xf numFmtId="182" fontId="40" fillId="0" borderId="97" applyNumberFormat="0" applyFill="0" applyAlignment="0" applyProtection="0">
      <alignment vertical="center"/>
    </xf>
    <xf numFmtId="182" fontId="57" fillId="9" borderId="98" applyNumberFormat="0" applyAlignment="0" applyProtection="0">
      <alignment vertical="center"/>
    </xf>
    <xf numFmtId="182" fontId="62" fillId="9" borderId="99" applyNumberFormat="0" applyAlignment="0" applyProtection="0">
      <alignment vertical="center"/>
    </xf>
    <xf numFmtId="182" fontId="63" fillId="47" borderId="98" applyNumberFormat="0" applyAlignment="0" applyProtection="0">
      <alignment vertical="center"/>
    </xf>
    <xf numFmtId="182" fontId="3" fillId="64" borderId="100" applyNumberFormat="0" applyFont="0" applyAlignment="0" applyProtection="0">
      <alignment vertical="center"/>
    </xf>
    <xf numFmtId="182" fontId="40" fillId="0" borderId="97" applyNumberFormat="0" applyFill="0" applyAlignment="0" applyProtection="0">
      <alignment vertical="center"/>
    </xf>
    <xf numFmtId="182" fontId="57" fillId="9" borderId="98" applyNumberFormat="0" applyAlignment="0" applyProtection="0">
      <alignment vertical="center"/>
    </xf>
    <xf numFmtId="182" fontId="62" fillId="9" borderId="99" applyNumberFormat="0" applyAlignment="0" applyProtection="0">
      <alignment vertical="center"/>
    </xf>
    <xf numFmtId="182" fontId="63" fillId="47" borderId="98" applyNumberFormat="0" applyAlignment="0" applyProtection="0">
      <alignment vertical="center"/>
    </xf>
    <xf numFmtId="182" fontId="3" fillId="64" borderId="100" applyNumberFormat="0" applyFont="0" applyAlignment="0" applyProtection="0">
      <alignment vertical="center"/>
    </xf>
    <xf numFmtId="182" fontId="40" fillId="0" borderId="97" applyNumberFormat="0" applyFill="0" applyAlignment="0" applyProtection="0">
      <alignment vertical="center"/>
    </xf>
    <xf numFmtId="182" fontId="57" fillId="9" borderId="98" applyNumberFormat="0" applyAlignment="0" applyProtection="0">
      <alignment vertical="center"/>
    </xf>
    <xf numFmtId="182" fontId="62" fillId="9" borderId="99" applyNumberFormat="0" applyAlignment="0" applyProtection="0">
      <alignment vertical="center"/>
    </xf>
    <xf numFmtId="182" fontId="63" fillId="47" borderId="98" applyNumberFormat="0" applyAlignment="0" applyProtection="0">
      <alignment vertical="center"/>
    </xf>
    <xf numFmtId="182" fontId="3" fillId="64" borderId="100" applyNumberFormat="0" applyFont="0" applyAlignment="0" applyProtection="0">
      <alignment vertical="center"/>
    </xf>
    <xf numFmtId="182" fontId="40" fillId="0" borderId="97" applyNumberFormat="0" applyFill="0" applyAlignment="0" applyProtection="0">
      <alignment vertical="center"/>
    </xf>
    <xf numFmtId="182" fontId="57" fillId="9" borderId="98" applyNumberFormat="0" applyAlignment="0" applyProtection="0">
      <alignment vertical="center"/>
    </xf>
    <xf numFmtId="182" fontId="62" fillId="9" borderId="99" applyNumberFormat="0" applyAlignment="0" applyProtection="0">
      <alignment vertical="center"/>
    </xf>
    <xf numFmtId="182" fontId="63" fillId="47" borderId="98" applyNumberFormat="0" applyAlignment="0" applyProtection="0">
      <alignment vertical="center"/>
    </xf>
    <xf numFmtId="182" fontId="3" fillId="64" borderId="100" applyNumberFormat="0" applyFont="0" applyAlignment="0" applyProtection="0">
      <alignment vertical="center"/>
    </xf>
    <xf numFmtId="182" fontId="5" fillId="0" borderId="0">
      <alignment vertical="center"/>
    </xf>
    <xf numFmtId="182" fontId="5" fillId="0" borderId="0">
      <alignment vertical="center"/>
    </xf>
    <xf numFmtId="182" fontId="5" fillId="0" borderId="0">
      <alignment vertical="center"/>
    </xf>
    <xf numFmtId="182" fontId="5" fillId="0" borderId="0">
      <alignment vertical="center"/>
    </xf>
    <xf numFmtId="182" fontId="40" fillId="0" borderId="97" applyNumberFormat="0" applyFill="0" applyAlignment="0" applyProtection="0">
      <alignment vertical="center"/>
    </xf>
    <xf numFmtId="182" fontId="57" fillId="9" borderId="98" applyNumberFormat="0" applyAlignment="0" applyProtection="0">
      <alignment vertical="center"/>
    </xf>
    <xf numFmtId="182" fontId="62" fillId="9" borderId="99" applyNumberFormat="0" applyAlignment="0" applyProtection="0">
      <alignment vertical="center"/>
    </xf>
    <xf numFmtId="182" fontId="63" fillId="47" borderId="98" applyNumberFormat="0" applyAlignment="0" applyProtection="0">
      <alignment vertical="center"/>
    </xf>
    <xf numFmtId="182" fontId="3" fillId="64" borderId="100" applyNumberFormat="0" applyFont="0" applyAlignment="0" applyProtection="0">
      <alignment vertical="center"/>
    </xf>
    <xf numFmtId="182" fontId="5" fillId="0" borderId="0">
      <alignment vertical="center"/>
    </xf>
    <xf numFmtId="182" fontId="5" fillId="0" borderId="0">
      <alignment vertical="center"/>
    </xf>
    <xf numFmtId="182" fontId="5" fillId="0" borderId="0">
      <alignment vertical="center"/>
    </xf>
    <xf numFmtId="182" fontId="5" fillId="0" borderId="0">
      <alignment vertical="center"/>
    </xf>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lignment vertical="center"/>
    </xf>
    <xf numFmtId="182" fontId="5" fillId="0" borderId="0">
      <alignment vertical="center"/>
    </xf>
    <xf numFmtId="182" fontId="5" fillId="0" borderId="0">
      <alignment vertical="center"/>
    </xf>
    <xf numFmtId="182" fontId="5" fillId="0" borderId="0">
      <alignment vertical="center"/>
    </xf>
    <xf numFmtId="182" fontId="5" fillId="0" borderId="0">
      <alignment vertical="center"/>
    </xf>
    <xf numFmtId="182" fontId="3" fillId="0" borderId="0">
      <alignment vertical="center"/>
    </xf>
    <xf numFmtId="182" fontId="3" fillId="0" borderId="0">
      <alignment vertical="center"/>
    </xf>
    <xf numFmtId="182" fontId="5" fillId="0" borderId="0">
      <alignment vertical="center"/>
    </xf>
    <xf numFmtId="182" fontId="3" fillId="0" borderId="0"/>
    <xf numFmtId="182" fontId="20" fillId="0" borderId="0">
      <alignment vertical="center"/>
    </xf>
    <xf numFmtId="182" fontId="3" fillId="0" borderId="0"/>
    <xf numFmtId="182" fontId="5" fillId="0" borderId="0">
      <alignment vertical="center"/>
    </xf>
    <xf numFmtId="182" fontId="3" fillId="0" borderId="0"/>
    <xf numFmtId="182" fontId="54" fillId="0" borderId="0"/>
    <xf numFmtId="182" fontId="48" fillId="0" borderId="22" applyNumberFormat="0" applyFill="0" applyAlignment="0" applyProtection="0">
      <alignment vertical="center"/>
    </xf>
    <xf numFmtId="182" fontId="45" fillId="0" borderId="23" applyNumberFormat="0" applyFill="0" applyAlignment="0" applyProtection="0">
      <alignment vertical="center"/>
    </xf>
    <xf numFmtId="182" fontId="46" fillId="0" borderId="24" applyNumberFormat="0" applyFill="0" applyAlignment="0" applyProtection="0">
      <alignment vertical="center"/>
    </xf>
    <xf numFmtId="182" fontId="46"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9" fillId="43" borderId="0" applyNumberFormat="0" applyBorder="0" applyAlignment="0" applyProtection="0">
      <alignment vertical="center"/>
    </xf>
    <xf numFmtId="182" fontId="49" fillId="65"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5" fillId="0" borderId="0">
      <alignment vertical="center"/>
    </xf>
    <xf numFmtId="182" fontId="3" fillId="0" borderId="0"/>
    <xf numFmtId="182" fontId="3" fillId="0" borderId="0"/>
    <xf numFmtId="182" fontId="3" fillId="0" borderId="0"/>
    <xf numFmtId="182" fontId="3" fillId="0" borderId="0">
      <alignment vertical="center"/>
    </xf>
    <xf numFmtId="182" fontId="41" fillId="0" borderId="0" applyNumberFormat="0" applyFont="0" applyFill="0" applyBorder="0" applyAlignment="0" applyProtection="0"/>
    <xf numFmtId="182" fontId="5" fillId="0" borderId="0">
      <alignment vertical="center"/>
    </xf>
    <xf numFmtId="182" fontId="56" fillId="44" borderId="0" applyNumberFormat="0" applyBorder="0" applyAlignment="0" applyProtection="0">
      <alignment vertical="center"/>
    </xf>
    <xf numFmtId="182" fontId="56" fillId="66" borderId="0" applyNumberFormat="0" applyBorder="0" applyAlignment="0" applyProtection="0">
      <alignment vertical="center"/>
    </xf>
    <xf numFmtId="182" fontId="56" fillId="44" borderId="0" applyNumberFormat="0" applyBorder="0" applyAlignment="0" applyProtection="0">
      <alignment vertical="center"/>
    </xf>
    <xf numFmtId="182" fontId="56" fillId="44" borderId="0" applyNumberFormat="0" applyBorder="0" applyAlignment="0" applyProtection="0">
      <alignment vertical="center"/>
    </xf>
    <xf numFmtId="182" fontId="40" fillId="0" borderId="97" applyNumberFormat="0" applyFill="0" applyAlignment="0" applyProtection="0">
      <alignment vertical="center"/>
    </xf>
    <xf numFmtId="182" fontId="57" fillId="9" borderId="98" applyNumberFormat="0" applyAlignment="0" applyProtection="0">
      <alignment vertical="center"/>
    </xf>
    <xf numFmtId="182" fontId="58" fillId="57" borderId="27" applyNumberFormat="0" applyAlignment="0" applyProtection="0">
      <alignment vertical="center"/>
    </xf>
    <xf numFmtId="182" fontId="59" fillId="0" borderId="0" applyNumberFormat="0" applyFill="0" applyBorder="0" applyAlignment="0" applyProtection="0">
      <alignment vertical="center"/>
    </xf>
    <xf numFmtId="182" fontId="53" fillId="0" borderId="0" applyNumberFormat="0" applyFill="0" applyBorder="0" applyAlignment="0" applyProtection="0">
      <alignment vertical="center"/>
    </xf>
    <xf numFmtId="182" fontId="60" fillId="0" borderId="28" applyNumberFormat="0" applyFill="0" applyAlignment="0" applyProtection="0">
      <alignment vertical="center"/>
    </xf>
    <xf numFmtId="182" fontId="20" fillId="0" borderId="0">
      <alignment vertical="center"/>
    </xf>
    <xf numFmtId="182" fontId="61" fillId="63" borderId="0" applyNumberFormat="0" applyBorder="0" applyAlignment="0" applyProtection="0">
      <alignment vertical="center"/>
    </xf>
    <xf numFmtId="182" fontId="62" fillId="9" borderId="99" applyNumberFormat="0" applyAlignment="0" applyProtection="0">
      <alignment vertical="center"/>
    </xf>
    <xf numFmtId="182" fontId="63" fillId="47" borderId="98" applyNumberFormat="0" applyAlignment="0" applyProtection="0">
      <alignment vertical="center"/>
    </xf>
    <xf numFmtId="182" fontId="3" fillId="64" borderId="100" applyNumberFormat="0" applyFont="0" applyAlignment="0" applyProtection="0">
      <alignment vertical="center"/>
    </xf>
    <xf numFmtId="182" fontId="40" fillId="0" borderId="97" applyNumberFormat="0" applyFill="0" applyAlignment="0" applyProtection="0">
      <alignment vertical="center"/>
    </xf>
    <xf numFmtId="182" fontId="57" fillId="9" borderId="98" applyNumberFormat="0" applyAlignment="0" applyProtection="0">
      <alignment vertical="center"/>
    </xf>
    <xf numFmtId="182" fontId="20" fillId="0" borderId="0">
      <alignment vertical="center"/>
    </xf>
    <xf numFmtId="182" fontId="62" fillId="9" borderId="99" applyNumberFormat="0" applyAlignment="0" applyProtection="0">
      <alignment vertical="center"/>
    </xf>
    <xf numFmtId="182" fontId="63" fillId="47" borderId="98" applyNumberFormat="0" applyAlignment="0" applyProtection="0">
      <alignment vertical="center"/>
    </xf>
    <xf numFmtId="182" fontId="3" fillId="64" borderId="100" applyNumberFormat="0" applyFont="0" applyAlignment="0" applyProtection="0">
      <alignment vertical="center"/>
    </xf>
    <xf numFmtId="182" fontId="20" fillId="0" borderId="0">
      <alignment vertical="center"/>
    </xf>
    <xf numFmtId="182" fontId="20" fillId="0" borderId="0">
      <alignment vertical="center"/>
    </xf>
    <xf numFmtId="182" fontId="20" fillId="0" borderId="0">
      <alignment vertical="center"/>
    </xf>
  </cellStyleXfs>
  <cellXfs count="1580">
    <xf numFmtId="182" fontId="0" fillId="0" borderId="0" xfId="0">
      <alignment vertical="center"/>
    </xf>
    <xf numFmtId="182" fontId="0" fillId="0" borderId="0" xfId="0" applyAlignment="1"/>
    <xf numFmtId="182" fontId="0" fillId="0" borderId="1" xfId="0" applyBorder="1">
      <alignment vertical="center"/>
    </xf>
    <xf numFmtId="182" fontId="0" fillId="0" borderId="1" xfId="0" applyBorder="1" applyAlignment="1">
      <alignment horizontal="center" vertical="center"/>
    </xf>
    <xf numFmtId="182" fontId="4" fillId="0" borderId="1" xfId="1" applyBorder="1" applyAlignment="1">
      <alignment horizontal="center" vertical="center"/>
    </xf>
    <xf numFmtId="176" fontId="3" fillId="0" borderId="1" xfId="2" applyNumberFormat="1" applyFont="1" applyBorder="1" applyAlignment="1">
      <alignment horizontal="center" vertical="center"/>
    </xf>
    <xf numFmtId="182" fontId="4" fillId="0" borderId="1" xfId="1" applyFont="1" applyFill="1" applyBorder="1" applyAlignment="1">
      <alignment horizontal="center" vertical="center"/>
    </xf>
    <xf numFmtId="176" fontId="0" fillId="0" borderId="1" xfId="0" applyNumberFormat="1" applyBorder="1">
      <alignment vertical="center"/>
    </xf>
    <xf numFmtId="182" fontId="0" fillId="2" borderId="1" xfId="0" applyFill="1" applyBorder="1" applyAlignment="1">
      <alignment horizontal="center" vertical="center"/>
    </xf>
    <xf numFmtId="182" fontId="0" fillId="0" borderId="1" xfId="0" applyBorder="1" applyAlignment="1"/>
    <xf numFmtId="43" fontId="0" fillId="0" borderId="1" xfId="3" applyFont="1" applyBorder="1" applyAlignment="1"/>
    <xf numFmtId="182" fontId="0" fillId="2" borderId="1" xfId="0" applyFill="1" applyBorder="1" applyAlignment="1"/>
    <xf numFmtId="43" fontId="0" fillId="2" borderId="1" xfId="3" applyFont="1" applyFill="1" applyBorder="1" applyAlignment="1"/>
    <xf numFmtId="182" fontId="0" fillId="0" borderId="0" xfId="0" applyAlignment="1">
      <alignment horizontal="center" vertical="center"/>
    </xf>
    <xf numFmtId="43" fontId="0" fillId="0" borderId="0" xfId="3" applyFont="1" applyAlignment="1"/>
    <xf numFmtId="182" fontId="0" fillId="0" borderId="0" xfId="0" applyAlignment="1">
      <alignment vertical="center"/>
    </xf>
    <xf numFmtId="182" fontId="0" fillId="3" borderId="4" xfId="0" applyFill="1" applyBorder="1" applyAlignment="1">
      <alignment horizontal="center" vertical="center"/>
    </xf>
    <xf numFmtId="177" fontId="0" fillId="3" borderId="4" xfId="0" applyNumberFormat="1" applyFill="1" applyBorder="1" applyAlignment="1">
      <alignment horizontal="center" vertical="center"/>
    </xf>
    <xf numFmtId="182" fontId="0" fillId="4" borderId="4" xfId="0" applyFill="1" applyBorder="1" applyAlignment="1">
      <alignment vertical="center"/>
    </xf>
    <xf numFmtId="177" fontId="0" fillId="4" borderId="4" xfId="0" applyNumberFormat="1" applyFill="1" applyBorder="1" applyAlignment="1">
      <alignment vertical="center"/>
    </xf>
    <xf numFmtId="182" fontId="0" fillId="4" borderId="0" xfId="0" applyFill="1" applyAlignment="1">
      <alignment vertical="center"/>
    </xf>
    <xf numFmtId="182" fontId="0" fillId="3" borderId="4" xfId="0" applyNumberFormat="1" applyFill="1" applyBorder="1" applyAlignment="1">
      <alignment horizontal="center" vertical="center"/>
    </xf>
    <xf numFmtId="182" fontId="11" fillId="0" borderId="1" xfId="0" applyFont="1" applyBorder="1" applyAlignment="1">
      <alignment horizontal="center" vertical="center"/>
    </xf>
    <xf numFmtId="182" fontId="11" fillId="2" borderId="1" xfId="0" applyFont="1" applyFill="1" applyBorder="1" applyAlignment="1">
      <alignment horizontal="center" vertical="center"/>
    </xf>
    <xf numFmtId="43" fontId="11" fillId="2" borderId="1" xfId="3" applyFont="1" applyFill="1" applyBorder="1" applyAlignment="1">
      <alignment horizontal="center" vertical="center"/>
    </xf>
    <xf numFmtId="182" fontId="0" fillId="4" borderId="4" xfId="0" applyFill="1" applyBorder="1" applyAlignment="1">
      <alignment horizontal="left" vertical="center" wrapText="1"/>
    </xf>
    <xf numFmtId="182" fontId="0" fillId="4" borderId="4" xfId="0" applyNumberFormat="1" applyFill="1" applyBorder="1" applyAlignment="1">
      <alignment horizontal="right" vertical="center"/>
    </xf>
    <xf numFmtId="182" fontId="0" fillId="4" borderId="4" xfId="0" applyNumberFormat="1" applyFill="1" applyBorder="1" applyAlignment="1">
      <alignment horizontal="right" vertical="center" wrapText="1"/>
    </xf>
    <xf numFmtId="182" fontId="0" fillId="3" borderId="4" xfId="0" applyNumberFormat="1" applyFill="1" applyBorder="1" applyAlignment="1">
      <alignment horizontal="right" vertical="center"/>
    </xf>
    <xf numFmtId="182" fontId="0" fillId="0" borderId="0" xfId="0" applyNumberFormat="1" applyAlignment="1">
      <alignment vertical="center"/>
    </xf>
    <xf numFmtId="182" fontId="15" fillId="5" borderId="0" xfId="0" applyFont="1" applyFill="1" applyAlignment="1" applyProtection="1">
      <protection locked="0"/>
    </xf>
    <xf numFmtId="182" fontId="17" fillId="5" borderId="1" xfId="0" applyNumberFormat="1" applyFont="1" applyFill="1" applyBorder="1" applyAlignment="1" applyProtection="1">
      <alignment horizontal="center" vertical="center"/>
      <protection locked="0"/>
    </xf>
    <xf numFmtId="182" fontId="17" fillId="5" borderId="1" xfId="0" applyNumberFormat="1" applyFont="1" applyFill="1" applyBorder="1" applyAlignment="1" applyProtection="1">
      <alignment horizontal="center" vertical="center" wrapText="1"/>
      <protection locked="0"/>
    </xf>
    <xf numFmtId="182" fontId="18" fillId="5" borderId="1" xfId="0" applyNumberFormat="1" applyFont="1" applyFill="1" applyBorder="1" applyAlignment="1" applyProtection="1">
      <protection locked="0"/>
    </xf>
    <xf numFmtId="49" fontId="18" fillId="5" borderId="1" xfId="0" applyNumberFormat="1" applyFont="1" applyFill="1" applyBorder="1" applyAlignment="1" applyProtection="1">
      <protection locked="0"/>
    </xf>
    <xf numFmtId="49" fontId="18" fillId="5" borderId="1" xfId="0" applyNumberFormat="1" applyFont="1" applyFill="1" applyBorder="1" applyAlignment="1" applyProtection="1">
      <alignment wrapText="1"/>
      <protection locked="0"/>
    </xf>
    <xf numFmtId="178" fontId="19" fillId="5" borderId="1" xfId="0" applyNumberFormat="1" applyFont="1" applyFill="1" applyBorder="1" applyAlignment="1" applyProtection="1"/>
    <xf numFmtId="178" fontId="19" fillId="5" borderId="1" xfId="0" applyNumberFormat="1" applyFont="1" applyFill="1" applyBorder="1" applyAlignment="1" applyProtection="1">
      <protection locked="0"/>
    </xf>
    <xf numFmtId="49" fontId="19" fillId="5" borderId="1" xfId="0" applyNumberFormat="1" applyFont="1" applyFill="1" applyBorder="1" applyAlignment="1" applyProtection="1">
      <protection locked="0"/>
    </xf>
    <xf numFmtId="49" fontId="19" fillId="5" borderId="1" xfId="0" applyNumberFormat="1" applyFont="1" applyFill="1" applyBorder="1" applyAlignment="1" applyProtection="1">
      <alignment wrapText="1"/>
      <protection locked="0"/>
    </xf>
    <xf numFmtId="182" fontId="19" fillId="5" borderId="0" xfId="0" applyFont="1" applyFill="1" applyAlignment="1" applyProtection="1">
      <protection locked="0"/>
    </xf>
    <xf numFmtId="49" fontId="15" fillId="5" borderId="1" xfId="0" applyNumberFormat="1" applyFont="1" applyFill="1" applyBorder="1" applyAlignment="1" applyProtection="1">
      <protection locked="0"/>
    </xf>
    <xf numFmtId="49" fontId="15" fillId="5" borderId="1" xfId="0" applyNumberFormat="1" applyFont="1" applyFill="1" applyBorder="1" applyAlignment="1" applyProtection="1">
      <alignment wrapText="1"/>
      <protection locked="0"/>
    </xf>
    <xf numFmtId="178" fontId="15" fillId="5" borderId="1" xfId="0" applyNumberFormat="1" applyFont="1" applyFill="1" applyBorder="1" applyAlignment="1" applyProtection="1">
      <protection locked="0"/>
    </xf>
    <xf numFmtId="178" fontId="15" fillId="5" borderId="11" xfId="0" applyNumberFormat="1" applyFont="1" applyFill="1" applyBorder="1" applyAlignment="1" applyProtection="1">
      <protection locked="0"/>
    </xf>
    <xf numFmtId="178" fontId="15" fillId="5" borderId="1" xfId="0" applyNumberFormat="1" applyFont="1" applyFill="1" applyBorder="1" applyAlignment="1" applyProtection="1"/>
    <xf numFmtId="179" fontId="19" fillId="5" borderId="1" xfId="0" applyNumberFormat="1" applyFont="1" applyFill="1" applyBorder="1" applyAlignment="1" applyProtection="1">
      <protection locked="0"/>
    </xf>
    <xf numFmtId="182" fontId="15" fillId="5" borderId="1" xfId="0" applyFont="1" applyFill="1" applyBorder="1" applyAlignment="1" applyProtection="1">
      <alignment wrapText="1"/>
      <protection locked="0"/>
    </xf>
    <xf numFmtId="182" fontId="19" fillId="5" borderId="1" xfId="0" applyFont="1" applyFill="1" applyBorder="1" applyAlignment="1" applyProtection="1">
      <alignment wrapText="1"/>
      <protection locked="0"/>
    </xf>
    <xf numFmtId="179" fontId="15" fillId="5" borderId="1" xfId="0" applyNumberFormat="1" applyFont="1" applyFill="1" applyBorder="1" applyAlignment="1" applyProtection="1">
      <protection locked="0"/>
    </xf>
    <xf numFmtId="49" fontId="18" fillId="5" borderId="12" xfId="0" applyNumberFormat="1" applyFont="1" applyFill="1" applyBorder="1" applyAlignment="1" applyProtection="1">
      <alignment vertical="center"/>
      <protection locked="0"/>
    </xf>
    <xf numFmtId="182" fontId="15" fillId="5" borderId="12" xfId="0" applyFont="1" applyFill="1" applyBorder="1" applyAlignment="1" applyProtection="1">
      <alignment wrapText="1"/>
      <protection locked="0"/>
    </xf>
    <xf numFmtId="178" fontId="15" fillId="5" borderId="12" xfId="0" applyNumberFormat="1" applyFont="1" applyFill="1" applyBorder="1" applyAlignment="1" applyProtection="1">
      <protection locked="0"/>
    </xf>
    <xf numFmtId="49" fontId="18" fillId="5" borderId="5" xfId="0" applyNumberFormat="1" applyFont="1" applyFill="1" applyBorder="1" applyAlignment="1" applyProtection="1">
      <alignment vertical="center"/>
      <protection locked="0"/>
    </xf>
    <xf numFmtId="182" fontId="15" fillId="5" borderId="5" xfId="0" applyFont="1" applyFill="1" applyBorder="1" applyAlignment="1" applyProtection="1">
      <alignment wrapText="1"/>
      <protection locked="0"/>
    </xf>
    <xf numFmtId="178" fontId="15" fillId="5" borderId="5" xfId="0" applyNumberFormat="1" applyFont="1" applyFill="1" applyBorder="1" applyAlignment="1" applyProtection="1">
      <protection locked="0"/>
    </xf>
    <xf numFmtId="49" fontId="18" fillId="5" borderId="1" xfId="0" applyNumberFormat="1" applyFont="1" applyFill="1" applyBorder="1" applyAlignment="1" applyProtection="1">
      <alignment horizontal="left"/>
      <protection locked="0"/>
    </xf>
    <xf numFmtId="177" fontId="15" fillId="5" borderId="1" xfId="0" applyNumberFormat="1" applyFont="1" applyFill="1" applyBorder="1" applyAlignment="1" applyProtection="1">
      <protection locked="0"/>
    </xf>
    <xf numFmtId="182" fontId="15" fillId="5" borderId="0" xfId="0" applyFont="1" applyFill="1" applyAlignment="1" applyProtection="1">
      <alignment wrapText="1"/>
      <protection locked="0"/>
    </xf>
    <xf numFmtId="182" fontId="18" fillId="4" borderId="1" xfId="0" applyNumberFormat="1" applyFont="1" applyFill="1" applyBorder="1" applyAlignment="1" applyProtection="1">
      <protection locked="0"/>
    </xf>
    <xf numFmtId="178" fontId="19" fillId="4" borderId="1" xfId="0" applyNumberFormat="1" applyFont="1" applyFill="1" applyBorder="1" applyAlignment="1" applyProtection="1"/>
    <xf numFmtId="182" fontId="15" fillId="4" borderId="0" xfId="0" applyFont="1" applyFill="1" applyAlignment="1" applyProtection="1">
      <protection locked="0"/>
    </xf>
    <xf numFmtId="178" fontId="19" fillId="4" borderId="1" xfId="0" applyNumberFormat="1" applyFont="1" applyFill="1" applyBorder="1" applyAlignment="1" applyProtection="1">
      <protection locked="0"/>
    </xf>
    <xf numFmtId="49" fontId="18" fillId="4" borderId="1" xfId="0" applyNumberFormat="1" applyFont="1" applyFill="1" applyBorder="1" applyAlignment="1" applyProtection="1">
      <protection locked="0"/>
    </xf>
    <xf numFmtId="49" fontId="18" fillId="4" borderId="1" xfId="0" applyNumberFormat="1" applyFont="1" applyFill="1" applyBorder="1" applyAlignment="1" applyProtection="1">
      <alignment wrapText="1"/>
      <protection locked="0"/>
    </xf>
    <xf numFmtId="182" fontId="22" fillId="4" borderId="0" xfId="0" applyFont="1" applyFill="1" applyAlignment="1">
      <alignment horizontal="center" vertical="center"/>
    </xf>
    <xf numFmtId="182" fontId="26" fillId="4" borderId="0" xfId="0" applyFont="1" applyFill="1" applyAlignment="1">
      <alignment horizontal="center" vertical="center"/>
    </xf>
    <xf numFmtId="182" fontId="0" fillId="3" borderId="1" xfId="0" applyFont="1" applyFill="1" applyBorder="1" applyAlignment="1">
      <alignment horizontal="center" vertical="center"/>
    </xf>
    <xf numFmtId="182" fontId="28" fillId="3" borderId="1" xfId="0" applyFont="1" applyFill="1" applyBorder="1" applyAlignment="1">
      <alignment horizontal="center" vertical="center" wrapText="1"/>
    </xf>
    <xf numFmtId="179" fontId="30" fillId="3" borderId="1" xfId="16" applyNumberFormat="1" applyFont="1" applyFill="1" applyBorder="1" applyAlignment="1">
      <alignment horizontal="center" vertical="center" wrapText="1"/>
    </xf>
    <xf numFmtId="179" fontId="30" fillId="3" borderId="1" xfId="0" applyNumberFormat="1" applyFont="1" applyFill="1" applyBorder="1" applyAlignment="1">
      <alignment horizontal="center" vertical="center" wrapText="1"/>
    </xf>
    <xf numFmtId="182" fontId="30" fillId="3" borderId="1" xfId="0" applyFont="1" applyFill="1" applyBorder="1" applyAlignment="1">
      <alignment horizontal="center" vertical="center" wrapText="1"/>
    </xf>
    <xf numFmtId="182" fontId="31" fillId="3" borderId="1" xfId="0" applyFont="1" applyFill="1" applyBorder="1" applyAlignment="1">
      <alignment horizontal="center" vertical="center" wrapText="1"/>
    </xf>
    <xf numFmtId="182" fontId="28" fillId="3" borderId="1" xfId="0" applyFont="1" applyFill="1" applyBorder="1" applyAlignment="1">
      <alignment horizontal="center" vertical="center"/>
    </xf>
    <xf numFmtId="182" fontId="29" fillId="3" borderId="1" xfId="0" applyFont="1" applyFill="1" applyBorder="1" applyAlignment="1">
      <alignment horizontal="center" vertical="center" wrapText="1"/>
    </xf>
    <xf numFmtId="182" fontId="32" fillId="3" borderId="1" xfId="0" applyFont="1" applyFill="1" applyBorder="1" applyAlignment="1">
      <alignment horizontal="center" vertical="center"/>
    </xf>
    <xf numFmtId="182" fontId="34" fillId="4" borderId="1" xfId="0" applyFont="1" applyFill="1" applyBorder="1" applyAlignment="1">
      <alignment horizontal="center" vertical="center"/>
    </xf>
    <xf numFmtId="179" fontId="34" fillId="4" borderId="1" xfId="16" applyNumberFormat="1" applyFont="1" applyFill="1" applyBorder="1" applyAlignment="1">
      <alignment horizontal="center" vertical="center"/>
    </xf>
    <xf numFmtId="43" fontId="34" fillId="4" borderId="1" xfId="16" applyFont="1" applyFill="1" applyBorder="1" applyAlignment="1">
      <alignment horizontal="center" vertical="center"/>
    </xf>
    <xf numFmtId="182" fontId="26" fillId="4" borderId="1" xfId="0" applyFont="1" applyFill="1" applyBorder="1" applyAlignment="1">
      <alignment horizontal="center" vertical="center"/>
    </xf>
    <xf numFmtId="43" fontId="26" fillId="4" borderId="1" xfId="0" applyNumberFormat="1" applyFont="1" applyFill="1" applyBorder="1" applyAlignment="1">
      <alignment horizontal="center" vertical="center"/>
    </xf>
    <xf numFmtId="182" fontId="34" fillId="4" borderId="1" xfId="0" applyFont="1" applyFill="1" applyBorder="1" applyAlignment="1">
      <alignment horizontal="center" vertical="center" wrapText="1"/>
    </xf>
    <xf numFmtId="182" fontId="33" fillId="2" borderId="1" xfId="0" applyFont="1" applyFill="1" applyBorder="1" applyAlignment="1">
      <alignment horizontal="center" vertical="center"/>
    </xf>
    <xf numFmtId="177" fontId="34" fillId="4" borderId="1" xfId="0" applyNumberFormat="1" applyFont="1" applyFill="1" applyBorder="1" applyAlignment="1">
      <alignment horizontal="right" vertical="center"/>
    </xf>
    <xf numFmtId="182" fontId="2" fillId="4" borderId="1" xfId="0" applyFont="1" applyFill="1" applyBorder="1" applyAlignment="1">
      <alignment horizontal="center" vertical="center" wrapText="1"/>
    </xf>
    <xf numFmtId="179" fontId="26" fillId="4" borderId="0" xfId="16" applyNumberFormat="1" applyFont="1" applyFill="1" applyAlignment="1">
      <alignment horizontal="center" vertical="center"/>
    </xf>
    <xf numFmtId="179" fontId="26" fillId="4" borderId="0" xfId="0" applyNumberFormat="1" applyFont="1" applyFill="1" applyAlignment="1">
      <alignment horizontal="center" vertical="center"/>
    </xf>
    <xf numFmtId="182" fontId="33" fillId="4" borderId="1" xfId="0" applyFont="1" applyFill="1" applyBorder="1" applyAlignment="1">
      <alignment horizontal="center" vertical="center"/>
    </xf>
    <xf numFmtId="182" fontId="34" fillId="4" borderId="0" xfId="0" applyFont="1" applyFill="1" applyAlignment="1">
      <alignment horizontal="center" vertical="center"/>
    </xf>
    <xf numFmtId="178" fontId="19" fillId="6" borderId="1" xfId="0" applyNumberFormat="1" applyFont="1" applyFill="1" applyBorder="1" applyAlignment="1" applyProtection="1">
      <protection locked="0"/>
    </xf>
    <xf numFmtId="9" fontId="15" fillId="5" borderId="0" xfId="0" applyNumberFormat="1" applyFont="1" applyFill="1" applyAlignment="1" applyProtection="1">
      <protection locked="0"/>
    </xf>
    <xf numFmtId="178" fontId="19" fillId="5" borderId="1" xfId="0" applyNumberFormat="1" applyFont="1" applyFill="1" applyBorder="1" applyAlignment="1" applyProtection="1">
      <alignment vertical="center"/>
      <protection locked="0"/>
    </xf>
    <xf numFmtId="178" fontId="15" fillId="5" borderId="1" xfId="0" applyNumberFormat="1" applyFont="1" applyFill="1" applyBorder="1" applyAlignment="1" applyProtection="1">
      <alignment vertical="center"/>
      <protection locked="0"/>
    </xf>
    <xf numFmtId="182" fontId="17" fillId="5" borderId="1" xfId="18" applyNumberFormat="1" applyFont="1" applyFill="1" applyBorder="1" applyAlignment="1" applyProtection="1">
      <alignment horizontal="center" vertical="center" wrapText="1"/>
      <protection locked="0"/>
    </xf>
    <xf numFmtId="177" fontId="19" fillId="5" borderId="1" xfId="0" applyNumberFormat="1" applyFont="1" applyFill="1" applyBorder="1" applyAlignment="1" applyProtection="1"/>
    <xf numFmtId="180" fontId="15" fillId="5" borderId="0" xfId="0" applyNumberFormat="1" applyFont="1" applyFill="1" applyAlignment="1" applyProtection="1">
      <protection locked="0"/>
    </xf>
    <xf numFmtId="178" fontId="19" fillId="5" borderId="1" xfId="18" applyNumberFormat="1" applyFont="1" applyFill="1" applyBorder="1" applyAlignment="1" applyProtection="1">
      <protection locked="0"/>
    </xf>
    <xf numFmtId="178" fontId="19" fillId="0" borderId="1" xfId="0" applyNumberFormat="1" applyFont="1" applyFill="1" applyBorder="1" applyAlignment="1" applyProtection="1"/>
    <xf numFmtId="178" fontId="19" fillId="5" borderId="1" xfId="18" applyNumberFormat="1" applyFont="1" applyFill="1" applyBorder="1" applyAlignment="1" applyProtection="1"/>
    <xf numFmtId="178" fontId="19" fillId="0" borderId="1" xfId="18" applyNumberFormat="1" applyFont="1" applyFill="1" applyBorder="1" applyAlignment="1" applyProtection="1"/>
    <xf numFmtId="178" fontId="19" fillId="7" borderId="1" xfId="0" applyNumberFormat="1" applyFont="1" applyFill="1" applyBorder="1" applyAlignment="1" applyProtection="1"/>
    <xf numFmtId="182" fontId="18" fillId="7" borderId="1" xfId="0" applyNumberFormat="1" applyFont="1" applyFill="1" applyBorder="1" applyAlignment="1" applyProtection="1">
      <protection locked="0"/>
    </xf>
    <xf numFmtId="49" fontId="19" fillId="7" borderId="1" xfId="0" applyNumberFormat="1" applyFont="1" applyFill="1" applyBorder="1" applyAlignment="1" applyProtection="1">
      <protection locked="0"/>
    </xf>
    <xf numFmtId="49" fontId="19" fillId="7" borderId="1" xfId="0" applyNumberFormat="1" applyFont="1" applyFill="1" applyBorder="1" applyAlignment="1" applyProtection="1">
      <alignment wrapText="1"/>
      <protection locked="0"/>
    </xf>
    <xf numFmtId="177" fontId="19" fillId="7" borderId="1" xfId="0" applyNumberFormat="1" applyFont="1" applyFill="1" applyBorder="1" applyAlignment="1" applyProtection="1"/>
    <xf numFmtId="182" fontId="19" fillId="7" borderId="0" xfId="0" applyFont="1" applyFill="1" applyAlignment="1" applyProtection="1">
      <protection locked="0"/>
    </xf>
    <xf numFmtId="178" fontId="15" fillId="6" borderId="1" xfId="0" applyNumberFormat="1" applyFont="1" applyFill="1" applyBorder="1" applyAlignment="1" applyProtection="1"/>
    <xf numFmtId="178" fontId="19" fillId="6" borderId="1" xfId="0" applyNumberFormat="1" applyFont="1" applyFill="1" applyBorder="1" applyAlignment="1" applyProtection="1"/>
    <xf numFmtId="177" fontId="15" fillId="6" borderId="1" xfId="18" applyNumberFormat="1" applyFont="1" applyFill="1" applyBorder="1" applyAlignment="1" applyProtection="1">
      <protection locked="0"/>
    </xf>
    <xf numFmtId="177" fontId="19" fillId="6" borderId="1" xfId="18" applyNumberFormat="1" applyFont="1" applyFill="1" applyBorder="1" applyAlignment="1" applyProtection="1">
      <protection locked="0"/>
    </xf>
    <xf numFmtId="177" fontId="19" fillId="7" borderId="1" xfId="0" applyNumberFormat="1" applyFont="1" applyFill="1" applyBorder="1" applyAlignment="1" applyProtection="1">
      <protection locked="0"/>
    </xf>
    <xf numFmtId="177" fontId="19" fillId="7" borderId="1" xfId="18" applyNumberFormat="1" applyFont="1" applyFill="1" applyBorder="1" applyAlignment="1" applyProtection="1">
      <protection locked="0"/>
    </xf>
    <xf numFmtId="177" fontId="19" fillId="6" borderId="1" xfId="0" applyNumberFormat="1" applyFont="1" applyFill="1" applyBorder="1" applyAlignment="1" applyProtection="1">
      <protection locked="0"/>
    </xf>
    <xf numFmtId="178" fontId="15" fillId="0" borderId="1" xfId="0" applyNumberFormat="1" applyFont="1" applyFill="1" applyBorder="1" applyAlignment="1" applyProtection="1">
      <protection locked="0"/>
    </xf>
    <xf numFmtId="178" fontId="15" fillId="5" borderId="1" xfId="18" applyNumberFormat="1" applyFont="1" applyFill="1" applyBorder="1" applyAlignment="1" applyProtection="1">
      <protection locked="0"/>
    </xf>
    <xf numFmtId="178" fontId="15" fillId="0" borderId="1" xfId="18" applyNumberFormat="1" applyFont="1" applyFill="1" applyBorder="1" applyAlignment="1" applyProtection="1">
      <protection locked="0"/>
    </xf>
    <xf numFmtId="43" fontId="23" fillId="0" borderId="1" xfId="17" applyNumberFormat="1" applyFont="1" applyFill="1" applyBorder="1" applyAlignment="1" applyProtection="1">
      <alignment horizontal="right" vertical="center" shrinkToFit="1"/>
      <protection locked="0"/>
    </xf>
    <xf numFmtId="178" fontId="15" fillId="0" borderId="1" xfId="0" applyNumberFormat="1" applyFont="1" applyFill="1" applyBorder="1" applyAlignment="1" applyProtection="1"/>
    <xf numFmtId="179" fontId="19" fillId="0" borderId="1" xfId="0" applyNumberFormat="1" applyFont="1" applyFill="1" applyBorder="1" applyAlignment="1" applyProtection="1">
      <protection locked="0"/>
    </xf>
    <xf numFmtId="179" fontId="19" fillId="5" borderId="1" xfId="18" applyNumberFormat="1" applyFont="1" applyFill="1" applyBorder="1" applyAlignment="1" applyProtection="1">
      <protection locked="0"/>
    </xf>
    <xf numFmtId="179" fontId="19" fillId="0" borderId="1" xfId="18" applyNumberFormat="1" applyFont="1" applyFill="1" applyBorder="1" applyAlignment="1" applyProtection="1">
      <protection locked="0"/>
    </xf>
    <xf numFmtId="178" fontId="19" fillId="0" borderId="1" xfId="18" applyNumberFormat="1" applyFont="1" applyFill="1" applyBorder="1" applyAlignment="1" applyProtection="1">
      <protection locked="0"/>
    </xf>
    <xf numFmtId="178" fontId="19" fillId="0" borderId="1" xfId="0" applyNumberFormat="1" applyFont="1" applyFill="1" applyBorder="1" applyAlignment="1" applyProtection="1">
      <protection locked="0"/>
    </xf>
    <xf numFmtId="49" fontId="18" fillId="7" borderId="1" xfId="0" applyNumberFormat="1" applyFont="1" applyFill="1" applyBorder="1" applyAlignment="1" applyProtection="1">
      <protection locked="0"/>
    </xf>
    <xf numFmtId="49" fontId="18" fillId="7" borderId="1" xfId="0" applyNumberFormat="1" applyFont="1" applyFill="1" applyBorder="1" applyAlignment="1" applyProtection="1">
      <alignment wrapText="1"/>
      <protection locked="0"/>
    </xf>
    <xf numFmtId="182" fontId="15" fillId="7" borderId="0" xfId="0" applyFont="1" applyFill="1" applyAlignment="1" applyProtection="1">
      <protection locked="0"/>
    </xf>
    <xf numFmtId="178" fontId="19" fillId="8" borderId="1" xfId="0" applyNumberFormat="1" applyFont="1" applyFill="1" applyBorder="1" applyAlignment="1" applyProtection="1">
      <protection locked="0"/>
    </xf>
    <xf numFmtId="182" fontId="18" fillId="6" borderId="1" xfId="0" applyNumberFormat="1" applyFont="1" applyFill="1" applyBorder="1" applyAlignment="1" applyProtection="1">
      <protection locked="0"/>
    </xf>
    <xf numFmtId="49" fontId="19" fillId="6" borderId="1" xfId="0" applyNumberFormat="1" applyFont="1" applyFill="1" applyBorder="1" applyAlignment="1" applyProtection="1">
      <protection locked="0"/>
    </xf>
    <xf numFmtId="49" fontId="19" fillId="6" borderId="1" xfId="0" applyNumberFormat="1" applyFont="1" applyFill="1" applyBorder="1" applyAlignment="1" applyProtection="1">
      <alignment wrapText="1"/>
      <protection locked="0"/>
    </xf>
    <xf numFmtId="177" fontId="19" fillId="6" borderId="1" xfId="0" applyNumberFormat="1" applyFont="1" applyFill="1" applyBorder="1" applyAlignment="1" applyProtection="1"/>
    <xf numFmtId="182" fontId="19" fillId="6" borderId="2" xfId="0" applyFont="1" applyFill="1" applyBorder="1" applyAlignment="1" applyProtection="1">
      <protection locked="0"/>
    </xf>
    <xf numFmtId="182" fontId="18" fillId="5" borderId="5" xfId="0" applyNumberFormat="1" applyFont="1" applyFill="1" applyBorder="1" applyAlignment="1" applyProtection="1">
      <protection locked="0"/>
    </xf>
    <xf numFmtId="49" fontId="18" fillId="5" borderId="5" xfId="0" applyNumberFormat="1" applyFont="1" applyFill="1" applyBorder="1" applyAlignment="1" applyProtection="1">
      <protection locked="0"/>
    </xf>
    <xf numFmtId="49" fontId="18" fillId="5" borderId="5" xfId="0" applyNumberFormat="1" applyFont="1" applyFill="1" applyBorder="1" applyAlignment="1" applyProtection="1">
      <alignment wrapText="1"/>
      <protection locked="0"/>
    </xf>
    <xf numFmtId="178" fontId="19" fillId="5" borderId="5" xfId="0" applyNumberFormat="1" applyFont="1" applyFill="1" applyBorder="1" applyAlignment="1" applyProtection="1"/>
    <xf numFmtId="177" fontId="19" fillId="5" borderId="5" xfId="0" applyNumberFormat="1" applyFont="1" applyFill="1" applyBorder="1" applyAlignment="1" applyProtection="1"/>
    <xf numFmtId="179" fontId="15" fillId="5" borderId="1" xfId="18" applyNumberFormat="1" applyFont="1" applyFill="1" applyBorder="1" applyAlignment="1" applyProtection="1">
      <protection locked="0"/>
    </xf>
    <xf numFmtId="178" fontId="15" fillId="5" borderId="12" xfId="18" applyNumberFormat="1" applyFont="1" applyFill="1" applyBorder="1" applyAlignment="1" applyProtection="1">
      <protection locked="0"/>
    </xf>
    <xf numFmtId="178" fontId="15" fillId="5" borderId="5" xfId="18" applyNumberFormat="1" applyFont="1" applyFill="1" applyBorder="1" applyAlignment="1" applyProtection="1">
      <protection locked="0"/>
    </xf>
    <xf numFmtId="177" fontId="15" fillId="5" borderId="1" xfId="18" applyNumberFormat="1" applyFont="1" applyFill="1" applyBorder="1" applyProtection="1">
      <protection locked="0"/>
    </xf>
    <xf numFmtId="182" fontId="24" fillId="0" borderId="0" xfId="0" applyFont="1" applyFill="1" applyAlignment="1"/>
    <xf numFmtId="182" fontId="0" fillId="9" borderId="1" xfId="0" applyFill="1" applyBorder="1" applyAlignment="1" applyProtection="1">
      <alignment horizontal="center" vertical="center"/>
      <protection locked="0"/>
    </xf>
    <xf numFmtId="178" fontId="15" fillId="5" borderId="0" xfId="0" applyNumberFormat="1" applyFont="1" applyFill="1" applyAlignment="1" applyProtection="1">
      <protection locked="0"/>
    </xf>
    <xf numFmtId="178" fontId="19" fillId="10" borderId="1" xfId="0" applyNumberFormat="1" applyFont="1" applyFill="1" applyBorder="1" applyAlignment="1" applyProtection="1">
      <protection locked="0"/>
    </xf>
    <xf numFmtId="182" fontId="2" fillId="5" borderId="0" xfId="0" applyFont="1" applyFill="1" applyAlignment="1" applyProtection="1">
      <protection locked="0"/>
    </xf>
    <xf numFmtId="182" fontId="37" fillId="5" borderId="1" xfId="0" applyNumberFormat="1" applyFont="1" applyFill="1" applyBorder="1" applyAlignment="1" applyProtection="1">
      <alignment horizontal="center" vertical="center"/>
      <protection locked="0"/>
    </xf>
    <xf numFmtId="182" fontId="37" fillId="5" borderId="1" xfId="0" applyNumberFormat="1" applyFont="1" applyFill="1" applyBorder="1" applyAlignment="1" applyProtection="1">
      <alignment horizontal="center" vertical="center" wrapText="1"/>
      <protection locked="0"/>
    </xf>
    <xf numFmtId="182" fontId="2" fillId="5" borderId="0" xfId="0" applyFont="1" applyFill="1" applyAlignment="1" applyProtection="1">
      <alignment horizontal="center"/>
      <protection locked="0"/>
    </xf>
    <xf numFmtId="182" fontId="38" fillId="5" borderId="1" xfId="0" applyNumberFormat="1" applyFont="1" applyFill="1" applyBorder="1" applyAlignment="1" applyProtection="1">
      <protection locked="0"/>
    </xf>
    <xf numFmtId="49" fontId="38" fillId="5" borderId="1" xfId="0" applyNumberFormat="1" applyFont="1" applyFill="1" applyBorder="1" applyAlignment="1" applyProtection="1">
      <protection locked="0"/>
    </xf>
    <xf numFmtId="49" fontId="38" fillId="5" borderId="1" xfId="0" applyNumberFormat="1" applyFont="1" applyFill="1" applyBorder="1" applyAlignment="1" applyProtection="1">
      <alignment wrapText="1"/>
      <protection locked="0"/>
    </xf>
    <xf numFmtId="178" fontId="39" fillId="5" borderId="1" xfId="0" applyNumberFormat="1" applyFont="1" applyFill="1" applyBorder="1" applyAlignment="1" applyProtection="1"/>
    <xf numFmtId="178" fontId="2" fillId="5" borderId="0" xfId="0" applyNumberFormat="1" applyFont="1" applyFill="1" applyAlignment="1" applyProtection="1">
      <protection locked="0"/>
    </xf>
    <xf numFmtId="178" fontId="39" fillId="5" borderId="1" xfId="0" applyNumberFormat="1" applyFont="1" applyFill="1" applyBorder="1" applyAlignment="1" applyProtection="1">
      <protection locked="0"/>
    </xf>
    <xf numFmtId="49" fontId="39" fillId="5" borderId="1" xfId="0" applyNumberFormat="1" applyFont="1" applyFill="1" applyBorder="1" applyAlignment="1" applyProtection="1">
      <protection locked="0"/>
    </xf>
    <xf numFmtId="49" fontId="39" fillId="5" borderId="1" xfId="0" applyNumberFormat="1" applyFont="1" applyFill="1" applyBorder="1" applyAlignment="1" applyProtection="1">
      <alignment wrapText="1"/>
      <protection locked="0"/>
    </xf>
    <xf numFmtId="182" fontId="39" fillId="5" borderId="0" xfId="0" applyFont="1" applyFill="1" applyAlignment="1" applyProtection="1">
      <protection locked="0"/>
    </xf>
    <xf numFmtId="49" fontId="2" fillId="5" borderId="1" xfId="0" applyNumberFormat="1" applyFont="1" applyFill="1" applyBorder="1" applyAlignment="1" applyProtection="1">
      <protection locked="0"/>
    </xf>
    <xf numFmtId="49" fontId="2" fillId="5" borderId="1" xfId="0" applyNumberFormat="1" applyFont="1" applyFill="1" applyBorder="1" applyAlignment="1" applyProtection="1">
      <alignment wrapText="1"/>
      <protection locked="0"/>
    </xf>
    <xf numFmtId="178" fontId="2" fillId="5" borderId="1" xfId="0" applyNumberFormat="1" applyFont="1" applyFill="1" applyBorder="1" applyAlignment="1" applyProtection="1">
      <protection locked="0"/>
    </xf>
    <xf numFmtId="178" fontId="2" fillId="5" borderId="11" xfId="0" applyNumberFormat="1" applyFont="1" applyFill="1" applyBorder="1" applyAlignment="1" applyProtection="1">
      <protection locked="0"/>
    </xf>
    <xf numFmtId="178" fontId="2" fillId="5" borderId="1" xfId="0" applyNumberFormat="1" applyFont="1" applyFill="1" applyBorder="1" applyAlignment="1" applyProtection="1"/>
    <xf numFmtId="179" fontId="39" fillId="5" borderId="1" xfId="0" applyNumberFormat="1" applyFont="1" applyFill="1" applyBorder="1" applyAlignment="1" applyProtection="1">
      <protection locked="0"/>
    </xf>
    <xf numFmtId="182" fontId="2" fillId="5" borderId="1" xfId="0" applyFont="1" applyFill="1" applyBorder="1" applyAlignment="1" applyProtection="1">
      <alignment wrapText="1"/>
      <protection locked="0"/>
    </xf>
    <xf numFmtId="182" fontId="39" fillId="5" borderId="1" xfId="0" applyFont="1" applyFill="1" applyBorder="1" applyAlignment="1" applyProtection="1">
      <alignment wrapText="1"/>
      <protection locked="0"/>
    </xf>
    <xf numFmtId="179" fontId="2" fillId="5" borderId="1" xfId="0" applyNumberFormat="1" applyFont="1" applyFill="1" applyBorder="1" applyAlignment="1" applyProtection="1">
      <protection locked="0"/>
    </xf>
    <xf numFmtId="49" fontId="38" fillId="5" borderId="12" xfId="0" applyNumberFormat="1" applyFont="1" applyFill="1" applyBorder="1" applyAlignment="1" applyProtection="1">
      <alignment vertical="center"/>
      <protection locked="0"/>
    </xf>
    <xf numFmtId="182" fontId="2" fillId="5" borderId="12" xfId="0" applyFont="1" applyFill="1" applyBorder="1" applyAlignment="1" applyProtection="1">
      <alignment wrapText="1"/>
      <protection locked="0"/>
    </xf>
    <xf numFmtId="178" fontId="2" fillId="5" borderId="12" xfId="0" applyNumberFormat="1" applyFont="1" applyFill="1" applyBorder="1" applyAlignment="1" applyProtection="1">
      <protection locked="0"/>
    </xf>
    <xf numFmtId="49" fontId="38" fillId="5" borderId="5" xfId="0" applyNumberFormat="1" applyFont="1" applyFill="1" applyBorder="1" applyAlignment="1" applyProtection="1">
      <alignment vertical="center"/>
      <protection locked="0"/>
    </xf>
    <xf numFmtId="182" fontId="2" fillId="5" borderId="5" xfId="0" applyFont="1" applyFill="1" applyBorder="1" applyAlignment="1" applyProtection="1">
      <alignment wrapText="1"/>
      <protection locked="0"/>
    </xf>
    <xf numFmtId="178" fontId="2" fillId="5" borderId="5" xfId="0" applyNumberFormat="1" applyFont="1" applyFill="1" applyBorder="1" applyAlignment="1" applyProtection="1">
      <protection locked="0"/>
    </xf>
    <xf numFmtId="49" fontId="38" fillId="5" borderId="1" xfId="0" applyNumberFormat="1" applyFont="1" applyFill="1" applyBorder="1" applyAlignment="1" applyProtection="1">
      <alignment horizontal="left"/>
      <protection locked="0"/>
    </xf>
    <xf numFmtId="177" fontId="2" fillId="5" borderId="1" xfId="0" applyNumberFormat="1" applyFont="1" applyFill="1" applyBorder="1" applyAlignment="1" applyProtection="1">
      <protection locked="0"/>
    </xf>
    <xf numFmtId="182" fontId="2" fillId="5" borderId="0" xfId="0" applyFont="1" applyFill="1" applyAlignment="1" applyProtection="1">
      <alignment wrapText="1"/>
      <protection locked="0"/>
    </xf>
    <xf numFmtId="49" fontId="17" fillId="5" borderId="1" xfId="0" applyNumberFormat="1" applyFont="1" applyFill="1" applyBorder="1" applyAlignment="1" applyProtection="1">
      <alignment horizontal="center" vertical="center" wrapText="1"/>
      <protection locked="0"/>
    </xf>
    <xf numFmtId="49" fontId="19" fillId="5" borderId="1" xfId="0" applyNumberFormat="1" applyFont="1" applyFill="1" applyBorder="1" applyAlignment="1" applyProtection="1">
      <alignment horizontal="left" wrapText="1"/>
      <protection locked="0"/>
    </xf>
    <xf numFmtId="49" fontId="15" fillId="5" borderId="12" xfId="0" applyNumberFormat="1" applyFont="1" applyFill="1" applyBorder="1" applyAlignment="1" applyProtection="1">
      <alignment wrapText="1"/>
      <protection locked="0"/>
    </xf>
    <xf numFmtId="49" fontId="15" fillId="5" borderId="5" xfId="0" applyNumberFormat="1" applyFont="1" applyFill="1" applyBorder="1" applyAlignment="1" applyProtection="1">
      <alignment wrapText="1"/>
      <protection locked="0"/>
    </xf>
    <xf numFmtId="182" fontId="84" fillId="0" borderId="0" xfId="0" applyNumberFormat="1" applyFont="1">
      <alignment vertical="center"/>
    </xf>
    <xf numFmtId="182" fontId="0" fillId="0" borderId="0" xfId="0" applyNumberFormat="1">
      <alignment vertical="center"/>
    </xf>
    <xf numFmtId="182" fontId="88" fillId="3" borderId="36" xfId="9203" applyNumberFormat="1" applyFont="1" applyFill="1" applyBorder="1" applyAlignment="1">
      <alignment horizontal="center" vertical="center" shrinkToFit="1"/>
    </xf>
    <xf numFmtId="182" fontId="0" fillId="0" borderId="0" xfId="0" applyNumberFormat="1" applyAlignment="1">
      <alignment horizontal="center" vertical="center"/>
    </xf>
    <xf numFmtId="182" fontId="91" fillId="3" borderId="1" xfId="20" applyNumberFormat="1" applyFont="1" applyFill="1" applyBorder="1" applyAlignment="1">
      <alignment horizontal="center" vertical="center"/>
    </xf>
    <xf numFmtId="182" fontId="87" fillId="3" borderId="1" xfId="20" applyNumberFormat="1" applyFont="1" applyFill="1" applyBorder="1" applyAlignment="1">
      <alignment horizontal="center" vertical="center" shrinkToFit="1"/>
    </xf>
    <xf numFmtId="182" fontId="87" fillId="3" borderId="1" xfId="20" applyNumberFormat="1" applyFont="1" applyFill="1" applyBorder="1" applyAlignment="1">
      <alignment horizontal="center" vertical="center" wrapText="1" shrinkToFit="1"/>
    </xf>
    <xf numFmtId="182" fontId="91" fillId="0" borderId="1" xfId="20" applyNumberFormat="1" applyFont="1" applyBorder="1" applyAlignment="1">
      <alignment horizontal="center" vertical="center"/>
    </xf>
    <xf numFmtId="182" fontId="89" fillId="0" borderId="1" xfId="20" applyNumberFormat="1" applyFont="1" applyFill="1" applyBorder="1" applyAlignment="1">
      <alignment vertical="center"/>
    </xf>
    <xf numFmtId="182" fontId="89" fillId="0" borderId="1" xfId="20" applyNumberFormat="1" applyFont="1" applyFill="1" applyBorder="1" applyAlignment="1">
      <alignment vertical="center" wrapText="1"/>
    </xf>
    <xf numFmtId="182" fontId="91" fillId="0" borderId="1" xfId="20" applyNumberFormat="1" applyFont="1" applyFill="1" applyBorder="1" applyAlignment="1">
      <alignment vertical="center" wrapText="1"/>
    </xf>
    <xf numFmtId="182" fontId="89" fillId="0" borderId="1" xfId="20" applyNumberFormat="1" applyFont="1" applyFill="1" applyBorder="1" applyAlignment="1">
      <alignment horizontal="center" vertical="center"/>
    </xf>
    <xf numFmtId="182" fontId="89" fillId="0" borderId="1" xfId="20" applyNumberFormat="1" applyFont="1" applyFill="1" applyBorder="1" applyAlignment="1">
      <alignment horizontal="right" vertical="center"/>
    </xf>
    <xf numFmtId="182" fontId="91" fillId="4" borderId="1" xfId="20" applyNumberFormat="1" applyFont="1" applyFill="1" applyBorder="1" applyAlignment="1">
      <alignment horizontal="center" vertical="center"/>
    </xf>
    <xf numFmtId="182" fontId="89" fillId="4" borderId="1" xfId="20" applyNumberFormat="1" applyFont="1" applyFill="1" applyBorder="1" applyAlignment="1">
      <alignment vertical="center"/>
    </xf>
    <xf numFmtId="182" fontId="89" fillId="4" borderId="1" xfId="20" applyNumberFormat="1" applyFont="1" applyFill="1" applyBorder="1" applyAlignment="1">
      <alignment vertical="center" wrapText="1"/>
    </xf>
    <xf numFmtId="182" fontId="89" fillId="4" borderId="1" xfId="20" applyNumberFormat="1" applyFont="1" applyFill="1" applyBorder="1" applyAlignment="1">
      <alignment horizontal="center" vertical="center"/>
    </xf>
    <xf numFmtId="182" fontId="89" fillId="4" borderId="1" xfId="20" applyNumberFormat="1" applyFont="1" applyFill="1" applyBorder="1" applyAlignment="1">
      <alignment horizontal="right" vertical="center"/>
    </xf>
    <xf numFmtId="182" fontId="89" fillId="3" borderId="1" xfId="20" applyNumberFormat="1" applyFont="1" applyFill="1" applyBorder="1" applyAlignment="1">
      <alignment vertical="center"/>
    </xf>
    <xf numFmtId="182" fontId="54" fillId="3" borderId="1" xfId="20" applyNumberFormat="1" applyFont="1" applyFill="1" applyBorder="1" applyAlignment="1">
      <alignment horizontal="center" vertical="center"/>
    </xf>
    <xf numFmtId="182" fontId="54" fillId="3" borderId="1" xfId="20" applyNumberFormat="1" applyFont="1" applyFill="1" applyBorder="1" applyAlignment="1">
      <alignment vertical="center"/>
    </xf>
    <xf numFmtId="182" fontId="89" fillId="3" borderId="1" xfId="20" applyNumberFormat="1" applyFont="1" applyFill="1" applyBorder="1" applyAlignment="1">
      <alignment horizontal="center" vertical="center"/>
    </xf>
    <xf numFmtId="182" fontId="54" fillId="6" borderId="1" xfId="20" applyNumberFormat="1" applyFont="1" applyFill="1" applyBorder="1" applyAlignment="1">
      <alignment horizontal="center" vertical="center"/>
    </xf>
    <xf numFmtId="182" fontId="54" fillId="6" borderId="1" xfId="20" applyNumberFormat="1" applyFont="1" applyFill="1" applyBorder="1" applyAlignment="1">
      <alignment vertical="center"/>
    </xf>
    <xf numFmtId="182" fontId="89" fillId="6" borderId="1" xfId="20" applyNumberFormat="1" applyFont="1" applyFill="1" applyBorder="1" applyAlignment="1">
      <alignment vertical="center" wrapText="1"/>
    </xf>
    <xf numFmtId="182" fontId="89" fillId="6" borderId="1" xfId="20" applyNumberFormat="1" applyFont="1" applyFill="1" applyBorder="1" applyAlignment="1">
      <alignment horizontal="center" vertical="center"/>
    </xf>
    <xf numFmtId="182" fontId="89" fillId="6" borderId="1" xfId="20" applyNumberFormat="1" applyFont="1" applyFill="1" applyBorder="1" applyAlignment="1">
      <alignment horizontal="right" vertical="center"/>
    </xf>
    <xf numFmtId="182" fontId="91" fillId="3" borderId="1" xfId="20" applyNumberFormat="1" applyFont="1" applyFill="1" applyBorder="1">
      <alignment vertical="center"/>
    </xf>
    <xf numFmtId="182" fontId="89" fillId="0" borderId="1" xfId="4430" applyNumberFormat="1" applyFont="1" applyFill="1" applyBorder="1" applyAlignment="1">
      <alignment horizontal="center" vertical="center"/>
    </xf>
    <xf numFmtId="182" fontId="89" fillId="0" borderId="1" xfId="4430" applyNumberFormat="1" applyFont="1" applyFill="1" applyBorder="1" applyAlignment="1">
      <alignment horizontal="right" vertical="center"/>
    </xf>
    <xf numFmtId="182" fontId="87" fillId="0" borderId="1" xfId="20" applyNumberFormat="1" applyFont="1" applyFill="1" applyBorder="1" applyAlignment="1">
      <alignment horizontal="right" vertical="center"/>
    </xf>
    <xf numFmtId="182" fontId="92" fillId="0" borderId="1" xfId="20" applyNumberFormat="1" applyFont="1" applyFill="1" applyBorder="1" applyAlignment="1">
      <alignment vertical="center"/>
    </xf>
    <xf numFmtId="182" fontId="3" fillId="3" borderId="1" xfId="19" applyNumberFormat="1" applyFont="1" applyFill="1" applyBorder="1" applyAlignment="1">
      <alignment horizontal="center" vertical="center"/>
    </xf>
    <xf numFmtId="182" fontId="3" fillId="3" borderId="32" xfId="19" applyNumberFormat="1" applyFont="1" applyFill="1" applyBorder="1" applyAlignment="1">
      <alignment horizontal="center" vertical="center" shrinkToFit="1"/>
    </xf>
    <xf numFmtId="182" fontId="3" fillId="3" borderId="33" xfId="19" applyNumberFormat="1" applyFont="1" applyFill="1" applyBorder="1" applyAlignment="1">
      <alignment horizontal="center" vertical="center" shrinkToFit="1"/>
    </xf>
    <xf numFmtId="182" fontId="3" fillId="3" borderId="33" xfId="19" applyNumberFormat="1" applyFont="1" applyFill="1" applyBorder="1" applyAlignment="1">
      <alignment horizontal="center" vertical="center" wrapText="1" shrinkToFit="1"/>
    </xf>
    <xf numFmtId="182" fontId="100" fillId="0" borderId="0" xfId="0" applyNumberFormat="1" applyFont="1">
      <alignment vertical="center"/>
    </xf>
    <xf numFmtId="182" fontId="54" fillId="0" borderId="1" xfId="19" applyNumberFormat="1" applyFont="1" applyFill="1" applyBorder="1" applyAlignment="1">
      <alignment horizontal="center" vertical="center"/>
    </xf>
    <xf numFmtId="182" fontId="99" fillId="0" borderId="10" xfId="9202" applyNumberFormat="1" applyFont="1" applyFill="1" applyBorder="1" applyAlignment="1" applyProtection="1">
      <alignment horizontal="center" vertical="center" wrapText="1"/>
      <protection locked="0"/>
    </xf>
    <xf numFmtId="182" fontId="2" fillId="0" borderId="1" xfId="9202" applyNumberFormat="1" applyFont="1" applyFill="1" applyBorder="1" applyAlignment="1" applyProtection="1">
      <alignment horizontal="center" vertical="center" wrapText="1"/>
      <protection locked="0"/>
    </xf>
    <xf numFmtId="182" fontId="104" fillId="0" borderId="1" xfId="9202" applyNumberFormat="1" applyFont="1" applyFill="1" applyBorder="1" applyAlignment="1">
      <alignment horizontal="center" vertical="center" wrapText="1"/>
    </xf>
    <xf numFmtId="182" fontId="2" fillId="4" borderId="1" xfId="16" applyNumberFormat="1" applyFont="1" applyFill="1" applyBorder="1" applyAlignment="1" applyProtection="1">
      <alignment horizontal="center" vertical="center" wrapText="1"/>
    </xf>
    <xf numFmtId="182" fontId="54" fillId="0" borderId="0" xfId="0" applyNumberFormat="1" applyFont="1">
      <alignment vertical="center"/>
    </xf>
    <xf numFmtId="182" fontId="104" fillId="0" borderId="10" xfId="19" applyNumberFormat="1" applyFont="1" applyFill="1" applyBorder="1" applyAlignment="1">
      <alignment horizontal="center" vertical="center" wrapText="1"/>
    </xf>
    <xf numFmtId="182" fontId="104" fillId="0" borderId="1" xfId="19" applyNumberFormat="1" applyFont="1" applyFill="1" applyBorder="1" applyAlignment="1">
      <alignment horizontal="center" vertical="center" wrapText="1"/>
    </xf>
    <xf numFmtId="182" fontId="2" fillId="0" borderId="1" xfId="19" applyNumberFormat="1" applyFont="1" applyFill="1" applyBorder="1" applyAlignment="1">
      <alignment horizontal="center" vertical="center" wrapText="1" shrinkToFit="1"/>
    </xf>
    <xf numFmtId="182" fontId="54" fillId="3" borderId="1" xfId="19" applyNumberFormat="1" applyFont="1" applyFill="1" applyBorder="1" applyAlignment="1">
      <alignment horizontal="center" vertical="center"/>
    </xf>
    <xf numFmtId="182" fontId="104" fillId="3" borderId="10" xfId="19" applyNumberFormat="1" applyFont="1" applyFill="1" applyBorder="1" applyAlignment="1">
      <alignment horizontal="center" vertical="center" wrapText="1"/>
    </xf>
    <xf numFmtId="182" fontId="104" fillId="3" borderId="1" xfId="19" applyNumberFormat="1" applyFont="1" applyFill="1" applyBorder="1" applyAlignment="1">
      <alignment horizontal="center" vertical="center" wrapText="1"/>
    </xf>
    <xf numFmtId="182" fontId="2" fillId="3" borderId="1" xfId="19" applyNumberFormat="1" applyFont="1" applyFill="1" applyBorder="1" applyAlignment="1">
      <alignment horizontal="center" vertical="center" wrapText="1" shrinkToFit="1"/>
    </xf>
    <xf numFmtId="182" fontId="2" fillId="3" borderId="1" xfId="9202" applyNumberFormat="1" applyFont="1" applyFill="1" applyBorder="1" applyAlignment="1" applyProtection="1">
      <alignment horizontal="center" vertical="center" wrapText="1"/>
      <protection locked="0"/>
    </xf>
    <xf numFmtId="182" fontId="2" fillId="3" borderId="1" xfId="16" applyNumberFormat="1" applyFont="1" applyFill="1" applyBorder="1" applyAlignment="1" applyProtection="1">
      <alignment horizontal="center" vertical="center" wrapText="1"/>
    </xf>
    <xf numFmtId="182" fontId="99" fillId="3" borderId="10" xfId="9202" applyNumberFormat="1" applyFont="1" applyFill="1" applyBorder="1" applyAlignment="1" applyProtection="1">
      <alignment horizontal="center" vertical="center" wrapText="1"/>
      <protection locked="0"/>
    </xf>
    <xf numFmtId="182" fontId="104" fillId="3" borderId="1" xfId="9202" applyNumberFormat="1" applyFont="1" applyFill="1" applyBorder="1" applyAlignment="1">
      <alignment horizontal="center" vertical="center" wrapText="1"/>
    </xf>
    <xf numFmtId="182" fontId="2" fillId="0" borderId="1" xfId="16" applyNumberFormat="1" applyFont="1" applyFill="1" applyBorder="1" applyAlignment="1" applyProtection="1">
      <alignment horizontal="center" vertical="center" wrapText="1"/>
    </xf>
    <xf numFmtId="182" fontId="2" fillId="3" borderId="10" xfId="9202" applyNumberFormat="1" applyFont="1" applyFill="1" applyBorder="1" applyAlignment="1" applyProtection="1">
      <alignment horizontal="center" vertical="center" wrapText="1"/>
      <protection locked="0"/>
    </xf>
    <xf numFmtId="182" fontId="54" fillId="0" borderId="1" xfId="20" applyNumberFormat="1" applyFont="1" applyBorder="1" applyAlignment="1">
      <alignment horizontal="center" vertical="center"/>
    </xf>
    <xf numFmtId="182" fontId="20" fillId="0" borderId="0" xfId="9206" applyNumberFormat="1">
      <alignment vertical="center"/>
    </xf>
    <xf numFmtId="182" fontId="110" fillId="67" borderId="34" xfId="9206" applyNumberFormat="1" applyFont="1" applyFill="1" applyBorder="1" applyAlignment="1">
      <alignment horizontal="center" vertical="center"/>
    </xf>
    <xf numFmtId="182" fontId="110" fillId="0" borderId="0" xfId="9206" applyNumberFormat="1" applyFont="1" applyFill="1" applyBorder="1" applyAlignment="1">
      <alignment horizontal="center" vertical="center"/>
    </xf>
    <xf numFmtId="182" fontId="111" fillId="0" borderId="0" xfId="0" applyNumberFormat="1" applyFont="1">
      <alignment vertical="center"/>
    </xf>
    <xf numFmtId="182" fontId="94" fillId="6" borderId="34" xfId="9206" applyNumberFormat="1" applyFont="1" applyFill="1" applyBorder="1" applyAlignment="1">
      <alignment horizontal="center" vertical="center"/>
    </xf>
    <xf numFmtId="182" fontId="94" fillId="6" borderId="34" xfId="9206" applyNumberFormat="1" applyFont="1" applyFill="1" applyBorder="1" applyAlignment="1">
      <alignment horizontal="left" vertical="center"/>
    </xf>
    <xf numFmtId="182" fontId="94" fillId="6" borderId="34" xfId="9206" applyNumberFormat="1" applyFont="1" applyFill="1" applyBorder="1" applyAlignment="1">
      <alignment horizontal="left" vertical="center" wrapText="1"/>
    </xf>
    <xf numFmtId="182" fontId="94" fillId="4" borderId="0" xfId="9206" applyNumberFormat="1" applyFont="1" applyFill="1" applyBorder="1" applyAlignment="1">
      <alignment horizontal="center" vertical="center"/>
    </xf>
    <xf numFmtId="182" fontId="94" fillId="4" borderId="34" xfId="9206" applyNumberFormat="1" applyFont="1" applyFill="1" applyBorder="1" applyAlignment="1">
      <alignment horizontal="center" vertical="center"/>
    </xf>
    <xf numFmtId="182" fontId="94" fillId="4" borderId="34" xfId="9206" applyNumberFormat="1" applyFont="1" applyFill="1" applyBorder="1" applyAlignment="1">
      <alignment horizontal="left" vertical="center"/>
    </xf>
    <xf numFmtId="182" fontId="94" fillId="4" borderId="34" xfId="9206" applyNumberFormat="1" applyFont="1" applyFill="1" applyBorder="1" applyAlignment="1">
      <alignment horizontal="left" vertical="center" wrapText="1"/>
    </xf>
    <xf numFmtId="182" fontId="94" fillId="0" borderId="0" xfId="9206" applyNumberFormat="1" applyFont="1" applyFill="1" applyBorder="1" applyAlignment="1">
      <alignment horizontal="center" vertical="center"/>
    </xf>
    <xf numFmtId="182" fontId="94" fillId="4" borderId="37" xfId="9206" applyNumberFormat="1" applyFont="1" applyFill="1" applyBorder="1" applyAlignment="1">
      <alignment horizontal="center" vertical="center"/>
    </xf>
    <xf numFmtId="182" fontId="94" fillId="0" borderId="34" xfId="9206" applyNumberFormat="1" applyFont="1" applyFill="1" applyBorder="1" applyAlignment="1">
      <alignment horizontal="center" vertical="center"/>
    </xf>
    <xf numFmtId="182" fontId="94" fillId="4" borderId="34" xfId="9212" applyNumberFormat="1" applyFont="1" applyFill="1" applyBorder="1" applyAlignment="1">
      <alignment horizontal="left" vertical="center" wrapText="1"/>
    </xf>
    <xf numFmtId="182" fontId="94" fillId="4" borderId="34" xfId="9216" applyNumberFormat="1" applyFont="1" applyFill="1" applyBorder="1" applyAlignment="1">
      <alignment horizontal="left" vertical="center"/>
    </xf>
    <xf numFmtId="182" fontId="94" fillId="4" borderId="34" xfId="9216" applyNumberFormat="1" applyFont="1" applyFill="1" applyBorder="1" applyAlignment="1">
      <alignment horizontal="left" vertical="center" wrapText="1"/>
    </xf>
    <xf numFmtId="182" fontId="94" fillId="4" borderId="34" xfId="9216" applyNumberFormat="1" applyFont="1" applyFill="1" applyBorder="1" applyAlignment="1">
      <alignment horizontal="center" vertical="center"/>
    </xf>
    <xf numFmtId="182" fontId="94" fillId="4" borderId="34" xfId="9220" applyNumberFormat="1" applyFont="1" applyFill="1" applyBorder="1" applyAlignment="1">
      <alignment horizontal="left" vertical="center"/>
    </xf>
    <xf numFmtId="182" fontId="94" fillId="4" borderId="34" xfId="9220" applyNumberFormat="1" applyFont="1" applyFill="1" applyBorder="1" applyAlignment="1">
      <alignment horizontal="left" vertical="center" wrapText="1"/>
    </xf>
    <xf numFmtId="182" fontId="94" fillId="4" borderId="34" xfId="9220" applyNumberFormat="1" applyFont="1" applyFill="1" applyBorder="1" applyAlignment="1">
      <alignment horizontal="center" vertical="center"/>
    </xf>
    <xf numFmtId="182" fontId="94" fillId="67" borderId="34" xfId="9206" applyNumberFormat="1" applyFont="1" applyFill="1" applyBorder="1" applyAlignment="1">
      <alignment horizontal="center" vertical="center"/>
    </xf>
    <xf numFmtId="182" fontId="94" fillId="67" borderId="34" xfId="9206" applyNumberFormat="1" applyFont="1" applyFill="1" applyBorder="1" applyAlignment="1">
      <alignment horizontal="left" vertical="center" wrapText="1"/>
    </xf>
    <xf numFmtId="182" fontId="94" fillId="4" borderId="33" xfId="9206" applyNumberFormat="1" applyFont="1" applyFill="1" applyBorder="1" applyAlignment="1">
      <alignment horizontal="center" vertical="center"/>
    </xf>
    <xf numFmtId="182" fontId="94" fillId="0" borderId="37" xfId="9206" applyNumberFormat="1" applyFont="1" applyFill="1" applyBorder="1" applyAlignment="1">
      <alignment horizontal="center" vertical="center"/>
    </xf>
    <xf numFmtId="182" fontId="20" fillId="4" borderId="0" xfId="9206" applyNumberFormat="1" applyFill="1">
      <alignment vertical="center"/>
    </xf>
    <xf numFmtId="182" fontId="94" fillId="4" borderId="33" xfId="9206" applyNumberFormat="1" applyFont="1" applyFill="1" applyBorder="1" applyAlignment="1">
      <alignment horizontal="left" vertical="center"/>
    </xf>
    <xf numFmtId="182" fontId="94" fillId="4" borderId="33" xfId="9212" applyNumberFormat="1" applyFont="1" applyFill="1" applyBorder="1" applyAlignment="1">
      <alignment horizontal="left" vertical="center" wrapText="1"/>
    </xf>
    <xf numFmtId="182" fontId="94" fillId="4" borderId="34" xfId="9212" applyNumberFormat="1" applyFont="1" applyFill="1" applyBorder="1" applyAlignment="1">
      <alignment horizontal="left" vertical="center"/>
    </xf>
    <xf numFmtId="182" fontId="94" fillId="4" borderId="34" xfId="9212" applyNumberFormat="1" applyFont="1" applyFill="1" applyBorder="1" applyAlignment="1">
      <alignment horizontal="center" vertical="center"/>
    </xf>
    <xf numFmtId="182" fontId="94" fillId="67" borderId="34" xfId="9206" applyNumberFormat="1" applyFont="1" applyFill="1" applyBorder="1" applyAlignment="1">
      <alignment wrapText="1"/>
    </xf>
    <xf numFmtId="182" fontId="94" fillId="67" borderId="34" xfId="9206" applyNumberFormat="1" applyFont="1" applyFill="1" applyBorder="1" applyAlignment="1"/>
    <xf numFmtId="182" fontId="84" fillId="4" borderId="0" xfId="0" applyNumberFormat="1" applyFont="1" applyFill="1">
      <alignment vertical="center"/>
    </xf>
    <xf numFmtId="182" fontId="0" fillId="4" borderId="0" xfId="0" applyNumberFormat="1" applyFill="1">
      <alignment vertical="center"/>
    </xf>
    <xf numFmtId="182" fontId="82" fillId="3" borderId="36" xfId="9205" applyNumberFormat="1" applyFont="1" applyFill="1" applyBorder="1" applyAlignment="1">
      <alignment horizontal="center" vertical="center"/>
    </xf>
    <xf numFmtId="182" fontId="82" fillId="3" borderId="36" xfId="9205" applyNumberFormat="1" applyFont="1" applyFill="1" applyBorder="1" applyAlignment="1">
      <alignment horizontal="center" vertical="center" wrapText="1"/>
    </xf>
    <xf numFmtId="182" fontId="82" fillId="3" borderId="36" xfId="16" applyNumberFormat="1" applyFont="1" applyFill="1" applyBorder="1" applyAlignment="1">
      <alignment horizontal="center" vertical="center"/>
    </xf>
    <xf numFmtId="182" fontId="82" fillId="0" borderId="36" xfId="9205" applyNumberFormat="1" applyFont="1" applyFill="1" applyBorder="1" applyAlignment="1">
      <alignment horizontal="left" vertical="center" wrapText="1"/>
    </xf>
    <xf numFmtId="182" fontId="82" fillId="0" borderId="36" xfId="9205" applyNumberFormat="1" applyFont="1" applyFill="1" applyBorder="1" applyAlignment="1">
      <alignment horizontal="center" vertical="center" wrapText="1"/>
    </xf>
    <xf numFmtId="182" fontId="83" fillId="0" borderId="36" xfId="9205" applyNumberFormat="1" applyFont="1" applyFill="1" applyBorder="1" applyAlignment="1" applyProtection="1">
      <alignment horizontal="left" vertical="center" wrapText="1"/>
    </xf>
    <xf numFmtId="182" fontId="82" fillId="0" borderId="36" xfId="9205" applyNumberFormat="1" applyFont="1" applyFill="1" applyBorder="1" applyAlignment="1">
      <alignment horizontal="center" vertical="center"/>
    </xf>
    <xf numFmtId="182" fontId="82" fillId="0" borderId="36" xfId="16" applyNumberFormat="1" applyFont="1" applyFill="1" applyBorder="1" applyAlignment="1">
      <alignment horizontal="center" vertical="center"/>
    </xf>
    <xf numFmtId="182" fontId="82" fillId="4" borderId="36" xfId="16" applyNumberFormat="1" applyFont="1" applyFill="1" applyBorder="1" applyAlignment="1">
      <alignment horizontal="center" vertical="center"/>
    </xf>
    <xf numFmtId="182" fontId="82" fillId="3" borderId="36" xfId="9205" applyNumberFormat="1" applyFont="1" applyFill="1" applyBorder="1" applyAlignment="1">
      <alignment horizontal="left" vertical="center" wrapText="1"/>
    </xf>
    <xf numFmtId="182" fontId="83" fillId="3" borderId="36" xfId="9205" applyNumberFormat="1" applyFont="1" applyFill="1" applyBorder="1" applyAlignment="1" applyProtection="1">
      <alignment horizontal="center" vertical="center" wrapText="1"/>
    </xf>
    <xf numFmtId="182" fontId="83" fillId="3" borderId="36" xfId="9205" applyNumberFormat="1" applyFont="1" applyFill="1" applyBorder="1" applyAlignment="1" applyProtection="1">
      <alignment horizontal="left" vertical="center" wrapText="1"/>
    </xf>
    <xf numFmtId="182" fontId="82" fillId="4" borderId="36" xfId="9205" applyNumberFormat="1" applyFont="1" applyFill="1" applyBorder="1" applyAlignment="1">
      <alignment horizontal="left" vertical="center" wrapText="1"/>
    </xf>
    <xf numFmtId="182" fontId="82" fillId="4" borderId="36" xfId="9205" applyNumberFormat="1" applyFont="1" applyFill="1" applyBorder="1" applyAlignment="1">
      <alignment horizontal="center" vertical="center"/>
    </xf>
    <xf numFmtId="182" fontId="52" fillId="3" borderId="36" xfId="9205" applyNumberFormat="1" applyFont="1" applyFill="1" applyBorder="1">
      <alignment vertical="center"/>
    </xf>
    <xf numFmtId="182" fontId="52" fillId="3" borderId="36" xfId="9205" applyNumberFormat="1" applyFont="1" applyFill="1" applyBorder="1" applyAlignment="1">
      <alignment horizontal="center" vertical="center"/>
    </xf>
    <xf numFmtId="182" fontId="52" fillId="4" borderId="36" xfId="9205" applyNumberFormat="1" applyFont="1" applyFill="1" applyBorder="1">
      <alignment vertical="center"/>
    </xf>
    <xf numFmtId="182" fontId="52" fillId="4" borderId="36" xfId="9205" applyNumberFormat="1" applyFont="1" applyFill="1" applyBorder="1" applyAlignment="1">
      <alignment horizontal="center" vertical="center"/>
    </xf>
    <xf numFmtId="182" fontId="3" fillId="3" borderId="36" xfId="9204" applyNumberFormat="1" applyFont="1" applyFill="1" applyBorder="1" applyAlignment="1">
      <alignment horizontal="center" vertical="center"/>
    </xf>
    <xf numFmtId="182" fontId="3" fillId="3" borderId="36" xfId="16" applyNumberFormat="1" applyFont="1" applyFill="1" applyBorder="1" applyAlignment="1">
      <alignment horizontal="center" vertical="center"/>
    </xf>
    <xf numFmtId="182" fontId="82" fillId="4" borderId="36" xfId="9204" applyNumberFormat="1" applyFont="1" applyFill="1" applyBorder="1" applyAlignment="1">
      <alignment horizontal="center" vertical="center" wrapText="1"/>
    </xf>
    <xf numFmtId="182" fontId="83" fillId="4" borderId="36" xfId="9204" applyNumberFormat="1" applyFont="1" applyFill="1" applyBorder="1" applyAlignment="1" applyProtection="1">
      <alignment horizontal="left" vertical="center" wrapText="1"/>
    </xf>
    <xf numFmtId="182" fontId="82" fillId="4" borderId="36" xfId="9204" applyNumberFormat="1" applyFont="1" applyFill="1" applyBorder="1" applyAlignment="1">
      <alignment horizontal="center" vertical="center"/>
    </xf>
    <xf numFmtId="182" fontId="82" fillId="4" borderId="36" xfId="8882" applyNumberFormat="1" applyFont="1" applyFill="1" applyBorder="1" applyAlignment="1">
      <alignment horizontal="center" vertical="center"/>
    </xf>
    <xf numFmtId="182" fontId="82" fillId="4" borderId="36" xfId="9204" applyNumberFormat="1" applyFont="1" applyFill="1" applyBorder="1" applyAlignment="1">
      <alignment horizontal="center" vertical="center" shrinkToFit="1"/>
    </xf>
    <xf numFmtId="182" fontId="82" fillId="3" borderId="36" xfId="9204" applyNumberFormat="1" applyFont="1" applyFill="1" applyBorder="1" applyAlignment="1">
      <alignment horizontal="center" vertical="center" wrapText="1"/>
    </xf>
    <xf numFmtId="182" fontId="83" fillId="3" borderId="36" xfId="9204" applyNumberFormat="1" applyFont="1" applyFill="1" applyBorder="1" applyAlignment="1" applyProtection="1">
      <alignment horizontal="center" vertical="center" wrapText="1"/>
    </xf>
    <xf numFmtId="182" fontId="82" fillId="3" borderId="36" xfId="9204" applyNumberFormat="1" applyFont="1" applyFill="1" applyBorder="1" applyAlignment="1">
      <alignment horizontal="center" vertical="center"/>
    </xf>
    <xf numFmtId="182" fontId="52" fillId="4" borderId="36" xfId="9204" applyNumberFormat="1" applyFont="1" applyFill="1" applyBorder="1" applyAlignment="1">
      <alignment horizontal="center" vertical="center"/>
    </xf>
    <xf numFmtId="182" fontId="82" fillId="4" borderId="36" xfId="8948" applyNumberFormat="1" applyFont="1" applyFill="1" applyBorder="1" applyAlignment="1">
      <alignment horizontal="center" vertical="center"/>
    </xf>
    <xf numFmtId="182" fontId="52" fillId="3" borderId="36" xfId="9204" applyNumberFormat="1" applyFont="1" applyFill="1" applyBorder="1" applyAlignment="1">
      <alignment horizontal="center" vertical="center"/>
    </xf>
    <xf numFmtId="182" fontId="5" fillId="4" borderId="0" xfId="0" applyNumberFormat="1" applyFont="1" applyFill="1" applyAlignment="1">
      <alignment horizontal="center" vertical="center" wrapText="1"/>
    </xf>
    <xf numFmtId="182" fontId="5" fillId="4" borderId="0" xfId="0" applyNumberFormat="1" applyFont="1" applyFill="1" applyAlignment="1">
      <alignment horizontal="center" vertical="center"/>
    </xf>
    <xf numFmtId="182" fontId="99" fillId="4" borderId="36" xfId="0" applyNumberFormat="1" applyFont="1" applyFill="1" applyBorder="1" applyAlignment="1">
      <alignment horizontal="center" vertical="center"/>
    </xf>
    <xf numFmtId="182" fontId="99" fillId="4" borderId="36" xfId="0" applyNumberFormat="1" applyFont="1" applyFill="1" applyBorder="1" applyAlignment="1">
      <alignment horizontal="center" vertical="center" wrapText="1"/>
    </xf>
    <xf numFmtId="182" fontId="99" fillId="4" borderId="36" xfId="8913" applyNumberFormat="1" applyFont="1" applyFill="1" applyBorder="1" applyAlignment="1">
      <alignment horizontal="center" vertical="center"/>
    </xf>
    <xf numFmtId="182" fontId="54" fillId="4" borderId="36" xfId="4430" applyNumberFormat="1" applyFont="1" applyFill="1" applyBorder="1" applyAlignment="1">
      <alignment horizontal="center" vertical="center"/>
    </xf>
    <xf numFmtId="182" fontId="54" fillId="4" borderId="36" xfId="0" applyNumberFormat="1" applyFont="1" applyFill="1" applyBorder="1" applyAlignment="1">
      <alignment horizontal="center" vertical="center" wrapText="1"/>
    </xf>
    <xf numFmtId="182" fontId="54" fillId="4" borderId="0" xfId="0" applyNumberFormat="1" applyFont="1" applyFill="1" applyAlignment="1">
      <alignment horizontal="center" vertical="center"/>
    </xf>
    <xf numFmtId="182" fontId="99" fillId="4" borderId="36" xfId="9207" applyNumberFormat="1" applyFont="1" applyFill="1" applyBorder="1" applyAlignment="1">
      <alignment horizontal="center" vertical="center" wrapText="1"/>
    </xf>
    <xf numFmtId="182" fontId="99" fillId="4" borderId="36" xfId="8913" applyNumberFormat="1" applyFont="1" applyFill="1" applyBorder="1" applyAlignment="1">
      <alignment horizontal="center" vertical="center" wrapText="1"/>
    </xf>
    <xf numFmtId="182" fontId="99" fillId="4" borderId="36" xfId="4511" applyNumberFormat="1" applyFont="1" applyFill="1" applyBorder="1" applyAlignment="1">
      <alignment horizontal="center" vertical="center"/>
    </xf>
    <xf numFmtId="182" fontId="99" fillId="4" borderId="36" xfId="4511" applyNumberFormat="1" applyFont="1" applyFill="1" applyBorder="1" applyAlignment="1">
      <alignment horizontal="center" vertical="center" wrapText="1"/>
    </xf>
    <xf numFmtId="182" fontId="99" fillId="4" borderId="0" xfId="4511" applyNumberFormat="1" applyFont="1" applyFill="1" applyAlignment="1">
      <alignment horizontal="center" vertical="center"/>
    </xf>
    <xf numFmtId="182" fontId="54" fillId="4" borderId="36" xfId="8913" applyNumberFormat="1" applyFont="1" applyFill="1" applyBorder="1" applyAlignment="1">
      <alignment horizontal="center" vertical="center"/>
    </xf>
    <xf numFmtId="182" fontId="54" fillId="4" borderId="36" xfId="0" applyNumberFormat="1" applyFont="1" applyFill="1" applyBorder="1" applyAlignment="1">
      <alignment horizontal="center" vertical="center"/>
    </xf>
    <xf numFmtId="182" fontId="54" fillId="4" borderId="0" xfId="0" applyNumberFormat="1" applyFont="1" applyFill="1" applyBorder="1" applyAlignment="1">
      <alignment horizontal="center" vertical="center" wrapText="1"/>
    </xf>
    <xf numFmtId="182" fontId="54" fillId="4" borderId="0" xfId="0" applyNumberFormat="1" applyFont="1" applyFill="1" applyAlignment="1">
      <alignment horizontal="center" vertical="center" wrapText="1"/>
    </xf>
    <xf numFmtId="182" fontId="99" fillId="4" borderId="41" xfId="4511" applyNumberFormat="1" applyFont="1" applyFill="1" applyBorder="1" applyAlignment="1">
      <alignment horizontal="center" vertical="center" wrapText="1"/>
    </xf>
    <xf numFmtId="182" fontId="54" fillId="4" borderId="41" xfId="0" applyNumberFormat="1" applyFont="1" applyFill="1" applyBorder="1" applyAlignment="1">
      <alignment horizontal="center" vertical="center" wrapText="1"/>
    </xf>
    <xf numFmtId="182" fontId="99" fillId="4" borderId="34" xfId="0" applyNumberFormat="1" applyFont="1" applyFill="1" applyBorder="1" applyAlignment="1">
      <alignment horizontal="center" vertical="center" wrapText="1"/>
    </xf>
    <xf numFmtId="182" fontId="99" fillId="4" borderId="34" xfId="0" applyNumberFormat="1" applyFont="1" applyFill="1" applyBorder="1" applyAlignment="1">
      <alignment horizontal="center" vertical="center"/>
    </xf>
    <xf numFmtId="182" fontId="99" fillId="4" borderId="43" xfId="0" applyNumberFormat="1" applyFont="1" applyFill="1" applyBorder="1" applyAlignment="1">
      <alignment horizontal="center" vertical="center"/>
    </xf>
    <xf numFmtId="182" fontId="99" fillId="4" borderId="33" xfId="0" applyNumberFormat="1" applyFont="1" applyFill="1" applyBorder="1" applyAlignment="1">
      <alignment horizontal="center" vertical="center" wrapText="1"/>
    </xf>
    <xf numFmtId="182" fontId="99" fillId="4" borderId="31" xfId="0" applyNumberFormat="1" applyFont="1" applyFill="1" applyBorder="1" applyAlignment="1">
      <alignment horizontal="center" vertical="center" wrapText="1"/>
    </xf>
    <xf numFmtId="182" fontId="99" fillId="4" borderId="33" xfId="0" applyNumberFormat="1" applyFont="1" applyFill="1" applyBorder="1" applyAlignment="1">
      <alignment horizontal="center" vertical="center"/>
    </xf>
    <xf numFmtId="182" fontId="99" fillId="4" borderId="31" xfId="8913" applyNumberFormat="1" applyFont="1" applyFill="1" applyBorder="1" applyAlignment="1">
      <alignment horizontal="center" vertical="center"/>
    </xf>
    <xf numFmtId="182" fontId="97" fillId="4" borderId="0" xfId="4430" applyNumberFormat="1" applyFont="1" applyFill="1" applyAlignment="1">
      <alignment vertical="center"/>
    </xf>
    <xf numFmtId="182" fontId="97" fillId="4" borderId="0" xfId="4430" applyNumberFormat="1" applyFont="1" applyFill="1"/>
    <xf numFmtId="182" fontId="54" fillId="4" borderId="36" xfId="8909" applyNumberFormat="1" applyFont="1" applyFill="1" applyBorder="1" applyAlignment="1">
      <alignment horizontal="center" vertical="center"/>
    </xf>
    <xf numFmtId="182" fontId="99" fillId="4" borderId="0" xfId="4430" applyNumberFormat="1" applyFont="1" applyFill="1" applyAlignment="1">
      <alignment vertical="center"/>
    </xf>
    <xf numFmtId="182" fontId="99" fillId="4" borderId="36" xfId="8909" applyNumberFormat="1" applyFont="1" applyFill="1" applyBorder="1" applyAlignment="1">
      <alignment horizontal="center" vertical="center" wrapText="1"/>
    </xf>
    <xf numFmtId="182" fontId="54" fillId="4" borderId="0" xfId="0" applyNumberFormat="1" applyFont="1" applyFill="1" applyAlignment="1">
      <alignment vertical="center"/>
    </xf>
    <xf numFmtId="182" fontId="99" fillId="4" borderId="36" xfId="9207" applyNumberFormat="1" applyFont="1" applyFill="1" applyBorder="1" applyAlignment="1">
      <alignment vertical="center" wrapText="1"/>
    </xf>
    <xf numFmtId="182" fontId="99" fillId="4" borderId="36" xfId="8913" applyNumberFormat="1" applyFont="1" applyFill="1" applyBorder="1" applyAlignment="1">
      <alignment vertical="center" wrapText="1"/>
    </xf>
    <xf numFmtId="182" fontId="99" fillId="4" borderId="0" xfId="4511" applyNumberFormat="1" applyFont="1" applyFill="1" applyAlignment="1">
      <alignment vertical="center"/>
    </xf>
    <xf numFmtId="182" fontId="54" fillId="4" borderId="36" xfId="8913" applyNumberFormat="1" applyFont="1" applyFill="1" applyBorder="1" applyAlignment="1">
      <alignment vertical="center"/>
    </xf>
    <xf numFmtId="182" fontId="99" fillId="4" borderId="36" xfId="4430" applyNumberFormat="1" applyFont="1" applyFill="1" applyBorder="1" applyAlignment="1">
      <alignment vertical="center"/>
    </xf>
    <xf numFmtId="182" fontId="54" fillId="4" borderId="36" xfId="9207" applyNumberFormat="1" applyFont="1" applyFill="1" applyBorder="1" applyAlignment="1">
      <alignment horizontal="center" vertical="center" wrapText="1"/>
    </xf>
    <xf numFmtId="182" fontId="99" fillId="4" borderId="36" xfId="8909" applyNumberFormat="1" applyFont="1" applyFill="1" applyBorder="1" applyAlignment="1">
      <alignment horizontal="center" vertical="center"/>
    </xf>
    <xf numFmtId="182" fontId="54" fillId="4" borderId="0" xfId="0" applyNumberFormat="1" applyFont="1" applyFill="1">
      <alignment vertical="center"/>
    </xf>
    <xf numFmtId="182" fontId="54" fillId="4" borderId="0" xfId="0" applyNumberFormat="1" applyFont="1" applyFill="1" applyAlignment="1"/>
    <xf numFmtId="182" fontId="54" fillId="4" borderId="36" xfId="0" applyNumberFormat="1" applyFont="1" applyFill="1" applyBorder="1" applyAlignment="1"/>
    <xf numFmtId="182" fontId="54" fillId="4" borderId="36" xfId="8909" applyNumberFormat="1" applyFont="1" applyFill="1" applyBorder="1" applyAlignment="1">
      <alignment horizontal="center" vertical="center" wrapText="1"/>
    </xf>
    <xf numFmtId="182" fontId="54" fillId="4" borderId="36" xfId="4430" applyNumberFormat="1" applyFont="1" applyFill="1" applyBorder="1" applyAlignment="1">
      <alignment horizontal="center" vertical="center" wrapText="1"/>
    </xf>
    <xf numFmtId="182" fontId="99" fillId="4" borderId="0" xfId="4430" applyNumberFormat="1" applyFont="1" applyFill="1" applyBorder="1" applyAlignment="1">
      <alignment vertical="center"/>
    </xf>
    <xf numFmtId="182" fontId="99" fillId="4" borderId="0" xfId="9207" applyNumberFormat="1" applyFont="1" applyFill="1" applyBorder="1" applyAlignment="1">
      <alignment horizontal="center" vertical="center" wrapText="1"/>
    </xf>
    <xf numFmtId="182" fontId="99" fillId="4" borderId="0" xfId="4430" applyNumberFormat="1" applyFont="1" applyFill="1" applyBorder="1" applyAlignment="1">
      <alignment horizontal="center" vertical="center"/>
    </xf>
    <xf numFmtId="182" fontId="99" fillId="4" borderId="0" xfId="8909" applyNumberFormat="1" applyFont="1" applyFill="1" applyBorder="1" applyAlignment="1">
      <alignment horizontal="center" vertical="center"/>
    </xf>
    <xf numFmtId="182" fontId="99" fillId="4" borderId="0" xfId="4430" applyNumberFormat="1" applyFont="1" applyFill="1" applyAlignment="1">
      <alignment horizontal="center" vertical="center"/>
    </xf>
    <xf numFmtId="182" fontId="99" fillId="4" borderId="0" xfId="8909" applyNumberFormat="1" applyFont="1" applyFill="1" applyAlignment="1">
      <alignment horizontal="center" vertical="center"/>
    </xf>
    <xf numFmtId="182" fontId="54" fillId="4" borderId="0" xfId="8909" applyNumberFormat="1" applyFont="1" applyFill="1" applyAlignment="1">
      <alignment horizontal="center" vertical="center"/>
    </xf>
    <xf numFmtId="182" fontId="97" fillId="4" borderId="0" xfId="4430" applyNumberFormat="1" applyFont="1" applyFill="1" applyAlignment="1">
      <alignment horizontal="center" vertical="center"/>
    </xf>
    <xf numFmtId="182" fontId="5" fillId="4" borderId="0" xfId="8909" applyNumberFormat="1" applyFont="1" applyFill="1" applyAlignment="1">
      <alignment horizontal="center" vertical="center"/>
    </xf>
    <xf numFmtId="182" fontId="99" fillId="4" borderId="36" xfId="5" applyNumberFormat="1" applyFont="1" applyFill="1" applyBorder="1" applyAlignment="1">
      <alignment horizontal="center" vertical="center"/>
    </xf>
    <xf numFmtId="182" fontId="99" fillId="4" borderId="36" xfId="5" applyNumberFormat="1" applyFont="1" applyFill="1" applyBorder="1" applyAlignment="1">
      <alignment horizontal="center" vertical="center" wrapText="1"/>
    </xf>
    <xf numFmtId="182" fontId="99" fillId="4" borderId="0" xfId="0" applyNumberFormat="1" applyFont="1" applyFill="1" applyAlignment="1">
      <alignment horizontal="center" vertical="center"/>
    </xf>
    <xf numFmtId="182" fontId="99" fillId="4" borderId="36" xfId="4430" applyNumberFormat="1" applyFont="1" applyFill="1" applyBorder="1" applyAlignment="1">
      <alignment horizontal="center" vertical="center" wrapText="1"/>
    </xf>
    <xf numFmtId="182" fontId="99" fillId="4" borderId="0" xfId="4430" applyNumberFormat="1" applyFont="1" applyFill="1" applyAlignment="1">
      <alignment horizontal="center" vertical="center" wrapText="1"/>
    </xf>
    <xf numFmtId="182" fontId="54" fillId="4" borderId="36" xfId="8913" applyNumberFormat="1" applyFont="1" applyFill="1" applyBorder="1" applyAlignment="1">
      <alignment horizontal="center" vertical="center" wrapText="1"/>
    </xf>
    <xf numFmtId="182" fontId="54" fillId="4" borderId="36" xfId="4511" applyNumberFormat="1" applyFont="1" applyFill="1" applyBorder="1" applyAlignment="1">
      <alignment horizontal="center" vertical="center"/>
    </xf>
    <xf numFmtId="182" fontId="54" fillId="4" borderId="0" xfId="0" applyNumberFormat="1" applyFont="1" applyFill="1" applyBorder="1" applyAlignment="1">
      <alignment horizontal="center" vertical="center"/>
    </xf>
    <xf numFmtId="182" fontId="52" fillId="4" borderId="0" xfId="0" applyNumberFormat="1" applyFont="1" applyFill="1" applyAlignment="1">
      <alignment horizontal="center" vertical="center"/>
    </xf>
    <xf numFmtId="182" fontId="96" fillId="4" borderId="0" xfId="4430" applyNumberFormat="1" applyFont="1" applyFill="1" applyAlignment="1">
      <alignment horizontal="center" vertical="center" wrapText="1"/>
    </xf>
    <xf numFmtId="182" fontId="99" fillId="4" borderId="36" xfId="4430" applyNumberFormat="1" applyFont="1" applyFill="1" applyBorder="1" applyAlignment="1">
      <alignment horizontal="center" vertical="center"/>
    </xf>
    <xf numFmtId="182" fontId="84" fillId="4" borderId="36" xfId="8913" applyNumberFormat="1" applyFont="1" applyFill="1" applyBorder="1" applyAlignment="1">
      <alignment horizontal="center" vertical="center"/>
    </xf>
    <xf numFmtId="182" fontId="26" fillId="4" borderId="36" xfId="4430" applyNumberFormat="1" applyFont="1" applyFill="1" applyBorder="1" applyAlignment="1">
      <alignment horizontal="center" vertical="center"/>
    </xf>
    <xf numFmtId="182" fontId="99" fillId="4" borderId="0" xfId="8909" applyNumberFormat="1" applyFont="1" applyFill="1" applyAlignment="1">
      <alignment horizontal="center" vertical="center" wrapText="1"/>
    </xf>
    <xf numFmtId="182" fontId="96" fillId="4" borderId="0" xfId="8909" applyNumberFormat="1" applyFont="1" applyFill="1" applyAlignment="1">
      <alignment horizontal="center" vertical="center" wrapText="1"/>
    </xf>
    <xf numFmtId="182" fontId="20" fillId="4" borderId="0" xfId="0" applyNumberFormat="1" applyFont="1" applyFill="1" applyAlignment="1">
      <alignment horizontal="center" vertical="center" wrapText="1"/>
    </xf>
    <xf numFmtId="182" fontId="20" fillId="4" borderId="0" xfId="0" applyNumberFormat="1" applyFont="1" applyFill="1" applyAlignment="1">
      <alignment horizontal="center" vertical="center"/>
    </xf>
    <xf numFmtId="182" fontId="84" fillId="4" borderId="0" xfId="0" applyNumberFormat="1" applyFont="1" applyFill="1" applyAlignment="1">
      <alignment horizontal="center" vertical="center"/>
    </xf>
    <xf numFmtId="182" fontId="84" fillId="4" borderId="36" xfId="0" applyNumberFormat="1" applyFont="1" applyFill="1" applyBorder="1" applyAlignment="1">
      <alignment horizontal="center" vertical="center" wrapText="1"/>
    </xf>
    <xf numFmtId="182" fontId="106" fillId="4" borderId="36" xfId="0" applyNumberFormat="1" applyFont="1" applyFill="1" applyBorder="1" applyAlignment="1">
      <alignment horizontal="center" vertical="center"/>
    </xf>
    <xf numFmtId="182" fontId="84" fillId="4" borderId="36" xfId="0" applyNumberFormat="1" applyFont="1" applyFill="1" applyBorder="1" applyAlignment="1">
      <alignment horizontal="center" vertical="center"/>
    </xf>
    <xf numFmtId="182" fontId="107" fillId="4" borderId="36" xfId="0" applyNumberFormat="1" applyFont="1" applyFill="1" applyBorder="1" applyAlignment="1">
      <alignment horizontal="center" vertical="center" wrapText="1"/>
    </xf>
    <xf numFmtId="182" fontId="84" fillId="4" borderId="31" xfId="0" applyNumberFormat="1" applyFont="1" applyFill="1" applyBorder="1" applyAlignment="1">
      <alignment horizontal="center" vertical="center" wrapText="1"/>
    </xf>
    <xf numFmtId="182" fontId="54" fillId="4" borderId="5" xfId="0" applyNumberFormat="1" applyFont="1" applyFill="1" applyBorder="1" applyAlignment="1">
      <alignment horizontal="center" vertical="center" wrapText="1"/>
    </xf>
    <xf numFmtId="182" fontId="84" fillId="4" borderId="0" xfId="0" applyNumberFormat="1" applyFont="1" applyFill="1" applyAlignment="1">
      <alignment horizontal="center" vertical="center" wrapText="1"/>
    </xf>
    <xf numFmtId="182" fontId="99" fillId="4" borderId="36" xfId="4430" applyNumberFormat="1" applyFont="1" applyFill="1" applyBorder="1" applyAlignment="1">
      <alignment vertical="center" wrapText="1"/>
    </xf>
    <xf numFmtId="182" fontId="54" fillId="0" borderId="36" xfId="9207" applyNumberFormat="1" applyFont="1" applyFill="1" applyBorder="1" applyAlignment="1">
      <alignment horizontal="center" vertical="center" wrapText="1"/>
    </xf>
    <xf numFmtId="182" fontId="99" fillId="0" borderId="36" xfId="9207" applyNumberFormat="1" applyFont="1" applyFill="1" applyBorder="1" applyAlignment="1">
      <alignment horizontal="center" vertical="center" wrapText="1"/>
    </xf>
    <xf numFmtId="182" fontId="99" fillId="0" borderId="36" xfId="8909" applyNumberFormat="1" applyFont="1" applyFill="1" applyBorder="1" applyAlignment="1">
      <alignment horizontal="center" vertical="center" wrapText="1"/>
    </xf>
    <xf numFmtId="182" fontId="54" fillId="0" borderId="0" xfId="0" applyNumberFormat="1" applyFont="1" applyAlignment="1">
      <alignment vertical="center"/>
    </xf>
    <xf numFmtId="182" fontId="54" fillId="0" borderId="36" xfId="0" applyNumberFormat="1" applyFont="1" applyBorder="1" applyAlignment="1">
      <alignment horizontal="center" vertical="center"/>
    </xf>
    <xf numFmtId="182" fontId="97" fillId="4" borderId="0" xfId="4430" applyNumberFormat="1" applyFont="1" applyFill="1" applyBorder="1" applyAlignment="1">
      <alignment vertical="center"/>
    </xf>
    <xf numFmtId="182" fontId="97" fillId="4" borderId="0" xfId="4430" applyNumberFormat="1" applyFont="1" applyFill="1" applyBorder="1" applyAlignment="1">
      <alignment horizontal="center" vertical="center"/>
    </xf>
    <xf numFmtId="182" fontId="5" fillId="4" borderId="0" xfId="8909" applyNumberFormat="1" applyFont="1" applyFill="1" applyBorder="1" applyAlignment="1">
      <alignment horizontal="center" vertical="center"/>
    </xf>
    <xf numFmtId="182" fontId="99" fillId="4" borderId="36" xfId="0" applyNumberFormat="1" applyFont="1" applyFill="1" applyBorder="1" applyAlignment="1" applyProtection="1">
      <alignment horizontal="center" vertical="center"/>
    </xf>
    <xf numFmtId="182" fontId="99" fillId="4" borderId="36" xfId="0" applyNumberFormat="1" applyFont="1" applyFill="1" applyBorder="1" applyAlignment="1">
      <alignment horizontal="center"/>
    </xf>
    <xf numFmtId="182" fontId="2" fillId="0" borderId="36" xfId="9207" applyNumberFormat="1" applyFont="1" applyFill="1" applyBorder="1" applyAlignment="1">
      <alignment horizontal="center" vertical="center" wrapText="1"/>
    </xf>
    <xf numFmtId="182" fontId="2" fillId="0" borderId="36" xfId="8909" applyNumberFormat="1" applyFont="1" applyFill="1" applyBorder="1" applyAlignment="1">
      <alignment horizontal="center" vertical="center" wrapText="1"/>
    </xf>
    <xf numFmtId="182" fontId="97" fillId="4" borderId="0" xfId="4511" applyNumberFormat="1" applyFont="1" applyFill="1" applyAlignment="1">
      <alignment horizontal="center" vertical="center"/>
    </xf>
    <xf numFmtId="182" fontId="99" fillId="4" borderId="36" xfId="9208" applyNumberFormat="1" applyFont="1" applyFill="1" applyBorder="1" applyAlignment="1">
      <alignment horizontal="center" vertical="center" wrapText="1"/>
    </xf>
    <xf numFmtId="182" fontId="99" fillId="4" borderId="0" xfId="4511" applyNumberFormat="1" applyFont="1" applyFill="1" applyBorder="1" applyAlignment="1">
      <alignment horizontal="center" vertical="center"/>
    </xf>
    <xf numFmtId="182" fontId="96" fillId="4" borderId="0" xfId="4511" applyNumberFormat="1" applyFont="1" applyFill="1" applyAlignment="1">
      <alignment horizontal="center" vertical="center"/>
    </xf>
    <xf numFmtId="182" fontId="52" fillId="4" borderId="0" xfId="8913" applyNumberFormat="1" applyFont="1" applyFill="1" applyAlignment="1">
      <alignment horizontal="center" vertical="center"/>
    </xf>
    <xf numFmtId="182" fontId="100" fillId="4" borderId="0" xfId="8913" applyNumberFormat="1" applyFont="1" applyFill="1" applyAlignment="1">
      <alignment horizontal="center" vertical="center"/>
    </xf>
    <xf numFmtId="182" fontId="5" fillId="4" borderId="0" xfId="0" applyNumberFormat="1" applyFont="1" applyFill="1" applyAlignment="1">
      <alignment vertical="center" wrapText="1"/>
    </xf>
    <xf numFmtId="182" fontId="5" fillId="4" borderId="0" xfId="0" applyNumberFormat="1" applyFont="1" applyFill="1">
      <alignment vertical="center"/>
    </xf>
    <xf numFmtId="182" fontId="99" fillId="4" borderId="0" xfId="0" applyNumberFormat="1" applyFont="1" applyFill="1" applyAlignment="1"/>
    <xf numFmtId="182" fontId="99" fillId="4" borderId="36" xfId="0" applyNumberFormat="1" applyFont="1" applyFill="1" applyBorder="1" applyAlignment="1">
      <alignment vertical="center"/>
    </xf>
    <xf numFmtId="182" fontId="54" fillId="4" borderId="36" xfId="0" applyNumberFormat="1" applyFont="1" applyFill="1" applyBorder="1" applyAlignment="1">
      <alignment vertical="center" wrapText="1"/>
    </xf>
    <xf numFmtId="182" fontId="99" fillId="4" borderId="36" xfId="4511" applyNumberFormat="1" applyFont="1" applyFill="1" applyBorder="1" applyAlignment="1">
      <alignment vertical="center" wrapText="1"/>
    </xf>
    <xf numFmtId="182" fontId="54" fillId="4" borderId="0" xfId="0" applyNumberFormat="1" applyFont="1" applyFill="1" applyAlignment="1">
      <alignment vertical="center" wrapText="1"/>
    </xf>
    <xf numFmtId="182" fontId="52" fillId="4" borderId="0" xfId="0" applyNumberFormat="1" applyFont="1" applyFill="1">
      <alignment vertical="center"/>
    </xf>
    <xf numFmtId="182" fontId="52" fillId="4" borderId="0" xfId="0" applyNumberFormat="1" applyFont="1" applyFill="1" applyAlignment="1">
      <alignment vertical="center" wrapText="1"/>
    </xf>
    <xf numFmtId="182" fontId="10" fillId="4" borderId="0" xfId="0" applyNumberFormat="1" applyFont="1" applyFill="1">
      <alignment vertical="center"/>
    </xf>
    <xf numFmtId="182" fontId="5" fillId="4" borderId="36" xfId="0" applyNumberFormat="1" applyFont="1" applyFill="1" applyBorder="1" applyAlignment="1">
      <alignment horizontal="center" vertical="center"/>
    </xf>
    <xf numFmtId="182" fontId="5" fillId="3" borderId="36" xfId="0" applyNumberFormat="1" applyFont="1" applyFill="1" applyBorder="1" applyAlignment="1">
      <alignment horizontal="center" vertical="center"/>
    </xf>
    <xf numFmtId="182" fontId="5" fillId="4" borderId="36" xfId="0" applyNumberFormat="1" applyFont="1" applyFill="1" applyBorder="1" applyAlignment="1">
      <alignment horizontal="center" vertical="center" wrapText="1"/>
    </xf>
    <xf numFmtId="182" fontId="5" fillId="3" borderId="36" xfId="0" applyNumberFormat="1" applyFont="1" applyFill="1" applyBorder="1" applyAlignment="1">
      <alignment horizontal="center" vertical="center" wrapText="1"/>
    </xf>
    <xf numFmtId="182" fontId="5" fillId="3" borderId="36" xfId="0" applyNumberFormat="1" applyFont="1" applyFill="1" applyBorder="1">
      <alignment vertical="center"/>
    </xf>
    <xf numFmtId="182" fontId="0" fillId="4" borderId="0" xfId="0" applyNumberFormat="1" applyFill="1" applyAlignment="1">
      <alignment horizontal="center" vertical="center"/>
    </xf>
    <xf numFmtId="182" fontId="3" fillId="0" borderId="0" xfId="4430" applyNumberFormat="1" applyFont="1"/>
    <xf numFmtId="182" fontId="2" fillId="4" borderId="36" xfId="4430" applyNumberFormat="1" applyFont="1" applyFill="1" applyBorder="1" applyAlignment="1">
      <alignment horizontal="center" vertical="center"/>
    </xf>
    <xf numFmtId="182" fontId="2" fillId="4" borderId="36" xfId="4430" applyNumberFormat="1" applyFont="1" applyFill="1" applyBorder="1" applyAlignment="1">
      <alignment horizontal="center" vertical="center" wrapText="1"/>
    </xf>
    <xf numFmtId="182" fontId="2" fillId="0" borderId="0" xfId="4430" applyNumberFormat="1" applyFont="1" applyAlignment="1">
      <alignment vertical="center"/>
    </xf>
    <xf numFmtId="182" fontId="54" fillId="0" borderId="36" xfId="0" applyNumberFormat="1" applyFont="1" applyBorder="1" applyAlignment="1">
      <alignment horizontal="center" vertical="center" wrapText="1"/>
    </xf>
    <xf numFmtId="182" fontId="104" fillId="4" borderId="36" xfId="4430" applyNumberFormat="1" applyFont="1" applyFill="1" applyBorder="1" applyAlignment="1">
      <alignment horizontal="center" vertical="center"/>
    </xf>
    <xf numFmtId="182" fontId="2" fillId="4" borderId="36" xfId="9207" applyNumberFormat="1" applyFont="1" applyFill="1" applyBorder="1" applyAlignment="1">
      <alignment horizontal="center" vertical="center" wrapText="1"/>
    </xf>
    <xf numFmtId="182" fontId="104" fillId="4" borderId="36" xfId="0" applyNumberFormat="1" applyFont="1" applyFill="1" applyBorder="1" applyAlignment="1">
      <alignment horizontal="center" vertical="center"/>
    </xf>
    <xf numFmtId="182" fontId="102" fillId="4" borderId="36" xfId="4430" applyNumberFormat="1" applyFont="1" applyFill="1" applyBorder="1" applyAlignment="1">
      <alignment horizontal="center" vertical="center"/>
    </xf>
    <xf numFmtId="182" fontId="103" fillId="4" borderId="36" xfId="4430" applyNumberFormat="1" applyFont="1" applyFill="1" applyBorder="1" applyAlignment="1">
      <alignment horizontal="center" vertical="center"/>
    </xf>
    <xf numFmtId="182" fontId="103" fillId="0" borderId="0" xfId="4430" applyNumberFormat="1" applyFont="1" applyAlignment="1">
      <alignment vertical="center"/>
    </xf>
    <xf numFmtId="182" fontId="102" fillId="4" borderId="8" xfId="4430" applyNumberFormat="1" applyFont="1" applyFill="1" applyBorder="1" applyAlignment="1">
      <alignment vertical="center"/>
    </xf>
    <xf numFmtId="182" fontId="102" fillId="4" borderId="10" xfId="4430" applyNumberFormat="1" applyFont="1" applyFill="1" applyBorder="1" applyAlignment="1">
      <alignment vertical="center"/>
    </xf>
    <xf numFmtId="182" fontId="102" fillId="4" borderId="10" xfId="4430" applyNumberFormat="1" applyFont="1" applyFill="1" applyBorder="1" applyAlignment="1">
      <alignment horizontal="center" vertical="center"/>
    </xf>
    <xf numFmtId="182" fontId="102" fillId="4" borderId="36" xfId="9207" applyNumberFormat="1" applyFont="1" applyFill="1" applyBorder="1" applyAlignment="1">
      <alignment horizontal="center" vertical="center" wrapText="1"/>
    </xf>
    <xf numFmtId="182" fontId="35" fillId="4" borderId="36" xfId="4430" applyNumberFormat="1" applyFont="1" applyFill="1" applyBorder="1" applyAlignment="1">
      <alignment horizontal="center" vertical="center"/>
    </xf>
    <xf numFmtId="182" fontId="2" fillId="4" borderId="36" xfId="8909" applyNumberFormat="1" applyFont="1" applyFill="1" applyBorder="1" applyAlignment="1">
      <alignment horizontal="center" vertical="center" wrapText="1"/>
    </xf>
    <xf numFmtId="182" fontId="35" fillId="4" borderId="36" xfId="8909" applyNumberFormat="1" applyFont="1" applyFill="1" applyBorder="1" applyAlignment="1">
      <alignment horizontal="center" vertical="center" wrapText="1"/>
    </xf>
    <xf numFmtId="182" fontId="54" fillId="0" borderId="36" xfId="0" applyNumberFormat="1" applyFont="1" applyFill="1" applyBorder="1" applyAlignment="1">
      <alignment horizontal="center" vertical="center"/>
    </xf>
    <xf numFmtId="182" fontId="2" fillId="0" borderId="36" xfId="4430" applyNumberFormat="1" applyFont="1" applyBorder="1" applyAlignment="1">
      <alignment horizontal="center" vertical="center"/>
    </xf>
    <xf numFmtId="182" fontId="104" fillId="4" borderId="36" xfId="4430" applyNumberFormat="1" applyFont="1" applyFill="1" applyBorder="1" applyAlignment="1">
      <alignment horizontal="center" vertical="center" wrapText="1"/>
    </xf>
    <xf numFmtId="182" fontId="35" fillId="4" borderId="10" xfId="4430" applyNumberFormat="1" applyFont="1" applyFill="1" applyBorder="1" applyAlignment="1">
      <alignment horizontal="center" vertical="center"/>
    </xf>
    <xf numFmtId="182" fontId="2" fillId="0" borderId="0" xfId="4430" applyNumberFormat="1" applyFont="1"/>
    <xf numFmtId="182" fontId="2" fillId="4" borderId="36" xfId="0" applyNumberFormat="1" applyFont="1" applyFill="1" applyBorder="1" applyAlignment="1">
      <alignment horizontal="center" vertical="center"/>
    </xf>
    <xf numFmtId="182" fontId="2" fillId="0" borderId="36" xfId="9208" applyNumberFormat="1" applyFont="1" applyBorder="1" applyAlignment="1">
      <alignment horizontal="center" vertical="center" wrapText="1"/>
    </xf>
    <xf numFmtId="182" fontId="2" fillId="0" borderId="36" xfId="5" applyNumberFormat="1" applyFont="1" applyBorder="1" applyAlignment="1">
      <alignment horizontal="center" vertical="center"/>
    </xf>
    <xf numFmtId="182" fontId="35" fillId="4" borderId="10" xfId="9207" applyNumberFormat="1" applyFont="1" applyFill="1" applyBorder="1" applyAlignment="1">
      <alignment horizontal="center" vertical="center" wrapText="1"/>
    </xf>
    <xf numFmtId="182" fontId="35" fillId="4" borderId="36" xfId="9207" applyNumberFormat="1" applyFont="1" applyFill="1" applyBorder="1" applyAlignment="1">
      <alignment horizontal="center" vertical="center" wrapText="1"/>
    </xf>
    <xf numFmtId="182" fontId="35" fillId="4" borderId="36" xfId="4430" applyNumberFormat="1" applyFont="1" applyFill="1" applyBorder="1" applyAlignment="1">
      <alignment horizontal="center" vertical="center" wrapText="1"/>
    </xf>
    <xf numFmtId="182" fontId="32" fillId="4" borderId="0" xfId="4430" applyNumberFormat="1" applyFont="1" applyFill="1" applyAlignment="1">
      <alignment horizontal="center" vertical="center"/>
    </xf>
    <xf numFmtId="182" fontId="32" fillId="4" borderId="0" xfId="4430" applyNumberFormat="1" applyFont="1" applyFill="1" applyAlignment="1">
      <alignment horizontal="center" vertical="center" wrapText="1"/>
    </xf>
    <xf numFmtId="182" fontId="104" fillId="0" borderId="34" xfId="9223" applyNumberFormat="1" applyFont="1" applyFill="1" applyBorder="1" applyAlignment="1">
      <alignment horizontal="center" vertical="center" wrapText="1"/>
    </xf>
    <xf numFmtId="182" fontId="104" fillId="0" borderId="36" xfId="9223" applyNumberFormat="1" applyFont="1" applyFill="1" applyBorder="1" applyAlignment="1">
      <alignment horizontal="center" vertical="center" wrapText="1"/>
    </xf>
    <xf numFmtId="182" fontId="104" fillId="0" borderId="36" xfId="9223" applyNumberFormat="1" applyFont="1" applyFill="1" applyBorder="1" applyAlignment="1">
      <alignment horizontal="center"/>
    </xf>
    <xf numFmtId="182" fontId="104" fillId="0" borderId="36" xfId="9223" applyNumberFormat="1" applyFont="1" applyFill="1" applyBorder="1" applyAlignment="1"/>
    <xf numFmtId="182" fontId="104" fillId="0" borderId="38" xfId="9223" applyNumberFormat="1" applyFont="1" applyFill="1" applyBorder="1" applyAlignment="1"/>
    <xf numFmtId="182" fontId="104" fillId="0" borderId="33" xfId="9223" applyNumberFormat="1" applyFont="1" applyFill="1" applyBorder="1" applyAlignment="1">
      <alignment horizontal="center" vertical="center" wrapText="1" shrinkToFit="1"/>
    </xf>
    <xf numFmtId="182" fontId="104" fillId="0" borderId="36" xfId="9223" applyFont="1" applyBorder="1" applyAlignment="1">
      <alignment horizontal="right" vertical="center"/>
    </xf>
    <xf numFmtId="182" fontId="104" fillId="0" borderId="36" xfId="9223" applyNumberFormat="1" applyFont="1" applyFill="1" applyBorder="1" applyAlignment="1">
      <alignment horizontal="right"/>
    </xf>
    <xf numFmtId="182" fontId="104" fillId="0" borderId="31" xfId="9223" applyNumberFormat="1" applyFont="1" applyFill="1" applyBorder="1" applyAlignment="1">
      <alignment horizontal="center"/>
    </xf>
    <xf numFmtId="182" fontId="104" fillId="0" borderId="31" xfId="9223" applyNumberFormat="1" applyFont="1" applyFill="1" applyBorder="1" applyAlignment="1"/>
    <xf numFmtId="182" fontId="104" fillId="0" borderId="36" xfId="9223" applyNumberFormat="1" applyFont="1" applyFill="1" applyBorder="1" applyAlignment="1">
      <alignment horizontal="center" vertical="center" wrapText="1" shrinkToFit="1"/>
    </xf>
    <xf numFmtId="182" fontId="104" fillId="0" borderId="31" xfId="9223" applyNumberFormat="1" applyFont="1" applyFill="1" applyBorder="1" applyAlignment="1">
      <alignment horizontal="center" vertical="center" wrapText="1" shrinkToFit="1"/>
    </xf>
    <xf numFmtId="182" fontId="104" fillId="0" borderId="0" xfId="9223" applyNumberFormat="1" applyFont="1" applyFill="1" applyBorder="1" applyAlignment="1"/>
    <xf numFmtId="182" fontId="104" fillId="6" borderId="1" xfId="20" applyNumberFormat="1" applyFont="1" applyFill="1" applyBorder="1" applyAlignment="1">
      <alignment vertical="center"/>
    </xf>
    <xf numFmtId="182" fontId="104" fillId="6" borderId="1" xfId="20" applyNumberFormat="1" applyFont="1" applyFill="1" applyBorder="1" applyAlignment="1">
      <alignment vertical="center" wrapText="1"/>
    </xf>
    <xf numFmtId="182" fontId="104" fillId="6" borderId="1" xfId="20" applyNumberFormat="1" applyFont="1" applyFill="1" applyBorder="1" applyAlignment="1">
      <alignment horizontal="center" vertical="center"/>
    </xf>
    <xf numFmtId="182" fontId="104" fillId="6" borderId="1" xfId="20" applyNumberFormat="1" applyFont="1" applyFill="1" applyBorder="1" applyAlignment="1">
      <alignment horizontal="right" vertical="center"/>
    </xf>
    <xf numFmtId="182" fontId="54" fillId="3" borderId="1" xfId="20" applyNumberFormat="1" applyFont="1" applyFill="1" applyBorder="1">
      <alignment vertical="center"/>
    </xf>
    <xf numFmtId="182" fontId="104" fillId="3" borderId="1" xfId="20" applyNumberFormat="1" applyFont="1" applyFill="1" applyBorder="1" applyAlignment="1">
      <alignment horizontal="center" vertical="center"/>
    </xf>
    <xf numFmtId="182" fontId="104" fillId="0" borderId="1" xfId="20" applyNumberFormat="1" applyFont="1" applyFill="1" applyBorder="1" applyAlignment="1">
      <alignment vertical="center"/>
    </xf>
    <xf numFmtId="182" fontId="104" fillId="0" borderId="1" xfId="20" applyNumberFormat="1" applyFont="1" applyFill="1" applyBorder="1" applyAlignment="1">
      <alignment vertical="center" wrapText="1"/>
    </xf>
    <xf numFmtId="182" fontId="104" fillId="0" borderId="1" xfId="20" applyNumberFormat="1" applyFont="1" applyFill="1" applyBorder="1" applyAlignment="1">
      <alignment horizontal="center" vertical="center"/>
    </xf>
    <xf numFmtId="182" fontId="104" fillId="0" borderId="1" xfId="20" applyNumberFormat="1" applyFont="1" applyFill="1" applyBorder="1" applyAlignment="1">
      <alignment horizontal="right" vertical="center"/>
    </xf>
    <xf numFmtId="182" fontId="104" fillId="0" borderId="1" xfId="20" applyNumberFormat="1" applyFont="1" applyFill="1" applyBorder="1" applyAlignment="1" applyProtection="1">
      <alignment vertical="center" wrapText="1"/>
    </xf>
    <xf numFmtId="182" fontId="104" fillId="0" borderId="1" xfId="20" applyNumberFormat="1" applyFont="1" applyFill="1" applyBorder="1" applyAlignment="1" applyProtection="1">
      <alignment vertical="center"/>
    </xf>
    <xf numFmtId="182" fontId="104" fillId="0" borderId="1" xfId="20" applyNumberFormat="1" applyFont="1" applyFill="1" applyBorder="1" applyAlignment="1" applyProtection="1">
      <alignment horizontal="center" vertical="center"/>
    </xf>
    <xf numFmtId="182" fontId="104" fillId="0" borderId="1" xfId="20" applyNumberFormat="1" applyFont="1" applyFill="1" applyBorder="1" applyAlignment="1" applyProtection="1">
      <alignment horizontal="right" vertical="center"/>
    </xf>
    <xf numFmtId="182" fontId="104" fillId="6" borderId="1" xfId="20" applyNumberFormat="1" applyFont="1" applyFill="1" applyBorder="1" applyAlignment="1" applyProtection="1">
      <alignment horizontal="center" vertical="center"/>
    </xf>
    <xf numFmtId="182" fontId="104" fillId="6" borderId="1" xfId="20" applyNumberFormat="1" applyFont="1" applyFill="1" applyBorder="1" applyAlignment="1" applyProtection="1">
      <alignment horizontal="right" vertical="center"/>
    </xf>
    <xf numFmtId="182" fontId="104" fillId="4" borderId="1" xfId="20" applyNumberFormat="1" applyFont="1" applyFill="1" applyBorder="1" applyAlignment="1">
      <alignment vertical="center" wrapText="1"/>
    </xf>
    <xf numFmtId="182" fontId="104" fillId="4" borderId="1" xfId="20" applyNumberFormat="1" applyFont="1" applyFill="1" applyBorder="1" applyAlignment="1">
      <alignment horizontal="center" vertical="center"/>
    </xf>
    <xf numFmtId="182" fontId="104" fillId="4" borderId="1" xfId="20" applyNumberFormat="1" applyFont="1" applyFill="1" applyBorder="1" applyAlignment="1">
      <alignment horizontal="right" vertical="center"/>
    </xf>
    <xf numFmtId="182" fontId="104" fillId="4" borderId="1" xfId="20" applyNumberFormat="1" applyFont="1" applyFill="1" applyBorder="1" applyAlignment="1" applyProtection="1">
      <alignment vertical="center"/>
    </xf>
    <xf numFmtId="182" fontId="54" fillId="4" borderId="1" xfId="20" applyNumberFormat="1" applyFont="1" applyFill="1" applyBorder="1" applyAlignment="1">
      <alignment horizontal="center" vertical="center"/>
    </xf>
    <xf numFmtId="182" fontId="104" fillId="4" borderId="1" xfId="20" applyNumberFormat="1" applyFont="1" applyFill="1" applyBorder="1" applyAlignment="1" applyProtection="1">
      <alignment vertical="center" wrapText="1"/>
    </xf>
    <xf numFmtId="182" fontId="104" fillId="4" borderId="1" xfId="20" applyNumberFormat="1" applyFont="1" applyFill="1" applyBorder="1" applyAlignment="1" applyProtection="1">
      <alignment horizontal="center" vertical="center"/>
    </xf>
    <xf numFmtId="182" fontId="104" fillId="4" borderId="1" xfId="20" applyNumberFormat="1" applyFont="1" applyFill="1" applyBorder="1" applyAlignment="1" applyProtection="1">
      <alignment horizontal="right" vertical="center"/>
    </xf>
    <xf numFmtId="182" fontId="104" fillId="6" borderId="1" xfId="20" applyNumberFormat="1" applyFont="1" applyFill="1" applyBorder="1" applyAlignment="1" applyProtection="1">
      <alignment vertical="center"/>
    </xf>
    <xf numFmtId="182" fontId="54" fillId="0" borderId="1" xfId="20" applyNumberFormat="1" applyFont="1" applyFill="1" applyBorder="1" applyAlignment="1">
      <alignment horizontal="right" vertical="center"/>
    </xf>
    <xf numFmtId="182" fontId="104" fillId="0" borderId="36" xfId="9223" applyNumberFormat="1" applyFont="1" applyFill="1" applyBorder="1" applyAlignment="1">
      <alignment horizontal="left" vertical="top" wrapText="1"/>
    </xf>
    <xf numFmtId="182" fontId="104" fillId="0" borderId="31" xfId="9229" applyFont="1" applyFill="1" applyBorder="1" applyAlignment="1">
      <alignment vertical="center" wrapText="1"/>
    </xf>
    <xf numFmtId="182" fontId="104" fillId="6" borderId="36" xfId="9203" applyNumberFormat="1" applyFont="1" applyFill="1" applyBorder="1" applyAlignment="1">
      <alignment horizontal="center" vertical="center"/>
    </xf>
    <xf numFmtId="182" fontId="104" fillId="6" borderId="36" xfId="9203" applyNumberFormat="1" applyFont="1" applyFill="1" applyBorder="1" applyAlignment="1">
      <alignment horizontal="left" vertical="center" wrapText="1"/>
    </xf>
    <xf numFmtId="182" fontId="104" fillId="6" borderId="36" xfId="9203" applyNumberFormat="1" applyFont="1" applyFill="1" applyBorder="1" applyAlignment="1">
      <alignment horizontal="left" wrapText="1"/>
    </xf>
    <xf numFmtId="182" fontId="104" fillId="6" borderId="36" xfId="16" applyNumberFormat="1" applyFont="1" applyFill="1" applyBorder="1" applyAlignment="1">
      <alignment horizontal="center" vertical="center"/>
    </xf>
    <xf numFmtId="182" fontId="104" fillId="6" borderId="36" xfId="9203" applyNumberFormat="1" applyFont="1" applyFill="1" applyBorder="1" applyAlignment="1">
      <alignment horizontal="right" vertical="center"/>
    </xf>
    <xf numFmtId="182" fontId="104" fillId="0" borderId="36" xfId="9203" applyNumberFormat="1" applyFont="1" applyFill="1" applyBorder="1" applyAlignment="1">
      <alignment horizontal="left" vertical="center" wrapText="1"/>
    </xf>
    <xf numFmtId="182" fontId="104" fillId="0" borderId="36" xfId="9203" applyNumberFormat="1" applyFont="1" applyFill="1" applyBorder="1" applyAlignment="1">
      <alignment horizontal="left" wrapText="1"/>
    </xf>
    <xf numFmtId="182" fontId="104" fillId="4" borderId="36" xfId="16" applyNumberFormat="1" applyFont="1" applyFill="1" applyBorder="1" applyAlignment="1">
      <alignment horizontal="center" vertical="center"/>
    </xf>
    <xf numFmtId="182" fontId="104" fillId="4" borderId="36" xfId="9203" applyNumberFormat="1" applyFont="1" applyFill="1" applyBorder="1" applyAlignment="1">
      <alignment horizontal="right" vertical="center"/>
    </xf>
    <xf numFmtId="182" fontId="104" fillId="3" borderId="36" xfId="9203" applyNumberFormat="1" applyFont="1" applyFill="1" applyBorder="1" applyAlignment="1">
      <alignment horizontal="center" vertical="center"/>
    </xf>
    <xf numFmtId="182" fontId="104" fillId="3" borderId="36" xfId="9203" applyNumberFormat="1" applyFont="1" applyFill="1" applyBorder="1" applyAlignment="1">
      <alignment horizontal="center" vertical="center" wrapText="1"/>
    </xf>
    <xf numFmtId="182" fontId="104" fillId="3" borderId="36" xfId="9203" applyNumberFormat="1" applyFont="1" applyFill="1" applyBorder="1" applyAlignment="1">
      <alignment horizontal="left" vertical="center" wrapText="1"/>
    </xf>
    <xf numFmtId="182" fontId="104" fillId="3" borderId="36" xfId="9203" applyNumberFormat="1" applyFont="1" applyFill="1" applyBorder="1" applyAlignment="1">
      <alignment horizontal="left" wrapText="1"/>
    </xf>
    <xf numFmtId="182" fontId="104" fillId="3" borderId="36" xfId="16" applyNumberFormat="1" applyFont="1" applyFill="1" applyBorder="1" applyAlignment="1">
      <alignment horizontal="center" vertical="center"/>
    </xf>
    <xf numFmtId="182" fontId="104" fillId="3" borderId="36" xfId="9203" applyNumberFormat="1" applyFont="1" applyFill="1" applyBorder="1" applyAlignment="1">
      <alignment horizontal="right" vertical="center"/>
    </xf>
    <xf numFmtId="182" fontId="104" fillId="4" borderId="36" xfId="9203" applyNumberFormat="1" applyFont="1" applyFill="1" applyBorder="1" applyAlignment="1">
      <alignment horizontal="center" vertical="center"/>
    </xf>
    <xf numFmtId="182" fontId="104" fillId="4" borderId="34" xfId="9203" applyNumberFormat="1" applyFont="1" applyFill="1" applyBorder="1" applyAlignment="1">
      <alignment horizontal="right" vertical="center"/>
    </xf>
    <xf numFmtId="182" fontId="104" fillId="0" borderId="36" xfId="9203" applyNumberFormat="1" applyFont="1" applyFill="1" applyBorder="1" applyAlignment="1">
      <alignment horizontal="center" vertical="center"/>
    </xf>
    <xf numFmtId="182" fontId="104" fillId="0" borderId="36" xfId="9203" applyNumberFormat="1" applyFont="1" applyFill="1" applyBorder="1" applyAlignment="1">
      <alignment horizontal="right" vertical="center"/>
    </xf>
    <xf numFmtId="182" fontId="104" fillId="3" borderId="36" xfId="9203" applyNumberFormat="1" applyFont="1" applyFill="1" applyBorder="1" applyAlignment="1">
      <alignment horizontal="left" vertical="center"/>
    </xf>
    <xf numFmtId="182" fontId="104" fillId="0" borderId="36" xfId="9203" applyNumberFormat="1" applyFont="1" applyFill="1" applyBorder="1" applyAlignment="1">
      <alignment horizontal="left" vertical="center"/>
    </xf>
    <xf numFmtId="182" fontId="104" fillId="6" borderId="36" xfId="9203" applyNumberFormat="1" applyFont="1" applyFill="1" applyBorder="1" applyAlignment="1">
      <alignment horizontal="right"/>
    </xf>
    <xf numFmtId="182" fontId="104" fillId="4" borderId="36" xfId="9203" applyNumberFormat="1" applyFont="1" applyFill="1" applyBorder="1" applyAlignment="1">
      <alignment horizontal="left" vertical="center" wrapText="1"/>
    </xf>
    <xf numFmtId="182" fontId="104" fillId="4" borderId="36" xfId="9203" applyNumberFormat="1" applyFont="1" applyFill="1" applyBorder="1" applyAlignment="1">
      <alignment horizontal="right"/>
    </xf>
    <xf numFmtId="182" fontId="104" fillId="4" borderId="36" xfId="9203" applyNumberFormat="1" applyFont="1" applyFill="1" applyBorder="1" applyAlignment="1">
      <alignment horizontal="left" vertical="center"/>
    </xf>
    <xf numFmtId="182" fontId="104" fillId="6" borderId="36" xfId="9203" applyNumberFormat="1" applyFont="1" applyFill="1" applyBorder="1" applyAlignment="1">
      <alignment horizontal="left" vertical="center"/>
    </xf>
    <xf numFmtId="182" fontId="54" fillId="0" borderId="0" xfId="0" applyNumberFormat="1" applyFont="1" applyAlignment="1">
      <alignment horizontal="center" vertical="center"/>
    </xf>
    <xf numFmtId="182" fontId="99" fillId="4" borderId="36" xfId="4511" applyNumberFormat="1" applyFont="1" applyFill="1" applyBorder="1" applyAlignment="1">
      <alignment horizontal="center" vertical="center"/>
    </xf>
    <xf numFmtId="0" fontId="0" fillId="0" borderId="1" xfId="0" applyNumberFormat="1" applyBorder="1" applyAlignment="1">
      <alignment horizontal="center" vertical="center"/>
    </xf>
    <xf numFmtId="0" fontId="84" fillId="0" borderId="0" xfId="0" applyNumberFormat="1" applyFont="1">
      <alignment vertical="center"/>
    </xf>
    <xf numFmtId="0" fontId="113" fillId="3" borderId="1" xfId="0" applyNumberFormat="1" applyFont="1" applyFill="1" applyBorder="1" applyAlignment="1">
      <alignment horizontal="center" vertical="center" wrapText="1"/>
    </xf>
    <xf numFmtId="0" fontId="114" fillId="3" borderId="1" xfId="0" applyNumberFormat="1" applyFont="1" applyFill="1" applyBorder="1" applyAlignment="1" applyProtection="1">
      <alignment horizontal="center" vertical="center" wrapText="1"/>
    </xf>
    <xf numFmtId="0" fontId="17" fillId="3" borderId="1" xfId="0" applyNumberFormat="1" applyFont="1" applyFill="1" applyBorder="1" applyAlignment="1" applyProtection="1">
      <alignment horizontal="center" vertical="center" wrapText="1"/>
    </xf>
    <xf numFmtId="0" fontId="2" fillId="4" borderId="1" xfId="0" applyNumberFormat="1" applyFont="1" applyFill="1" applyBorder="1" applyAlignment="1">
      <alignment horizontal="center" vertical="center" wrapText="1"/>
    </xf>
    <xf numFmtId="0" fontId="2" fillId="4" borderId="1" xfId="4684" applyNumberFormat="1" applyFont="1" applyFill="1" applyBorder="1" applyAlignment="1">
      <alignment horizontal="center" vertical="center" wrapText="1"/>
    </xf>
    <xf numFmtId="0" fontId="2" fillId="4" borderId="1" xfId="0" applyNumberFormat="1" applyFont="1" applyFill="1" applyBorder="1" applyAlignment="1">
      <alignment vertical="center" wrapText="1"/>
    </xf>
    <xf numFmtId="0" fontId="54" fillId="0" borderId="1" xfId="0" applyNumberFormat="1" applyFont="1" applyBorder="1" applyAlignment="1">
      <alignment vertical="center"/>
    </xf>
    <xf numFmtId="0" fontId="99" fillId="4" borderId="1" xfId="4430" applyNumberFormat="1" applyFont="1" applyFill="1" applyBorder="1" applyAlignment="1">
      <alignment horizontal="center" vertical="center" wrapText="1"/>
    </xf>
    <xf numFmtId="0" fontId="99" fillId="4" borderId="1" xfId="4430" applyNumberFormat="1" applyFont="1" applyFill="1" applyBorder="1" applyAlignment="1">
      <alignment vertical="center"/>
    </xf>
    <xf numFmtId="0" fontId="35" fillId="4" borderId="1" xfId="0" applyNumberFormat="1" applyFont="1" applyFill="1" applyBorder="1" applyAlignment="1">
      <alignment horizontal="center" vertical="center" wrapText="1"/>
    </xf>
    <xf numFmtId="0" fontId="103" fillId="4" borderId="1" xfId="0" applyNumberFormat="1" applyFont="1" applyFill="1" applyBorder="1" applyAlignment="1">
      <alignment horizontal="center" vertical="center" wrapText="1"/>
    </xf>
    <xf numFmtId="0" fontId="35" fillId="4" borderId="1" xfId="0" applyNumberFormat="1" applyFont="1" applyFill="1" applyBorder="1" applyAlignment="1">
      <alignment vertical="center" wrapText="1"/>
    </xf>
    <xf numFmtId="0" fontId="103" fillId="0" borderId="1" xfId="0" applyNumberFormat="1" applyFont="1" applyBorder="1" applyAlignment="1">
      <alignment vertical="center"/>
    </xf>
    <xf numFmtId="0" fontId="103" fillId="0" borderId="0" xfId="0" applyNumberFormat="1" applyFont="1">
      <alignment vertical="center"/>
    </xf>
    <xf numFmtId="0" fontId="2" fillId="4" borderId="1" xfId="4430" applyNumberFormat="1" applyFont="1" applyFill="1" applyBorder="1" applyAlignment="1">
      <alignment horizontal="center" vertical="center" wrapText="1"/>
    </xf>
    <xf numFmtId="0" fontId="99" fillId="4" borderId="1" xfId="4430" applyNumberFormat="1" applyFont="1" applyFill="1" applyBorder="1" applyAlignment="1">
      <alignment horizontal="center" vertical="center"/>
    </xf>
    <xf numFmtId="0" fontId="102" fillId="4" borderId="1" xfId="4430" applyNumberFormat="1" applyFont="1" applyFill="1" applyBorder="1" applyAlignment="1">
      <alignment vertical="center"/>
    </xf>
    <xf numFmtId="0" fontId="102" fillId="4" borderId="1" xfId="4430" applyNumberFormat="1" applyFont="1" applyFill="1" applyBorder="1" applyAlignment="1">
      <alignment vertical="center" wrapText="1"/>
    </xf>
    <xf numFmtId="0" fontId="102" fillId="0" borderId="1" xfId="4430" applyNumberFormat="1" applyFont="1" applyBorder="1" applyAlignment="1">
      <alignment horizontal="center" vertical="center"/>
    </xf>
    <xf numFmtId="0" fontId="102" fillId="4" borderId="1" xfId="4430" applyNumberFormat="1" applyFont="1" applyFill="1" applyBorder="1" applyAlignment="1">
      <alignment horizontal="center" vertical="center"/>
    </xf>
    <xf numFmtId="0" fontId="35" fillId="3" borderId="1" xfId="0" applyNumberFormat="1" applyFont="1" applyFill="1" applyBorder="1" applyAlignment="1">
      <alignment horizontal="center" vertical="center" wrapText="1"/>
    </xf>
    <xf numFmtId="0" fontId="103" fillId="3" borderId="1" xfId="0" applyNumberFormat="1" applyFont="1" applyFill="1" applyBorder="1" applyAlignment="1">
      <alignment horizontal="center" vertical="center" wrapText="1"/>
    </xf>
    <xf numFmtId="0" fontId="102" fillId="3" borderId="1" xfId="4430" applyNumberFormat="1" applyFont="1" applyFill="1" applyBorder="1" applyAlignment="1">
      <alignment horizontal="center" vertical="center"/>
    </xf>
    <xf numFmtId="0" fontId="102" fillId="3" borderId="1" xfId="4430" applyNumberFormat="1" applyFont="1" applyFill="1" applyBorder="1" applyAlignment="1">
      <alignment horizontal="center" vertical="center" wrapText="1"/>
    </xf>
    <xf numFmtId="0" fontId="103" fillId="3" borderId="1" xfId="0" applyNumberFormat="1" applyFont="1" applyFill="1" applyBorder="1" applyAlignment="1">
      <alignment horizontal="center" vertical="center"/>
    </xf>
    <xf numFmtId="0" fontId="103" fillId="3" borderId="1" xfId="0" applyNumberFormat="1" applyFont="1" applyFill="1" applyBorder="1">
      <alignment vertical="center"/>
    </xf>
    <xf numFmtId="0" fontId="35" fillId="4" borderId="1" xfId="4684" applyNumberFormat="1" applyFont="1" applyFill="1" applyBorder="1" applyAlignment="1">
      <alignment horizontal="center" vertical="center" wrapText="1"/>
    </xf>
    <xf numFmtId="0" fontId="35" fillId="3" borderId="1" xfId="4684" applyNumberFormat="1" applyFont="1" applyFill="1" applyBorder="1" applyAlignment="1">
      <alignment horizontal="center" vertical="center" wrapText="1"/>
    </xf>
    <xf numFmtId="0" fontId="35" fillId="4" borderId="1" xfId="4430" applyNumberFormat="1" applyFont="1" applyFill="1" applyBorder="1" applyAlignment="1">
      <alignment horizontal="center" vertical="center" wrapText="1"/>
    </xf>
    <xf numFmtId="0" fontId="2" fillId="4" borderId="1" xfId="0" applyNumberFormat="1" applyFont="1" applyFill="1" applyBorder="1" applyAlignment="1">
      <alignment horizontal="left" vertical="center" wrapText="1"/>
    </xf>
    <xf numFmtId="0" fontId="54" fillId="0" borderId="1" xfId="0" applyNumberFormat="1" applyFont="1" applyBorder="1" applyAlignment="1">
      <alignment horizontal="left" vertical="center"/>
    </xf>
    <xf numFmtId="0" fontId="99" fillId="4" borderId="1" xfId="4430" applyNumberFormat="1" applyFont="1" applyFill="1" applyBorder="1" applyAlignment="1">
      <alignment horizontal="left" vertical="center"/>
    </xf>
    <xf numFmtId="0" fontId="103" fillId="0" borderId="1" xfId="0" applyNumberFormat="1" applyFont="1" applyBorder="1" applyAlignment="1">
      <alignment horizontal="left" vertical="center"/>
    </xf>
    <xf numFmtId="0" fontId="35" fillId="4" borderId="1" xfId="0" applyNumberFormat="1" applyFont="1" applyFill="1" applyBorder="1" applyAlignment="1">
      <alignment horizontal="left" vertical="center" wrapText="1"/>
    </xf>
    <xf numFmtId="0" fontId="84" fillId="0" borderId="1" xfId="0" applyNumberFormat="1" applyFont="1" applyBorder="1">
      <alignment vertical="center"/>
    </xf>
    <xf numFmtId="0" fontId="84" fillId="0" borderId="1" xfId="0" applyNumberFormat="1" applyFont="1" applyBorder="1" applyAlignment="1">
      <alignment horizontal="center" vertical="center"/>
    </xf>
    <xf numFmtId="0" fontId="103" fillId="0" borderId="1" xfId="0" applyNumberFormat="1" applyFont="1" applyBorder="1">
      <alignment vertical="center"/>
    </xf>
    <xf numFmtId="0" fontId="103" fillId="0" borderId="1" xfId="0" applyNumberFormat="1" applyFont="1" applyBorder="1" applyAlignment="1">
      <alignment horizontal="center" vertical="center"/>
    </xf>
    <xf numFmtId="0" fontId="103" fillId="4" borderId="1" xfId="0" applyNumberFormat="1" applyFont="1" applyFill="1" applyBorder="1" applyAlignment="1">
      <alignment horizontal="center" vertical="center"/>
    </xf>
    <xf numFmtId="0" fontId="84" fillId="4" borderId="0" xfId="0" applyNumberFormat="1" applyFont="1" applyFill="1">
      <alignment vertical="center"/>
    </xf>
    <xf numFmtId="0" fontId="82" fillId="0" borderId="0" xfId="0" applyNumberFormat="1" applyFont="1" applyFill="1">
      <alignment vertical="center"/>
    </xf>
    <xf numFmtId="0" fontId="128" fillId="0" borderId="1" xfId="4430" applyNumberFormat="1" applyFont="1" applyFill="1" applyBorder="1" applyAlignment="1">
      <alignment horizontal="center" vertical="center" shrinkToFit="1"/>
    </xf>
    <xf numFmtId="0" fontId="128" fillId="0" borderId="1" xfId="4430" applyNumberFormat="1" applyFont="1" applyFill="1" applyBorder="1" applyAlignment="1">
      <alignment horizontal="center" vertical="center" wrapText="1"/>
    </xf>
    <xf numFmtId="0" fontId="128" fillId="0" borderId="1" xfId="4430" applyNumberFormat="1" applyFont="1" applyFill="1" applyBorder="1" applyAlignment="1">
      <alignment horizontal="center" vertical="center" wrapText="1" shrinkToFit="1"/>
    </xf>
    <xf numFmtId="0" fontId="128" fillId="0" borderId="1" xfId="0" applyNumberFormat="1" applyFont="1" applyFill="1" applyBorder="1" applyAlignment="1">
      <alignment horizontal="center" vertical="center" wrapText="1"/>
    </xf>
    <xf numFmtId="0" fontId="128" fillId="0" borderId="36" xfId="0" applyNumberFormat="1" applyFont="1" applyFill="1" applyBorder="1" applyAlignment="1">
      <alignment horizontal="center" vertical="center" wrapText="1"/>
    </xf>
    <xf numFmtId="0" fontId="82" fillId="4" borderId="1" xfId="4430" applyNumberFormat="1" applyFont="1" applyFill="1" applyBorder="1" applyAlignment="1">
      <alignment horizontal="center" vertical="center" wrapText="1"/>
    </xf>
    <xf numFmtId="0" fontId="82" fillId="4" borderId="1" xfId="4430" applyNumberFormat="1" applyFont="1" applyFill="1" applyBorder="1" applyAlignment="1">
      <alignment horizontal="left" vertical="center" wrapText="1"/>
    </xf>
    <xf numFmtId="0" fontId="82" fillId="4" borderId="1" xfId="4430" applyNumberFormat="1" applyFont="1" applyFill="1" applyBorder="1" applyAlignment="1">
      <alignment horizontal="left" vertical="center"/>
    </xf>
    <xf numFmtId="0" fontId="82" fillId="4" borderId="1" xfId="4430" applyNumberFormat="1" applyFont="1" applyFill="1" applyBorder="1" applyAlignment="1">
      <alignment horizontal="right" vertical="center" wrapText="1"/>
    </xf>
    <xf numFmtId="0" fontId="82" fillId="4" borderId="1" xfId="4400" applyNumberFormat="1" applyFont="1" applyFill="1" applyBorder="1" applyAlignment="1">
      <alignment vertical="center"/>
    </xf>
    <xf numFmtId="0" fontId="82" fillId="4" borderId="1" xfId="0" applyNumberFormat="1" applyFont="1" applyFill="1" applyBorder="1" applyAlignment="1">
      <alignment horizontal="left" vertical="center" wrapText="1"/>
    </xf>
    <xf numFmtId="0" fontId="128" fillId="4" borderId="0" xfId="4400" applyNumberFormat="1" applyFont="1" applyFill="1" applyAlignment="1">
      <alignment vertical="center"/>
    </xf>
    <xf numFmtId="0" fontId="82" fillId="0" borderId="1" xfId="4430" applyNumberFormat="1" applyFont="1" applyFill="1" applyBorder="1" applyAlignment="1">
      <alignment horizontal="center" vertical="center" wrapText="1"/>
    </xf>
    <xf numFmtId="0" fontId="82" fillId="0" borderId="1" xfId="0" applyNumberFormat="1" applyFont="1" applyFill="1" applyBorder="1">
      <alignment vertical="center"/>
    </xf>
    <xf numFmtId="0" fontId="82" fillId="0" borderId="1" xfId="4430" applyNumberFormat="1" applyFont="1" applyFill="1" applyBorder="1" applyAlignment="1">
      <alignment horizontal="left" vertical="center" wrapText="1"/>
    </xf>
    <xf numFmtId="0" fontId="82" fillId="0" borderId="1" xfId="4430" applyNumberFormat="1" applyFont="1" applyFill="1" applyBorder="1" applyAlignment="1">
      <alignment horizontal="right" vertical="center" wrapText="1"/>
    </xf>
    <xf numFmtId="0" fontId="128" fillId="0" borderId="1" xfId="4430" applyNumberFormat="1" applyFont="1" applyFill="1" applyBorder="1" applyAlignment="1">
      <alignment horizontal="right" vertical="center" wrapText="1"/>
    </xf>
    <xf numFmtId="0" fontId="128" fillId="0" borderId="1" xfId="4430" applyNumberFormat="1" applyFont="1" applyFill="1" applyBorder="1" applyAlignment="1">
      <alignment horizontal="left" vertical="center" wrapText="1"/>
    </xf>
    <xf numFmtId="0" fontId="82" fillId="0" borderId="1" xfId="4430" applyNumberFormat="1" applyFont="1" applyFill="1" applyBorder="1" applyAlignment="1">
      <alignment horizontal="center" vertical="center"/>
    </xf>
    <xf numFmtId="0" fontId="82" fillId="0" borderId="1" xfId="4430" applyNumberFormat="1" applyFont="1" applyFill="1" applyBorder="1" applyAlignment="1">
      <alignment horizontal="left" vertical="center"/>
    </xf>
    <xf numFmtId="0" fontId="82" fillId="0" borderId="1" xfId="4430" applyNumberFormat="1" applyFont="1" applyFill="1" applyBorder="1" applyAlignment="1">
      <alignment horizontal="right" vertical="center"/>
    </xf>
    <xf numFmtId="0" fontId="128" fillId="0" borderId="1" xfId="4430" applyNumberFormat="1" applyFont="1" applyFill="1" applyBorder="1" applyAlignment="1">
      <alignment horizontal="center" vertical="center"/>
    </xf>
    <xf numFmtId="0" fontId="128" fillId="0" borderId="1" xfId="4430" applyNumberFormat="1" applyFont="1" applyFill="1" applyBorder="1" applyAlignment="1">
      <alignment horizontal="left" vertical="center"/>
    </xf>
    <xf numFmtId="0" fontId="128" fillId="0" borderId="1" xfId="4430" applyNumberFormat="1" applyFont="1" applyFill="1" applyBorder="1" applyAlignment="1">
      <alignment horizontal="right" vertical="center"/>
    </xf>
    <xf numFmtId="0" fontId="82" fillId="0" borderId="1" xfId="0" applyNumberFormat="1" applyFont="1" applyFill="1" applyBorder="1" applyAlignment="1">
      <alignment horizontal="left" vertical="center"/>
    </xf>
    <xf numFmtId="0" fontId="82" fillId="0" borderId="1" xfId="4430" applyNumberFormat="1" applyFont="1" applyFill="1" applyBorder="1" applyAlignment="1">
      <alignment horizontal="left"/>
    </xf>
    <xf numFmtId="0" fontId="82" fillId="0" borderId="1" xfId="0" applyNumberFormat="1" applyFont="1" applyFill="1" applyBorder="1" applyAlignment="1">
      <alignment horizontal="right" vertical="center"/>
    </xf>
    <xf numFmtId="0" fontId="82" fillId="0" borderId="1" xfId="0" applyNumberFormat="1" applyFont="1" applyFill="1" applyBorder="1" applyAlignment="1">
      <alignment horizontal="center" vertical="center"/>
    </xf>
    <xf numFmtId="0" fontId="82" fillId="0" borderId="1" xfId="0" applyNumberFormat="1" applyFont="1" applyFill="1" applyBorder="1" applyAlignment="1">
      <alignment horizontal="left" vertical="center" wrapText="1"/>
    </xf>
    <xf numFmtId="0" fontId="116" fillId="0" borderId="0" xfId="0" applyNumberFormat="1" applyFont="1" applyFill="1" applyAlignment="1">
      <alignment horizontal="right" vertical="center"/>
    </xf>
    <xf numFmtId="0" fontId="116" fillId="0" borderId="0" xfId="0" applyNumberFormat="1" applyFont="1" applyFill="1">
      <alignment vertical="center"/>
    </xf>
    <xf numFmtId="0" fontId="116" fillId="0" borderId="0" xfId="0" applyNumberFormat="1" applyFont="1" applyFill="1" applyAlignment="1">
      <alignment vertical="center" wrapText="1"/>
    </xf>
    <xf numFmtId="0" fontId="117" fillId="0" borderId="36" xfId="4687" applyNumberFormat="1" applyFont="1" applyFill="1" applyBorder="1" applyAlignment="1">
      <alignment horizontal="center" vertical="center" wrapText="1"/>
    </xf>
    <xf numFmtId="0" fontId="117" fillId="0" borderId="36" xfId="9238" applyNumberFormat="1" applyFont="1" applyFill="1" applyBorder="1" applyAlignment="1">
      <alignment horizontal="center" vertical="center"/>
    </xf>
    <xf numFmtId="0" fontId="118" fillId="0" borderId="36" xfId="9238" applyNumberFormat="1" applyFont="1" applyFill="1" applyBorder="1" applyAlignment="1">
      <alignment horizontal="left" vertical="center" wrapText="1"/>
    </xf>
    <xf numFmtId="0" fontId="117" fillId="0" borderId="36" xfId="4687" applyNumberFormat="1" applyFont="1" applyFill="1" applyBorder="1" applyAlignment="1">
      <alignment horizontal="left" vertical="center" wrapText="1"/>
    </xf>
    <xf numFmtId="0" fontId="117" fillId="0" borderId="36" xfId="4687" applyNumberFormat="1" applyFont="1" applyFill="1" applyBorder="1" applyAlignment="1">
      <alignment horizontal="right" vertical="center" wrapText="1"/>
    </xf>
    <xf numFmtId="0" fontId="117" fillId="0" borderId="78" xfId="4687" applyNumberFormat="1" applyFont="1" applyFill="1" applyBorder="1" applyAlignment="1">
      <alignment horizontal="center" vertical="center" wrapText="1"/>
    </xf>
    <xf numFmtId="0" fontId="117" fillId="0" borderId="78" xfId="4687" applyNumberFormat="1" applyFont="1" applyFill="1" applyBorder="1" applyAlignment="1">
      <alignment horizontal="right" vertical="center" wrapText="1"/>
    </xf>
    <xf numFmtId="0" fontId="117" fillId="0" borderId="39" xfId="9238" applyNumberFormat="1" applyFont="1" applyFill="1" applyBorder="1" applyAlignment="1">
      <alignment horizontal="center" vertical="center" wrapText="1"/>
    </xf>
    <xf numFmtId="0" fontId="23" fillId="0" borderId="36" xfId="9238" applyNumberFormat="1" applyFont="1" applyFill="1" applyBorder="1" applyAlignment="1">
      <alignment horizontal="center" vertical="center"/>
    </xf>
    <xf numFmtId="0" fontId="4" fillId="0" borderId="36" xfId="9238" applyNumberFormat="1" applyFont="1" applyFill="1" applyBorder="1" applyAlignment="1">
      <alignment horizontal="left" vertical="center" wrapText="1"/>
    </xf>
    <xf numFmtId="0" fontId="117" fillId="0" borderId="36" xfId="9238" applyNumberFormat="1" applyFont="1" applyFill="1" applyBorder="1" applyAlignment="1">
      <alignment horizontal="left" vertical="center" wrapText="1"/>
    </xf>
    <xf numFmtId="0" fontId="23" fillId="0" borderId="36" xfId="9238" applyNumberFormat="1" applyFont="1" applyFill="1" applyBorder="1" applyAlignment="1">
      <alignment horizontal="right" vertical="center"/>
    </xf>
    <xf numFmtId="0" fontId="4" fillId="0" borderId="36" xfId="4687" applyNumberFormat="1" applyFont="1" applyFill="1" applyBorder="1" applyAlignment="1">
      <alignment vertical="center" wrapText="1"/>
    </xf>
    <xf numFmtId="0" fontId="23" fillId="0" borderId="36" xfId="9238" applyNumberFormat="1" applyFont="1" applyFill="1" applyBorder="1" applyAlignment="1">
      <alignment horizontal="left" vertical="center" wrapText="1"/>
    </xf>
    <xf numFmtId="0" fontId="24" fillId="0" borderId="36" xfId="9238" applyNumberFormat="1" applyFont="1" applyFill="1" applyBorder="1" applyAlignment="1">
      <alignment horizontal="center" vertical="center"/>
    </xf>
    <xf numFmtId="0" fontId="117" fillId="0" borderId="78" xfId="9238" applyNumberFormat="1" applyFont="1" applyFill="1" applyBorder="1" applyAlignment="1">
      <alignment horizontal="center" vertical="center" wrapText="1"/>
    </xf>
    <xf numFmtId="0" fontId="117" fillId="0" borderId="36" xfId="9238" applyNumberFormat="1" applyFont="1" applyFill="1" applyBorder="1" applyAlignment="1">
      <alignment horizontal="right" vertical="center"/>
    </xf>
    <xf numFmtId="0" fontId="23" fillId="0" borderId="36" xfId="9238" applyNumberFormat="1" applyFont="1" applyFill="1" applyBorder="1" applyAlignment="1">
      <alignment horizontal="center" vertical="center" wrapText="1"/>
    </xf>
    <xf numFmtId="0" fontId="4" fillId="0" borderId="79" xfId="9238" applyNumberFormat="1" applyFont="1" applyFill="1" applyBorder="1" applyAlignment="1">
      <alignment horizontal="center" vertical="center"/>
    </xf>
    <xf numFmtId="0" fontId="118" fillId="0" borderId="78" xfId="9238" applyNumberFormat="1" applyFont="1" applyFill="1" applyBorder="1" applyAlignment="1">
      <alignment horizontal="left" vertical="center" wrapText="1"/>
    </xf>
    <xf numFmtId="0" fontId="23" fillId="0" borderId="41" xfId="9238" applyNumberFormat="1" applyFont="1" applyFill="1" applyBorder="1" applyAlignment="1">
      <alignment horizontal="left" vertical="center" wrapText="1"/>
    </xf>
    <xf numFmtId="0" fontId="118" fillId="0" borderId="79" xfId="9238" applyNumberFormat="1" applyFont="1" applyFill="1" applyBorder="1" applyAlignment="1">
      <alignment horizontal="center" vertical="center"/>
    </xf>
    <xf numFmtId="0" fontId="118" fillId="0" borderId="36" xfId="9238" applyNumberFormat="1" applyFont="1" applyFill="1" applyBorder="1" applyAlignment="1">
      <alignment horizontal="justify" vertical="center" wrapText="1"/>
    </xf>
    <xf numFmtId="0" fontId="117" fillId="0" borderId="41" xfId="9238" applyNumberFormat="1" applyFont="1" applyFill="1" applyBorder="1" applyAlignment="1">
      <alignment horizontal="left" vertical="center" wrapText="1"/>
    </xf>
    <xf numFmtId="0" fontId="117" fillId="0" borderId="36" xfId="9238" applyNumberFormat="1" applyFont="1" applyFill="1" applyBorder="1" applyAlignment="1">
      <alignment horizontal="center" vertical="center" wrapText="1"/>
    </xf>
    <xf numFmtId="0" fontId="23" fillId="0" borderId="36" xfId="9238" applyNumberFormat="1" applyFont="1" applyFill="1" applyBorder="1" applyAlignment="1">
      <alignment horizontal="justify" vertical="center" wrapText="1"/>
    </xf>
    <xf numFmtId="0" fontId="23" fillId="0" borderId="79" xfId="9238" applyNumberFormat="1" applyFont="1" applyFill="1" applyBorder="1" applyAlignment="1">
      <alignment horizontal="center" vertical="center"/>
    </xf>
    <xf numFmtId="0" fontId="23" fillId="0" borderId="41" xfId="9238" applyNumberFormat="1" applyFont="1" applyFill="1" applyBorder="1" applyAlignment="1">
      <alignment vertical="center" wrapText="1"/>
    </xf>
    <xf numFmtId="0" fontId="4" fillId="0" borderId="36" xfId="9238" applyNumberFormat="1" applyFont="1" applyFill="1" applyBorder="1" applyAlignment="1">
      <alignment horizontal="justify" vertical="center" wrapText="1"/>
    </xf>
    <xf numFmtId="0" fontId="23" fillId="0" borderId="78" xfId="9238" applyNumberFormat="1" applyFont="1" applyFill="1" applyBorder="1" applyAlignment="1">
      <alignment horizontal="left" vertical="center" wrapText="1"/>
    </xf>
    <xf numFmtId="0" fontId="23" fillId="0" borderId="36" xfId="4687" applyNumberFormat="1" applyFont="1" applyFill="1" applyBorder="1" applyAlignment="1">
      <alignment vertical="center"/>
    </xf>
    <xf numFmtId="0" fontId="23" fillId="0" borderId="41" xfId="9238" applyNumberFormat="1" applyFont="1" applyFill="1" applyBorder="1" applyAlignment="1">
      <alignment horizontal="center" vertical="center"/>
    </xf>
    <xf numFmtId="0" fontId="4" fillId="4" borderId="36" xfId="9238" applyNumberFormat="1" applyFont="1" applyFill="1" applyBorder="1" applyAlignment="1">
      <alignment horizontal="justify" vertical="center" wrapText="1"/>
    </xf>
    <xf numFmtId="0" fontId="4" fillId="0" borderId="41" xfId="9238" applyNumberFormat="1" applyFont="1" applyFill="1" applyBorder="1" applyAlignment="1">
      <alignment horizontal="left" vertical="center" wrapText="1"/>
    </xf>
    <xf numFmtId="0" fontId="4" fillId="0" borderId="36" xfId="9238" applyNumberFormat="1" applyFont="1" applyFill="1" applyBorder="1" applyAlignment="1">
      <alignment vertical="center" wrapText="1"/>
    </xf>
    <xf numFmtId="0" fontId="4" fillId="0" borderId="36" xfId="9238" applyNumberFormat="1" applyFont="1" applyFill="1" applyBorder="1" applyAlignment="1">
      <alignment horizontal="center" vertical="center"/>
    </xf>
    <xf numFmtId="0" fontId="117" fillId="0" borderId="79" xfId="9238" applyNumberFormat="1" applyFont="1" applyFill="1" applyBorder="1" applyAlignment="1">
      <alignment horizontal="center" vertical="center"/>
    </xf>
    <xf numFmtId="0" fontId="117" fillId="0" borderId="41" xfId="9238" applyNumberFormat="1" applyFont="1" applyFill="1" applyBorder="1" applyAlignment="1">
      <alignment horizontal="center" vertical="center"/>
    </xf>
    <xf numFmtId="0" fontId="4" fillId="4" borderId="41" xfId="9238" applyNumberFormat="1" applyFont="1" applyFill="1" applyBorder="1" applyAlignment="1">
      <alignment horizontal="left" vertical="center" wrapText="1"/>
    </xf>
    <xf numFmtId="0" fontId="118" fillId="0" borderId="41" xfId="9238" applyNumberFormat="1" applyFont="1" applyFill="1" applyBorder="1" applyAlignment="1">
      <alignment horizontal="left" vertical="center" wrapText="1"/>
    </xf>
    <xf numFmtId="0" fontId="118" fillId="0" borderId="36" xfId="9238" applyNumberFormat="1" applyFont="1" applyFill="1" applyBorder="1" applyAlignment="1">
      <alignment horizontal="center" vertical="center"/>
    </xf>
    <xf numFmtId="0" fontId="118" fillId="0" borderId="78" xfId="9238" applyNumberFormat="1" applyFont="1" applyFill="1" applyBorder="1" applyAlignment="1">
      <alignment horizontal="justify" vertical="center" wrapText="1"/>
    </xf>
    <xf numFmtId="0" fontId="117" fillId="0" borderId="78" xfId="9238" applyNumberFormat="1" applyFont="1" applyFill="1" applyBorder="1" applyAlignment="1">
      <alignment horizontal="left" vertical="center" wrapText="1"/>
    </xf>
    <xf numFmtId="0" fontId="23" fillId="0" borderId="47" xfId="9238" applyNumberFormat="1" applyFont="1" applyFill="1" applyBorder="1" applyAlignment="1">
      <alignment horizontal="center" vertical="center"/>
    </xf>
    <xf numFmtId="0" fontId="4" fillId="0" borderId="78" xfId="9238" applyNumberFormat="1" applyFont="1" applyFill="1" applyBorder="1" applyAlignment="1">
      <alignment horizontal="justify" vertical="center" wrapText="1"/>
    </xf>
    <xf numFmtId="0" fontId="23" fillId="0" borderId="78" xfId="9238" applyNumberFormat="1" applyFont="1" applyFill="1" applyBorder="1" applyAlignment="1">
      <alignment horizontal="center" vertical="center"/>
    </xf>
    <xf numFmtId="0" fontId="23" fillId="0" borderId="78" xfId="9238" applyNumberFormat="1" applyFont="1" applyFill="1" applyBorder="1" applyAlignment="1">
      <alignment horizontal="right" vertical="center"/>
    </xf>
    <xf numFmtId="0" fontId="4" fillId="0" borderId="75" xfId="9238" applyNumberFormat="1" applyFont="1" applyFill="1" applyBorder="1" applyAlignment="1">
      <alignment horizontal="left" vertical="center" wrapText="1"/>
    </xf>
    <xf numFmtId="0" fontId="117" fillId="0" borderId="36" xfId="9238" applyNumberFormat="1" applyFont="1" applyFill="1" applyBorder="1" applyAlignment="1">
      <alignment horizontal="justify" vertical="center" wrapText="1"/>
    </xf>
    <xf numFmtId="0" fontId="23" fillId="0" borderId="75" xfId="9238" applyNumberFormat="1" applyFont="1" applyFill="1" applyBorder="1" applyAlignment="1">
      <alignment horizontal="left" vertical="center" wrapText="1"/>
    </xf>
    <xf numFmtId="0" fontId="23" fillId="0" borderId="36" xfId="4687" applyNumberFormat="1" applyFont="1" applyFill="1" applyBorder="1" applyAlignment="1">
      <alignment vertical="center" wrapText="1"/>
    </xf>
    <xf numFmtId="0" fontId="118" fillId="0" borderId="36" xfId="9238" applyNumberFormat="1" applyFont="1" applyFill="1" applyBorder="1" applyAlignment="1">
      <alignment vertical="center" wrapText="1"/>
    </xf>
    <xf numFmtId="0" fontId="23" fillId="0" borderId="36" xfId="9238" applyNumberFormat="1" applyFont="1" applyFill="1" applyBorder="1" applyAlignment="1">
      <alignment vertical="center" wrapText="1"/>
    </xf>
    <xf numFmtId="0" fontId="23" fillId="0" borderId="68" xfId="9238" applyNumberFormat="1" applyFont="1" applyFill="1" applyBorder="1" applyAlignment="1">
      <alignment horizontal="left" vertical="center" wrapText="1"/>
    </xf>
    <xf numFmtId="0" fontId="117" fillId="0" borderId="47" xfId="9238" applyNumberFormat="1" applyFont="1" applyFill="1" applyBorder="1" applyAlignment="1">
      <alignment horizontal="center" vertical="center"/>
    </xf>
    <xf numFmtId="0" fontId="118" fillId="0" borderId="68" xfId="9238" applyNumberFormat="1" applyFont="1" applyFill="1" applyBorder="1" applyAlignment="1">
      <alignment horizontal="left" vertical="center" wrapText="1"/>
    </xf>
    <xf numFmtId="0" fontId="117" fillId="0" borderId="78" xfId="9238" applyNumberFormat="1" applyFont="1" applyFill="1" applyBorder="1" applyAlignment="1">
      <alignment horizontal="center" vertical="center"/>
    </xf>
    <xf numFmtId="0" fontId="117" fillId="0" borderId="75" xfId="9238" applyNumberFormat="1" applyFont="1" applyFill="1" applyBorder="1" applyAlignment="1">
      <alignment horizontal="left" vertical="center" wrapText="1"/>
    </xf>
    <xf numFmtId="0" fontId="117" fillId="0" borderId="78" xfId="9238" applyNumberFormat="1" applyFont="1" applyFill="1" applyBorder="1" applyAlignment="1">
      <alignment horizontal="right" vertical="center"/>
    </xf>
    <xf numFmtId="0" fontId="4" fillId="0" borderId="79" xfId="9238" applyNumberFormat="1" applyFont="1" applyFill="1" applyBorder="1" applyAlignment="1">
      <alignment horizontal="left" vertical="center" wrapText="1"/>
    </xf>
    <xf numFmtId="0" fontId="4" fillId="0" borderId="78" xfId="9238" applyNumberFormat="1" applyFont="1" applyFill="1" applyBorder="1" applyAlignment="1">
      <alignment horizontal="left" vertical="center" wrapText="1"/>
    </xf>
    <xf numFmtId="0" fontId="23" fillId="0" borderId="79" xfId="9238" applyNumberFormat="1" applyFont="1" applyFill="1" applyBorder="1" applyAlignment="1">
      <alignment horizontal="left" vertical="center" wrapText="1"/>
    </xf>
    <xf numFmtId="0" fontId="3" fillId="0" borderId="0" xfId="9238" applyNumberFormat="1" applyFont="1" applyFill="1" applyAlignment="1">
      <alignment horizontal="left" vertical="center" wrapText="1"/>
    </xf>
    <xf numFmtId="0" fontId="118" fillId="0" borderId="47" xfId="9238" applyNumberFormat="1" applyFont="1" applyFill="1" applyBorder="1" applyAlignment="1">
      <alignment horizontal="center" vertical="center"/>
    </xf>
    <xf numFmtId="0" fontId="4" fillId="0" borderId="36" xfId="9238" applyNumberFormat="1" applyFont="1" applyFill="1" applyBorder="1" applyAlignment="1">
      <alignment horizontal="center" vertical="center" wrapText="1"/>
    </xf>
    <xf numFmtId="0" fontId="117" fillId="0" borderId="76" xfId="9238" applyNumberFormat="1" applyFont="1" applyFill="1" applyBorder="1" applyAlignment="1">
      <alignment horizontal="center" vertical="center"/>
    </xf>
    <xf numFmtId="0" fontId="118" fillId="0" borderId="76" xfId="9238" applyNumberFormat="1" applyFont="1" applyFill="1" applyBorder="1" applyAlignment="1">
      <alignment horizontal="center" vertical="center"/>
    </xf>
    <xf numFmtId="0" fontId="117" fillId="0" borderId="75" xfId="9238" applyNumberFormat="1" applyFont="1" applyFill="1" applyBorder="1" applyAlignment="1">
      <alignment horizontal="center" vertical="center"/>
    </xf>
    <xf numFmtId="0" fontId="4" fillId="0" borderId="75" xfId="9238" applyNumberFormat="1" applyFont="1" applyFill="1" applyBorder="1" applyAlignment="1">
      <alignment horizontal="center" vertical="center"/>
    </xf>
    <xf numFmtId="0" fontId="23" fillId="0" borderId="78" xfId="9238" applyNumberFormat="1" applyFont="1" applyFill="1" applyBorder="1" applyAlignment="1">
      <alignment horizontal="center" vertical="center" wrapText="1"/>
    </xf>
    <xf numFmtId="0" fontId="118" fillId="0" borderId="36" xfId="4687" applyNumberFormat="1" applyFont="1" applyFill="1" applyBorder="1" applyAlignment="1">
      <alignment vertical="center" wrapText="1"/>
    </xf>
    <xf numFmtId="0" fontId="23" fillId="0" borderId="76" xfId="9238" applyNumberFormat="1" applyFont="1" applyFill="1" applyBorder="1" applyAlignment="1">
      <alignment horizontal="center" vertical="center"/>
    </xf>
    <xf numFmtId="0" fontId="23" fillId="0" borderId="36" xfId="9239" applyNumberFormat="1" applyFont="1" applyFill="1" applyBorder="1" applyAlignment="1">
      <alignment horizontal="left" vertical="center" wrapText="1"/>
    </xf>
    <xf numFmtId="0" fontId="23" fillId="0" borderId="79" xfId="9239" applyNumberFormat="1" applyFont="1" applyFill="1" applyBorder="1" applyAlignment="1">
      <alignment horizontal="left" vertical="center" wrapText="1"/>
    </xf>
    <xf numFmtId="0" fontId="4" fillId="0" borderId="41" xfId="9238" applyNumberFormat="1" applyFont="1" applyFill="1" applyBorder="1" applyAlignment="1">
      <alignment horizontal="center" vertical="center"/>
    </xf>
    <xf numFmtId="0" fontId="23" fillId="0" borderId="36" xfId="9240" applyNumberFormat="1" applyFont="1" applyFill="1" applyBorder="1" applyAlignment="1">
      <alignment vertical="center" wrapText="1"/>
    </xf>
    <xf numFmtId="0" fontId="23" fillId="0" borderId="36" xfId="9208" applyNumberFormat="1" applyFont="1" applyFill="1" applyBorder="1" applyAlignment="1">
      <alignment horizontal="center" vertical="center"/>
    </xf>
    <xf numFmtId="0" fontId="4" fillId="0" borderId="36" xfId="9241" applyNumberFormat="1" applyFont="1" applyFill="1" applyBorder="1" applyAlignment="1">
      <alignment horizontal="left" vertical="center" wrapText="1"/>
    </xf>
    <xf numFmtId="0" fontId="23" fillId="0" borderId="36" xfId="9208" applyNumberFormat="1" applyFont="1" applyFill="1" applyBorder="1" applyAlignment="1">
      <alignment horizontal="right" vertical="center"/>
    </xf>
    <xf numFmtId="0" fontId="23" fillId="4" borderId="36" xfId="9238" applyNumberFormat="1" applyFont="1" applyFill="1" applyBorder="1" applyAlignment="1">
      <alignment horizontal="left" vertical="center" wrapText="1"/>
    </xf>
    <xf numFmtId="0" fontId="118" fillId="0" borderId="36" xfId="9242" applyNumberFormat="1" applyFont="1" applyFill="1" applyBorder="1" applyAlignment="1">
      <alignment vertical="center" wrapText="1"/>
    </xf>
    <xf numFmtId="0" fontId="23" fillId="0" borderId="36" xfId="9239" applyNumberFormat="1" applyFont="1" applyFill="1" applyBorder="1" applyAlignment="1">
      <alignment vertical="center" wrapText="1"/>
    </xf>
    <xf numFmtId="0" fontId="23" fillId="0" borderId="36" xfId="9239" applyNumberFormat="1" applyFont="1" applyFill="1" applyBorder="1" applyAlignment="1">
      <alignment horizontal="center" vertical="center"/>
    </xf>
    <xf numFmtId="0" fontId="4" fillId="0" borderId="36" xfId="9240" applyNumberFormat="1" applyFont="1" applyFill="1" applyBorder="1" applyAlignment="1">
      <alignment vertical="center" wrapText="1"/>
    </xf>
    <xf numFmtId="0" fontId="23" fillId="0" borderId="78" xfId="9238" applyNumberFormat="1" applyFont="1" applyFill="1" applyBorder="1" applyAlignment="1">
      <alignment horizontal="justify" vertical="center" wrapText="1"/>
    </xf>
    <xf numFmtId="0" fontId="117" fillId="0" borderId="68" xfId="9238" applyNumberFormat="1" applyFont="1" applyFill="1" applyBorder="1" applyAlignment="1">
      <alignment horizontal="left" vertical="center" wrapText="1"/>
    </xf>
    <xf numFmtId="0" fontId="4" fillId="0" borderId="36" xfId="9239" applyNumberFormat="1" applyFont="1" applyFill="1" applyBorder="1" applyAlignment="1">
      <alignment vertical="center" wrapText="1"/>
    </xf>
    <xf numFmtId="0" fontId="4" fillId="0" borderId="36" xfId="9239" applyNumberFormat="1" applyFont="1" applyFill="1" applyBorder="1" applyAlignment="1">
      <alignment horizontal="left" vertical="center" wrapText="1"/>
    </xf>
    <xf numFmtId="0" fontId="23" fillId="0" borderId="36" xfId="9208" applyNumberFormat="1" applyFont="1" applyFill="1" applyBorder="1" applyAlignment="1">
      <alignment horizontal="left" vertical="center" wrapText="1"/>
    </xf>
    <xf numFmtId="0" fontId="4" fillId="0" borderId="36" xfId="9239" applyNumberFormat="1" applyFont="1" applyFill="1" applyBorder="1" applyAlignment="1">
      <alignment horizontal="center" vertical="center"/>
    </xf>
    <xf numFmtId="0" fontId="122" fillId="0" borderId="36" xfId="4612" applyNumberFormat="1" applyFont="1" applyFill="1" applyBorder="1" applyAlignment="1">
      <alignment vertical="center"/>
    </xf>
    <xf numFmtId="0" fontId="122" fillId="0" borderId="36" xfId="4612" applyNumberFormat="1" applyFont="1" applyFill="1" applyBorder="1" applyAlignment="1">
      <alignment horizontal="right" vertical="center"/>
    </xf>
    <xf numFmtId="0" fontId="23" fillId="4" borderId="36" xfId="0" applyNumberFormat="1" applyFont="1" applyFill="1" applyBorder="1" applyAlignment="1">
      <alignment vertical="center" wrapText="1"/>
    </xf>
    <xf numFmtId="0" fontId="116" fillId="0" borderId="0" xfId="0" applyNumberFormat="1" applyFont="1" applyFill="1" applyAlignment="1">
      <alignment horizontal="left" vertical="center"/>
    </xf>
    <xf numFmtId="0" fontId="122" fillId="0" borderId="0" xfId="0" applyNumberFormat="1" applyFont="1" applyFill="1">
      <alignment vertical="center"/>
    </xf>
    <xf numFmtId="0" fontId="128" fillId="0" borderId="36" xfId="4430" applyNumberFormat="1" applyFont="1" applyFill="1" applyBorder="1" applyAlignment="1">
      <alignment horizontal="center" vertical="center" wrapText="1"/>
    </xf>
    <xf numFmtId="0" fontId="128" fillId="0" borderId="36" xfId="4430" applyNumberFormat="1" applyFont="1" applyFill="1" applyBorder="1" applyAlignment="1">
      <alignment horizontal="center" vertical="center" wrapText="1" shrinkToFit="1"/>
    </xf>
    <xf numFmtId="0" fontId="128" fillId="0" borderId="36" xfId="4430" applyNumberFormat="1" applyFont="1" applyFill="1" applyBorder="1" applyAlignment="1">
      <alignment horizontal="center" vertical="center" shrinkToFit="1"/>
    </xf>
    <xf numFmtId="0" fontId="128" fillId="0" borderId="69" xfId="4430" applyNumberFormat="1" applyFont="1" applyFill="1" applyBorder="1" applyAlignment="1">
      <alignment horizontal="center" vertical="center" shrinkToFit="1"/>
    </xf>
    <xf numFmtId="0" fontId="30" fillId="0" borderId="0" xfId="0" applyNumberFormat="1" applyFont="1" applyFill="1">
      <alignment vertical="center"/>
    </xf>
    <xf numFmtId="0" fontId="82" fillId="0" borderId="34" xfId="4430" applyNumberFormat="1" applyFont="1" applyFill="1" applyBorder="1" applyAlignment="1">
      <alignment horizontal="center" vertical="center" wrapText="1"/>
    </xf>
    <xf numFmtId="0" fontId="82" fillId="0" borderId="34" xfId="4430" applyNumberFormat="1" applyFont="1" applyFill="1" applyBorder="1" applyAlignment="1">
      <alignment horizontal="left" vertical="center" wrapText="1"/>
    </xf>
    <xf numFmtId="0" fontId="82" fillId="0" borderId="34" xfId="4430" applyNumberFormat="1" applyFont="1" applyFill="1" applyBorder="1" applyAlignment="1">
      <alignment horizontal="left" vertical="center"/>
    </xf>
    <xf numFmtId="0" fontId="82" fillId="0" borderId="34" xfId="4430" applyNumberFormat="1" applyFont="1" applyFill="1" applyBorder="1" applyAlignment="1">
      <alignment horizontal="right" vertical="center" wrapText="1"/>
    </xf>
    <xf numFmtId="0" fontId="82" fillId="0" borderId="36" xfId="4400" applyNumberFormat="1" applyFont="1" applyFill="1" applyBorder="1" applyAlignment="1">
      <alignment vertical="center"/>
    </xf>
    <xf numFmtId="0" fontId="82" fillId="0" borderId="69" xfId="0" applyNumberFormat="1" applyFont="1" applyFill="1" applyBorder="1" applyAlignment="1">
      <alignment horizontal="center" vertical="center" wrapText="1"/>
    </xf>
    <xf numFmtId="0" fontId="4" fillId="0" borderId="0" xfId="4400" applyNumberFormat="1" applyFont="1" applyFill="1" applyAlignment="1">
      <alignment vertical="center"/>
    </xf>
    <xf numFmtId="0" fontId="82" fillId="4" borderId="34" xfId="4430" applyNumberFormat="1" applyFont="1" applyFill="1" applyBorder="1" applyAlignment="1">
      <alignment horizontal="center" vertical="center" wrapText="1"/>
    </xf>
    <xf numFmtId="0" fontId="82" fillId="4" borderId="34" xfId="4430" applyNumberFormat="1" applyFont="1" applyFill="1" applyBorder="1" applyAlignment="1">
      <alignment horizontal="left" vertical="center" wrapText="1"/>
    </xf>
    <xf numFmtId="0" fontId="82" fillId="4" borderId="34" xfId="4430" applyNumberFormat="1" applyFont="1" applyFill="1" applyBorder="1" applyAlignment="1">
      <alignment horizontal="left" vertical="center"/>
    </xf>
    <xf numFmtId="0" fontId="82" fillId="4" borderId="34" xfId="4430" applyNumberFormat="1" applyFont="1" applyFill="1" applyBorder="1" applyAlignment="1">
      <alignment horizontal="right" vertical="center" wrapText="1"/>
    </xf>
    <xf numFmtId="0" fontId="82" fillId="4" borderId="36" xfId="4400" applyNumberFormat="1" applyFont="1" applyFill="1" applyBorder="1" applyAlignment="1">
      <alignment vertical="center"/>
    </xf>
    <xf numFmtId="0" fontId="82" fillId="4" borderId="69" xfId="0" applyNumberFormat="1" applyFont="1" applyFill="1" applyBorder="1" applyAlignment="1">
      <alignment horizontal="left" vertical="center" wrapText="1"/>
    </xf>
    <xf numFmtId="0" fontId="4" fillId="4" borderId="0" xfId="4400" applyNumberFormat="1" applyFont="1" applyFill="1" applyAlignment="1">
      <alignment vertical="center"/>
    </xf>
    <xf numFmtId="0" fontId="82" fillId="4" borderId="36" xfId="4576" applyNumberFormat="1" applyFont="1" applyFill="1" applyBorder="1" applyAlignment="1">
      <alignment vertical="center" wrapText="1"/>
    </xf>
    <xf numFmtId="0" fontId="82" fillId="4" borderId="36" xfId="8887" applyNumberFormat="1" applyFont="1" applyFill="1" applyBorder="1" applyAlignment="1">
      <alignment vertical="center" wrapText="1"/>
    </xf>
    <xf numFmtId="0" fontId="82" fillId="4" borderId="36" xfId="4576" applyNumberFormat="1" applyFont="1" applyFill="1" applyBorder="1" applyAlignment="1">
      <alignment horizontal="left" vertical="center"/>
    </xf>
    <xf numFmtId="0" fontId="82" fillId="0" borderId="65" xfId="4430" applyNumberFormat="1" applyFont="1" applyFill="1" applyBorder="1" applyAlignment="1">
      <alignment horizontal="right" vertical="center" wrapText="1"/>
    </xf>
    <xf numFmtId="0" fontId="82" fillId="0" borderId="36" xfId="0" applyNumberFormat="1" applyFont="1" applyFill="1" applyBorder="1">
      <alignment vertical="center"/>
    </xf>
    <xf numFmtId="0" fontId="82" fillId="0" borderId="69" xfId="0" applyNumberFormat="1" applyFont="1" applyFill="1" applyBorder="1">
      <alignment vertical="center"/>
    </xf>
    <xf numFmtId="0" fontId="23" fillId="0" borderId="0" xfId="0" applyNumberFormat="1" applyFont="1" applyFill="1">
      <alignment vertical="center"/>
    </xf>
    <xf numFmtId="0" fontId="128" fillId="0" borderId="34" xfId="4430" applyNumberFormat="1" applyFont="1" applyFill="1" applyBorder="1" applyAlignment="1">
      <alignment horizontal="center" vertical="center" wrapText="1"/>
    </xf>
    <xf numFmtId="0" fontId="128" fillId="0" borderId="34" xfId="4430" applyNumberFormat="1" applyFont="1" applyFill="1" applyBorder="1" applyAlignment="1">
      <alignment horizontal="right" vertical="center" wrapText="1"/>
    </xf>
    <xf numFmtId="0" fontId="128" fillId="0" borderId="36" xfId="4430" applyNumberFormat="1" applyFont="1" applyFill="1" applyBorder="1" applyAlignment="1">
      <alignment horizontal="right" vertical="center" wrapText="1"/>
    </xf>
    <xf numFmtId="0" fontId="128" fillId="0" borderId="43" xfId="4430" applyNumberFormat="1" applyFont="1" applyFill="1" applyBorder="1" applyAlignment="1">
      <alignment horizontal="right" vertical="center" wrapText="1"/>
    </xf>
    <xf numFmtId="0" fontId="82" fillId="0" borderId="36" xfId="4430" applyNumberFormat="1" applyFont="1" applyFill="1" applyBorder="1" applyAlignment="1">
      <alignment horizontal="center" vertical="center"/>
    </xf>
    <xf numFmtId="0" fontId="82" fillId="0" borderId="51" xfId="4430" applyNumberFormat="1" applyFont="1" applyFill="1" applyBorder="1" applyAlignment="1">
      <alignment horizontal="center" vertical="center"/>
    </xf>
    <xf numFmtId="0" fontId="82" fillId="0" borderId="52" xfId="4430" applyNumberFormat="1" applyFont="1" applyFill="1" applyBorder="1" applyAlignment="1">
      <alignment horizontal="left" vertical="center"/>
    </xf>
    <xf numFmtId="0" fontId="82" fillId="0" borderId="34" xfId="4430" applyNumberFormat="1" applyFont="1" applyFill="1" applyBorder="1" applyAlignment="1">
      <alignment horizontal="right" vertical="center"/>
    </xf>
    <xf numFmtId="0" fontId="82" fillId="0" borderId="34" xfId="4430" applyNumberFormat="1" applyFont="1" applyFill="1" applyBorder="1" applyAlignment="1">
      <alignment horizontal="center" vertical="center"/>
    </xf>
    <xf numFmtId="0" fontId="82" fillId="0" borderId="43" xfId="4430" applyNumberFormat="1" applyFont="1" applyFill="1" applyBorder="1" applyAlignment="1">
      <alignment horizontal="left" vertical="center"/>
    </xf>
    <xf numFmtId="0" fontId="128" fillId="0" borderId="36" xfId="4430" applyNumberFormat="1" applyFont="1" applyFill="1" applyBorder="1" applyAlignment="1">
      <alignment horizontal="center" vertical="center"/>
    </xf>
    <xf numFmtId="0" fontId="128" fillId="0" borderId="51" xfId="4430" applyNumberFormat="1" applyFont="1" applyFill="1" applyBorder="1" applyAlignment="1">
      <alignment horizontal="center" vertical="center"/>
    </xf>
    <xf numFmtId="0" fontId="128" fillId="0" borderId="34" xfId="4430" applyNumberFormat="1" applyFont="1" applyFill="1" applyBorder="1" applyAlignment="1">
      <alignment horizontal="left" vertical="center"/>
    </xf>
    <xf numFmtId="0" fontId="128" fillId="0" borderId="34" xfId="4430" applyNumberFormat="1" applyFont="1" applyFill="1" applyBorder="1" applyAlignment="1">
      <alignment horizontal="left" vertical="center" wrapText="1"/>
    </xf>
    <xf numFmtId="0" fontId="128" fillId="0" borderId="34" xfId="4430" applyNumberFormat="1" applyFont="1" applyFill="1" applyBorder="1" applyAlignment="1">
      <alignment horizontal="right" vertical="center"/>
    </xf>
    <xf numFmtId="0" fontId="128" fillId="0" borderId="36" xfId="4430" applyNumberFormat="1" applyFont="1" applyFill="1" applyBorder="1" applyAlignment="1">
      <alignment horizontal="right" vertical="center"/>
    </xf>
    <xf numFmtId="0" fontId="128" fillId="0" borderId="43" xfId="4430" applyNumberFormat="1" applyFont="1" applyFill="1" applyBorder="1" applyAlignment="1">
      <alignment horizontal="right" vertical="center"/>
    </xf>
    <xf numFmtId="0" fontId="128" fillId="0" borderId="31" xfId="4430" applyNumberFormat="1" applyFont="1" applyFill="1" applyBorder="1" applyAlignment="1">
      <alignment horizontal="center" vertical="center"/>
    </xf>
    <xf numFmtId="0" fontId="128" fillId="0" borderId="42" xfId="4430" applyNumberFormat="1" applyFont="1" applyFill="1" applyBorder="1" applyAlignment="1">
      <alignment horizontal="center" vertical="center"/>
    </xf>
    <xf numFmtId="0" fontId="82" fillId="0" borderId="31" xfId="4430" applyNumberFormat="1" applyFont="1" applyFill="1" applyBorder="1" applyAlignment="1">
      <alignment horizontal="center" vertical="center"/>
    </xf>
    <xf numFmtId="0" fontId="128" fillId="0" borderId="54" xfId="4430" applyNumberFormat="1" applyFont="1" applyFill="1" applyBorder="1" applyAlignment="1">
      <alignment horizontal="center" vertical="center" wrapText="1"/>
    </xf>
    <xf numFmtId="0" fontId="128" fillId="0" borderId="54" xfId="4430" applyNumberFormat="1" applyFont="1" applyFill="1" applyBorder="1" applyAlignment="1">
      <alignment horizontal="left" vertical="center"/>
    </xf>
    <xf numFmtId="0" fontId="128" fillId="0" borderId="54" xfId="4430" applyNumberFormat="1" applyFont="1" applyFill="1" applyBorder="1" applyAlignment="1">
      <alignment horizontal="left" vertical="center" wrapText="1"/>
    </xf>
    <xf numFmtId="0" fontId="82" fillId="0" borderId="54" xfId="4430" applyNumberFormat="1" applyFont="1" applyFill="1" applyBorder="1" applyAlignment="1">
      <alignment horizontal="right" vertical="center"/>
    </xf>
    <xf numFmtId="0" fontId="82" fillId="0" borderId="54" xfId="4430" applyNumberFormat="1" applyFont="1" applyFill="1" applyBorder="1" applyAlignment="1">
      <alignment horizontal="center" vertical="center"/>
    </xf>
    <xf numFmtId="0" fontId="128" fillId="0" borderId="54" xfId="4430" applyNumberFormat="1" applyFont="1" applyFill="1" applyBorder="1" applyAlignment="1">
      <alignment horizontal="right" vertical="center"/>
    </xf>
    <xf numFmtId="0" fontId="128" fillId="0" borderId="58" xfId="4430" applyNumberFormat="1" applyFont="1" applyFill="1" applyBorder="1" applyAlignment="1">
      <alignment horizontal="right" vertical="center"/>
    </xf>
    <xf numFmtId="0" fontId="82" fillId="0" borderId="69" xfId="0" applyNumberFormat="1" applyFont="1" applyFill="1" applyBorder="1" applyAlignment="1">
      <alignment vertical="center" wrapText="1"/>
    </xf>
    <xf numFmtId="0" fontId="82" fillId="0" borderId="36" xfId="4430" applyNumberFormat="1" applyFont="1" applyFill="1" applyBorder="1" applyAlignment="1">
      <alignment horizontal="center" vertical="center" wrapText="1"/>
    </xf>
    <xf numFmtId="0" fontId="82" fillId="0" borderId="36" xfId="4430" applyNumberFormat="1" applyFont="1" applyFill="1" applyBorder="1" applyAlignment="1">
      <alignment horizontal="left" vertical="center" wrapText="1"/>
    </xf>
    <xf numFmtId="0" fontId="82" fillId="0" borderId="36" xfId="4430" applyNumberFormat="1" applyFont="1" applyFill="1" applyBorder="1" applyAlignment="1">
      <alignment horizontal="right" vertical="center" wrapText="1"/>
    </xf>
    <xf numFmtId="0" fontId="128" fillId="0" borderId="69" xfId="4430" applyNumberFormat="1" applyFont="1" applyFill="1" applyBorder="1" applyAlignment="1">
      <alignment horizontal="right" vertical="center" wrapText="1"/>
    </xf>
    <xf numFmtId="0" fontId="82" fillId="0" borderId="36" xfId="0" applyNumberFormat="1" applyFont="1" applyFill="1" applyBorder="1" applyAlignment="1">
      <alignment horizontal="left" vertical="center"/>
    </xf>
    <xf numFmtId="0" fontId="82" fillId="0" borderId="36" xfId="0" applyNumberFormat="1" applyFont="1" applyFill="1" applyBorder="1" applyAlignment="1">
      <alignment horizontal="right" vertical="center"/>
    </xf>
    <xf numFmtId="0" fontId="122" fillId="0" borderId="0" xfId="0" applyNumberFormat="1" applyFont="1" applyFill="1" applyAlignment="1">
      <alignment horizontal="left" vertical="center"/>
    </xf>
    <xf numFmtId="0" fontId="122" fillId="0" borderId="0" xfId="0" applyNumberFormat="1" applyFont="1" applyFill="1" applyAlignment="1">
      <alignment horizontal="right" vertical="center"/>
    </xf>
    <xf numFmtId="0" fontId="130" fillId="4" borderId="0" xfId="0" applyNumberFormat="1" applyFont="1" applyFill="1">
      <alignment vertical="center"/>
    </xf>
    <xf numFmtId="0" fontId="131" fillId="4" borderId="36" xfId="4430" applyNumberFormat="1" applyFont="1" applyFill="1" applyBorder="1" applyAlignment="1">
      <alignment horizontal="center" vertical="center" shrinkToFit="1"/>
    </xf>
    <xf numFmtId="0" fontId="131" fillId="4" borderId="34" xfId="4430" applyNumberFormat="1" applyFont="1" applyFill="1" applyBorder="1" applyAlignment="1">
      <alignment horizontal="center" vertical="center" wrapText="1" shrinkToFit="1"/>
    </xf>
    <xf numFmtId="0" fontId="131" fillId="4" borderId="34" xfId="4430" applyNumberFormat="1" applyFont="1" applyFill="1" applyBorder="1" applyAlignment="1">
      <alignment horizontal="center" vertical="center" shrinkToFit="1"/>
    </xf>
    <xf numFmtId="0" fontId="131" fillId="4" borderId="36" xfId="0" applyNumberFormat="1" applyFont="1" applyFill="1" applyBorder="1" applyAlignment="1">
      <alignment horizontal="center" vertical="center" wrapText="1"/>
    </xf>
    <xf numFmtId="0" fontId="131" fillId="4" borderId="43" xfId="4430" applyNumberFormat="1" applyFont="1" applyFill="1" applyBorder="1" applyAlignment="1">
      <alignment horizontal="center" vertical="center" shrinkToFit="1"/>
    </xf>
    <xf numFmtId="0" fontId="5" fillId="4" borderId="0" xfId="0" applyNumberFormat="1" applyFont="1" applyFill="1">
      <alignment vertical="center"/>
    </xf>
    <xf numFmtId="0" fontId="52" fillId="4" borderId="34" xfId="4430" applyNumberFormat="1" applyFont="1" applyFill="1" applyBorder="1" applyAlignment="1">
      <alignment horizontal="center" vertical="center" wrapText="1"/>
    </xf>
    <xf numFmtId="0" fontId="52" fillId="4" borderId="34" xfId="4430" applyNumberFormat="1" applyFont="1" applyFill="1" applyBorder="1" applyAlignment="1">
      <alignment horizontal="left" vertical="center" wrapText="1"/>
    </xf>
    <xf numFmtId="0" fontId="52" fillId="4" borderId="34" xfId="4430" applyNumberFormat="1" applyFont="1" applyFill="1" applyBorder="1" applyAlignment="1">
      <alignment horizontal="left" vertical="center"/>
    </xf>
    <xf numFmtId="0" fontId="52" fillId="4" borderId="36" xfId="0" applyNumberFormat="1" applyFont="1" applyFill="1" applyBorder="1" applyAlignment="1">
      <alignment horizontal="left" vertical="center" wrapText="1"/>
    </xf>
    <xf numFmtId="0" fontId="52" fillId="4" borderId="34" xfId="4430" applyNumberFormat="1" applyFont="1" applyFill="1" applyBorder="1" applyAlignment="1">
      <alignment horizontal="right" vertical="center" wrapText="1"/>
    </xf>
    <xf numFmtId="0" fontId="52" fillId="4" borderId="36" xfId="0" applyNumberFormat="1" applyFont="1" applyFill="1" applyBorder="1">
      <alignment vertical="center"/>
    </xf>
    <xf numFmtId="0" fontId="52" fillId="4" borderId="70" xfId="0" applyNumberFormat="1" applyFont="1" applyFill="1" applyBorder="1" applyAlignment="1">
      <alignment horizontal="left" vertical="center" wrapText="1"/>
    </xf>
    <xf numFmtId="0" fontId="131" fillId="4" borderId="34" xfId="4430" applyNumberFormat="1" applyFont="1" applyFill="1" applyBorder="1" applyAlignment="1">
      <alignment horizontal="center" vertical="center" wrapText="1"/>
    </xf>
    <xf numFmtId="0" fontId="52" fillId="4" borderId="0" xfId="0" applyNumberFormat="1" applyFont="1" applyFill="1">
      <alignment vertical="center"/>
    </xf>
    <xf numFmtId="0" fontId="131" fillId="4" borderId="34" xfId="4430" applyNumberFormat="1" applyFont="1" applyFill="1" applyBorder="1" applyAlignment="1">
      <alignment horizontal="left" vertical="center" wrapText="1"/>
    </xf>
    <xf numFmtId="0" fontId="131" fillId="4" borderId="34" xfId="4430" applyNumberFormat="1" applyFont="1" applyFill="1" applyBorder="1" applyAlignment="1">
      <alignment horizontal="right" vertical="center" wrapText="1"/>
    </xf>
    <xf numFmtId="0" fontId="131" fillId="4" borderId="36" xfId="4430" applyNumberFormat="1" applyFont="1" applyFill="1" applyBorder="1" applyAlignment="1">
      <alignment horizontal="right" vertical="center" wrapText="1"/>
    </xf>
    <xf numFmtId="0" fontId="131" fillId="4" borderId="43" xfId="4430" applyNumberFormat="1" applyFont="1" applyFill="1" applyBorder="1" applyAlignment="1">
      <alignment horizontal="left" vertical="center" wrapText="1"/>
    </xf>
    <xf numFmtId="0" fontId="52" fillId="4" borderId="43" xfId="4430" applyNumberFormat="1" applyFont="1" applyFill="1" applyBorder="1" applyAlignment="1">
      <alignment horizontal="left" vertical="center" wrapText="1"/>
    </xf>
    <xf numFmtId="0" fontId="52" fillId="4" borderId="36" xfId="9243" applyNumberFormat="1" applyFont="1" applyFill="1" applyBorder="1" applyAlignment="1" applyProtection="1">
      <alignment horizontal="left" vertical="center" wrapText="1"/>
      <protection hidden="1"/>
    </xf>
    <xf numFmtId="0" fontId="52" fillId="4" borderId="36" xfId="0" applyNumberFormat="1" applyFont="1" applyFill="1" applyBorder="1" applyAlignment="1">
      <alignment horizontal="center" vertical="center" wrapText="1"/>
    </xf>
    <xf numFmtId="0" fontId="52" fillId="4" borderId="36" xfId="4430" applyNumberFormat="1" applyFont="1" applyFill="1" applyBorder="1" applyAlignment="1">
      <alignment horizontal="center" vertical="center" wrapText="1"/>
    </xf>
    <xf numFmtId="0" fontId="131" fillId="4" borderId="36" xfId="4430" applyNumberFormat="1" applyFont="1" applyFill="1" applyBorder="1" applyAlignment="1">
      <alignment horizontal="center" vertical="center" wrapText="1"/>
    </xf>
    <xf numFmtId="0" fontId="52" fillId="4" borderId="36" xfId="4430" applyNumberFormat="1" applyFont="1" applyFill="1" applyBorder="1" applyAlignment="1">
      <alignment horizontal="left" vertical="center" wrapText="1"/>
    </xf>
    <xf numFmtId="0" fontId="52" fillId="4" borderId="36" xfId="4430" applyNumberFormat="1" applyFont="1" applyFill="1" applyBorder="1" applyAlignment="1">
      <alignment horizontal="right" vertical="center" wrapText="1"/>
    </xf>
    <xf numFmtId="0" fontId="131" fillId="4" borderId="70" xfId="4430" applyNumberFormat="1" applyFont="1" applyFill="1" applyBorder="1" applyAlignment="1">
      <alignment horizontal="left" vertical="center" wrapText="1"/>
    </xf>
    <xf numFmtId="0" fontId="52" fillId="4" borderId="36" xfId="0" applyNumberFormat="1" applyFont="1" applyFill="1" applyBorder="1" applyAlignment="1">
      <alignment vertical="center" wrapText="1"/>
    </xf>
    <xf numFmtId="0" fontId="52" fillId="4" borderId="36" xfId="4430" applyNumberFormat="1" applyFont="1" applyFill="1" applyBorder="1" applyAlignment="1">
      <alignment vertical="center" wrapText="1"/>
    </xf>
    <xf numFmtId="0" fontId="52" fillId="4" borderId="70" xfId="4430" applyNumberFormat="1" applyFont="1" applyFill="1" applyBorder="1" applyAlignment="1">
      <alignment horizontal="left" vertical="center" wrapText="1"/>
    </xf>
    <xf numFmtId="0" fontId="52" fillId="4" borderId="59" xfId="4430" applyNumberFormat="1" applyFont="1" applyFill="1" applyBorder="1" applyAlignment="1">
      <alignment horizontal="center" vertical="center" wrapText="1"/>
    </xf>
    <xf numFmtId="0" fontId="52" fillId="4" borderId="62" xfId="4430" applyNumberFormat="1" applyFont="1" applyFill="1" applyBorder="1" applyAlignment="1">
      <alignment horizontal="center" vertical="center" wrapText="1"/>
    </xf>
    <xf numFmtId="0" fontId="52" fillId="4" borderId="54" xfId="4430" applyNumberFormat="1" applyFont="1" applyFill="1" applyBorder="1" applyAlignment="1">
      <alignment horizontal="center" vertical="center" wrapText="1"/>
    </xf>
    <xf numFmtId="0" fontId="52" fillId="4" borderId="54" xfId="4430" applyNumberFormat="1" applyFont="1" applyFill="1" applyBorder="1" applyAlignment="1">
      <alignment horizontal="left" vertical="center" wrapText="1"/>
    </xf>
    <xf numFmtId="0" fontId="52" fillId="4" borderId="54" xfId="4430" applyNumberFormat="1" applyFont="1" applyFill="1" applyBorder="1" applyAlignment="1">
      <alignment horizontal="right" vertical="center" wrapText="1"/>
    </xf>
    <xf numFmtId="0" fontId="52" fillId="4" borderId="71" xfId="4430" applyNumberFormat="1" applyFont="1" applyFill="1" applyBorder="1" applyAlignment="1">
      <alignment horizontal="left" vertical="center" wrapText="1"/>
    </xf>
    <xf numFmtId="0" fontId="52" fillId="4" borderId="36" xfId="4576" applyNumberFormat="1" applyFont="1" applyFill="1" applyBorder="1" applyAlignment="1">
      <alignment vertical="center" wrapText="1"/>
    </xf>
    <xf numFmtId="0" fontId="52" fillId="4" borderId="36" xfId="8887" applyNumberFormat="1" applyFont="1" applyFill="1" applyBorder="1" applyAlignment="1">
      <alignment vertical="center" wrapText="1"/>
    </xf>
    <xf numFmtId="0" fontId="52" fillId="4" borderId="36" xfId="4576" applyNumberFormat="1" applyFont="1" applyFill="1" applyBorder="1" applyAlignment="1">
      <alignment horizontal="left" vertical="center"/>
    </xf>
    <xf numFmtId="0" fontId="52" fillId="4" borderId="70" xfId="0" applyNumberFormat="1" applyFont="1" applyFill="1" applyBorder="1" applyAlignment="1">
      <alignment horizontal="left" vertical="center"/>
    </xf>
    <xf numFmtId="0" fontId="131" fillId="4" borderId="59" xfId="4430" applyNumberFormat="1" applyFont="1" applyFill="1" applyBorder="1" applyAlignment="1">
      <alignment horizontal="center" vertical="center" wrapText="1"/>
    </xf>
    <xf numFmtId="0" fontId="52" fillId="4" borderId="59" xfId="4430" applyNumberFormat="1" applyFont="1" applyFill="1" applyBorder="1" applyAlignment="1">
      <alignment horizontal="left" vertical="center" wrapText="1"/>
    </xf>
    <xf numFmtId="0" fontId="52" fillId="4" borderId="59" xfId="4430" applyNumberFormat="1" applyFont="1" applyFill="1" applyBorder="1" applyAlignment="1">
      <alignment horizontal="right" vertical="center" wrapText="1"/>
    </xf>
    <xf numFmtId="0" fontId="131" fillId="4" borderId="65" xfId="4430" applyNumberFormat="1" applyFont="1" applyFill="1" applyBorder="1" applyAlignment="1">
      <alignment horizontal="right" vertical="center" wrapText="1"/>
    </xf>
    <xf numFmtId="0" fontId="131" fillId="4" borderId="65" xfId="4430" applyNumberFormat="1" applyFont="1" applyFill="1" applyBorder="1" applyAlignment="1">
      <alignment horizontal="left" vertical="center" wrapText="1"/>
    </xf>
    <xf numFmtId="0" fontId="52" fillId="4" borderId="66" xfId="4430" applyNumberFormat="1" applyFont="1" applyFill="1" applyBorder="1" applyAlignment="1">
      <alignment horizontal="right" vertical="center" wrapText="1"/>
    </xf>
    <xf numFmtId="0" fontId="52" fillId="4" borderId="51" xfId="4430" applyNumberFormat="1" applyFont="1" applyFill="1" applyBorder="1" applyAlignment="1">
      <alignment horizontal="right" vertical="center" wrapText="1"/>
    </xf>
    <xf numFmtId="0" fontId="52" fillId="4" borderId="65" xfId="4430" applyNumberFormat="1" applyFont="1" applyFill="1" applyBorder="1" applyAlignment="1">
      <alignment horizontal="right" vertical="center" wrapText="1"/>
    </xf>
    <xf numFmtId="0" fontId="52" fillId="4" borderId="31" xfId="0" applyNumberFormat="1" applyFont="1" applyFill="1" applyBorder="1" applyAlignment="1">
      <alignment horizontal="left" vertical="center" wrapText="1"/>
    </xf>
    <xf numFmtId="0" fontId="52" fillId="4" borderId="42" xfId="0" applyNumberFormat="1" applyFont="1" applyFill="1" applyBorder="1" applyAlignment="1">
      <alignment horizontal="left" vertical="center" wrapText="1"/>
    </xf>
    <xf numFmtId="0" fontId="52" fillId="4" borderId="36" xfId="4685" applyNumberFormat="1" applyFont="1" applyFill="1" applyBorder="1" applyAlignment="1">
      <alignment horizontal="left" vertical="center" wrapText="1"/>
    </xf>
    <xf numFmtId="0" fontId="52" fillId="4" borderId="31" xfId="4430" applyNumberFormat="1" applyFont="1" applyFill="1" applyBorder="1" applyAlignment="1">
      <alignment horizontal="center" vertical="center" wrapText="1"/>
    </xf>
    <xf numFmtId="0" fontId="52" fillId="4" borderId="31" xfId="4685" applyNumberFormat="1" applyFont="1" applyFill="1" applyBorder="1" applyAlignment="1">
      <alignment horizontal="left" vertical="center" wrapText="1"/>
    </xf>
    <xf numFmtId="0" fontId="131" fillId="4" borderId="54" xfId="4430" applyNumberFormat="1" applyFont="1" applyFill="1" applyBorder="1" applyAlignment="1">
      <alignment horizontal="center" vertical="center" wrapText="1"/>
    </xf>
    <xf numFmtId="0" fontId="52" fillId="4" borderId="36" xfId="4430" applyNumberFormat="1" applyFont="1" applyFill="1" applyBorder="1" applyAlignment="1">
      <alignment horizontal="center" vertical="center"/>
    </xf>
    <xf numFmtId="0" fontId="52" fillId="4" borderId="51" xfId="4430" applyNumberFormat="1" applyFont="1" applyFill="1" applyBorder="1" applyAlignment="1">
      <alignment horizontal="center" vertical="center"/>
    </xf>
    <xf numFmtId="0" fontId="52" fillId="4" borderId="52" xfId="4430" applyNumberFormat="1" applyFont="1" applyFill="1" applyBorder="1" applyAlignment="1">
      <alignment horizontal="left" vertical="center"/>
    </xf>
    <xf numFmtId="0" fontId="52" fillId="4" borderId="54" xfId="4430" applyNumberFormat="1" applyFont="1" applyFill="1" applyBorder="1" applyAlignment="1">
      <alignment horizontal="right" vertical="center"/>
    </xf>
    <xf numFmtId="0" fontId="52" fillId="4" borderId="34" xfId="4430" applyNumberFormat="1" applyFont="1" applyFill="1" applyBorder="1" applyAlignment="1">
      <alignment horizontal="center" vertical="center"/>
    </xf>
    <xf numFmtId="0" fontId="52" fillId="4" borderId="43" xfId="4430" applyNumberFormat="1" applyFont="1" applyFill="1" applyBorder="1" applyAlignment="1">
      <alignment horizontal="left" vertical="center"/>
    </xf>
    <xf numFmtId="0" fontId="52" fillId="4" borderId="34" xfId="4430" applyNumberFormat="1" applyFont="1" applyFill="1" applyBorder="1" applyAlignment="1">
      <alignment horizontal="right" vertical="center"/>
    </xf>
    <xf numFmtId="0" fontId="131" fillId="4" borderId="31" xfId="4430" applyNumberFormat="1" applyFont="1" applyFill="1" applyBorder="1" applyAlignment="1">
      <alignment horizontal="center" vertical="center"/>
    </xf>
    <xf numFmtId="0" fontId="131" fillId="4" borderId="42" xfId="4430" applyNumberFormat="1" applyFont="1" applyFill="1" applyBorder="1" applyAlignment="1">
      <alignment horizontal="center" vertical="center"/>
    </xf>
    <xf numFmtId="0" fontId="52" fillId="4" borderId="31" xfId="4430" applyNumberFormat="1" applyFont="1" applyFill="1" applyBorder="1" applyAlignment="1">
      <alignment horizontal="center" vertical="center"/>
    </xf>
    <xf numFmtId="0" fontId="131" fillId="4" borderId="54" xfId="4430" applyNumberFormat="1" applyFont="1" applyFill="1" applyBorder="1" applyAlignment="1">
      <alignment horizontal="left" vertical="center"/>
    </xf>
    <xf numFmtId="0" fontId="131" fillId="4" borderId="54" xfId="4430" applyNumberFormat="1" applyFont="1" applyFill="1" applyBorder="1" applyAlignment="1">
      <alignment horizontal="left" vertical="center" wrapText="1"/>
    </xf>
    <xf numFmtId="0" fontId="131" fillId="4" borderId="54" xfId="4430" applyNumberFormat="1" applyFont="1" applyFill="1" applyBorder="1" applyAlignment="1">
      <alignment horizontal="right" vertical="center"/>
    </xf>
    <xf numFmtId="0" fontId="131" fillId="4" borderId="54" xfId="4430" applyNumberFormat="1" applyFont="1" applyFill="1" applyBorder="1" applyAlignment="1">
      <alignment horizontal="center" vertical="center"/>
    </xf>
    <xf numFmtId="0" fontId="131" fillId="4" borderId="36" xfId="4430" applyNumberFormat="1" applyFont="1" applyFill="1" applyBorder="1" applyAlignment="1">
      <alignment horizontal="right" vertical="center"/>
    </xf>
    <xf numFmtId="0" fontId="131" fillId="4" borderId="72" xfId="4430" applyNumberFormat="1" applyFont="1" applyFill="1" applyBorder="1" applyAlignment="1">
      <alignment horizontal="left" vertical="center"/>
    </xf>
    <xf numFmtId="0" fontId="52" fillId="4" borderId="36" xfId="4430" applyNumberFormat="1" applyFont="1" applyFill="1" applyBorder="1" applyAlignment="1">
      <alignment vertical="center"/>
    </xf>
    <xf numFmtId="0" fontId="52" fillId="4" borderId="36" xfId="4430" applyNumberFormat="1" applyFont="1" applyFill="1" applyBorder="1" applyAlignment="1">
      <alignment horizontal="right" vertical="center"/>
    </xf>
    <xf numFmtId="0" fontId="52" fillId="4" borderId="31" xfId="4430" applyNumberFormat="1" applyFont="1" applyFill="1" applyBorder="1" applyAlignment="1">
      <alignment horizontal="right" vertical="center"/>
    </xf>
    <xf numFmtId="0" fontId="52" fillId="4" borderId="72" xfId="4430" applyNumberFormat="1" applyFont="1" applyFill="1" applyBorder="1" applyAlignment="1">
      <alignment horizontal="left" vertical="center"/>
    </xf>
    <xf numFmtId="0" fontId="52" fillId="4" borderId="31" xfId="4430" applyNumberFormat="1" applyFont="1" applyFill="1" applyBorder="1" applyAlignment="1">
      <alignment vertical="center"/>
    </xf>
    <xf numFmtId="0" fontId="52" fillId="4" borderId="31" xfId="4430" applyNumberFormat="1" applyFont="1" applyFill="1" applyBorder="1" applyAlignment="1">
      <alignment horizontal="left" vertical="center"/>
    </xf>
    <xf numFmtId="0" fontId="52" fillId="4" borderId="31" xfId="4430" applyNumberFormat="1" applyFont="1" applyFill="1" applyBorder="1" applyAlignment="1">
      <alignment horizontal="left" vertical="center" wrapText="1"/>
    </xf>
    <xf numFmtId="0" fontId="52" fillId="4" borderId="70" xfId="4430" applyNumberFormat="1" applyFont="1" applyFill="1" applyBorder="1" applyAlignment="1">
      <alignment horizontal="left" vertical="center"/>
    </xf>
    <xf numFmtId="0" fontId="52" fillId="4" borderId="36" xfId="4430" applyNumberFormat="1" applyFont="1" applyFill="1" applyBorder="1" applyAlignment="1">
      <alignment horizontal="left" vertical="center"/>
    </xf>
    <xf numFmtId="0" fontId="131" fillId="4" borderId="36" xfId="4430" applyNumberFormat="1" applyFont="1" applyFill="1" applyBorder="1" applyAlignment="1">
      <alignment horizontal="center" vertical="center"/>
    </xf>
    <xf numFmtId="0" fontId="131" fillId="4" borderId="36" xfId="4430" applyNumberFormat="1" applyFont="1" applyFill="1" applyBorder="1" applyAlignment="1">
      <alignment horizontal="left" vertical="center"/>
    </xf>
    <xf numFmtId="0" fontId="131" fillId="4" borderId="36" xfId="4430" applyNumberFormat="1" applyFont="1" applyFill="1" applyBorder="1" applyAlignment="1">
      <alignment horizontal="left" vertical="center" wrapText="1"/>
    </xf>
    <xf numFmtId="0" fontId="131" fillId="4" borderId="70" xfId="4430" applyNumberFormat="1" applyFont="1" applyFill="1" applyBorder="1" applyAlignment="1">
      <alignment horizontal="left" vertical="center"/>
    </xf>
    <xf numFmtId="0" fontId="52" fillId="4" borderId="36" xfId="0" applyNumberFormat="1" applyFont="1" applyFill="1" applyBorder="1" applyAlignment="1">
      <alignment horizontal="left" vertical="center"/>
    </xf>
    <xf numFmtId="0" fontId="52" fillId="4" borderId="41" xfId="0" applyNumberFormat="1" applyFont="1" applyFill="1" applyBorder="1" applyAlignment="1">
      <alignment horizontal="left" vertical="center"/>
    </xf>
    <xf numFmtId="0" fontId="52" fillId="4" borderId="36" xfId="0" applyNumberFormat="1" applyFont="1" applyFill="1" applyBorder="1" applyAlignment="1">
      <alignment horizontal="right" vertical="center"/>
    </xf>
    <xf numFmtId="0" fontId="52" fillId="4" borderId="36" xfId="0" applyNumberFormat="1" applyFont="1" applyFill="1" applyBorder="1" applyAlignment="1">
      <alignment horizontal="center" vertical="center"/>
    </xf>
    <xf numFmtId="0" fontId="131" fillId="4" borderId="41" xfId="4430" applyNumberFormat="1" applyFont="1" applyFill="1" applyBorder="1" applyAlignment="1">
      <alignment horizontal="left" vertical="center"/>
    </xf>
    <xf numFmtId="0" fontId="131" fillId="4" borderId="36" xfId="0" applyNumberFormat="1" applyFont="1" applyFill="1" applyBorder="1">
      <alignment vertical="center"/>
    </xf>
    <xf numFmtId="0" fontId="131" fillId="4" borderId="36" xfId="0" applyNumberFormat="1" applyFont="1" applyFill="1" applyBorder="1" applyAlignment="1">
      <alignment horizontal="left" vertical="center"/>
    </xf>
    <xf numFmtId="0" fontId="131" fillId="4" borderId="36" xfId="0" applyNumberFormat="1" applyFont="1" applyFill="1" applyBorder="1" applyAlignment="1">
      <alignment horizontal="right" vertical="center"/>
    </xf>
    <xf numFmtId="0" fontId="131" fillId="4" borderId="36" xfId="0" applyNumberFormat="1" applyFont="1" applyFill="1" applyBorder="1" applyAlignment="1">
      <alignment horizontal="center" vertical="center"/>
    </xf>
    <xf numFmtId="0" fontId="131" fillId="4" borderId="70" xfId="0" applyNumberFormat="1" applyFont="1" applyFill="1" applyBorder="1" applyAlignment="1">
      <alignment horizontal="left" vertical="center"/>
    </xf>
    <xf numFmtId="0" fontId="130" fillId="4" borderId="0" xfId="0" applyNumberFormat="1" applyFont="1" applyFill="1" applyAlignment="1">
      <alignment horizontal="left" vertical="center"/>
    </xf>
    <xf numFmtId="0" fontId="130" fillId="4" borderId="0" xfId="0" applyNumberFormat="1" applyFont="1" applyFill="1" applyAlignment="1">
      <alignment horizontal="right" vertical="center"/>
    </xf>
    <xf numFmtId="0" fontId="130" fillId="4" borderId="0" xfId="0" applyNumberFormat="1" applyFont="1" applyFill="1" applyAlignment="1">
      <alignment horizontal="center" vertical="center"/>
    </xf>
    <xf numFmtId="0" fontId="132" fillId="4" borderId="0" xfId="0" applyNumberFormat="1" applyFont="1" applyFill="1">
      <alignment vertical="center"/>
    </xf>
    <xf numFmtId="0" fontId="89" fillId="4" borderId="36" xfId="0" applyNumberFormat="1" applyFont="1" applyFill="1" applyBorder="1" applyAlignment="1">
      <alignment horizontal="center" vertical="center" wrapText="1"/>
    </xf>
    <xf numFmtId="0" fontId="89" fillId="4" borderId="36" xfId="0" applyNumberFormat="1" applyFont="1" applyFill="1" applyBorder="1" applyAlignment="1">
      <alignment horizontal="left" vertical="center" wrapText="1"/>
    </xf>
    <xf numFmtId="0" fontId="99" fillId="0" borderId="36" xfId="0" applyNumberFormat="1" applyFont="1" applyBorder="1" applyAlignment="1">
      <alignment horizontal="left" vertical="center" wrapText="1"/>
    </xf>
    <xf numFmtId="0" fontId="89" fillId="4" borderId="36" xfId="9244" applyNumberFormat="1" applyFont="1" applyFill="1" applyBorder="1" applyAlignment="1">
      <alignment horizontal="left" vertical="center" wrapText="1"/>
    </xf>
    <xf numFmtId="0" fontId="134" fillId="0" borderId="36" xfId="0" applyNumberFormat="1" applyFont="1" applyBorder="1" applyAlignment="1">
      <alignment horizontal="center" vertical="center" wrapText="1"/>
    </xf>
    <xf numFmtId="0" fontId="134" fillId="4" borderId="36" xfId="0" applyNumberFormat="1" applyFont="1" applyFill="1" applyBorder="1" applyAlignment="1">
      <alignment horizontal="center" vertical="center" wrapText="1"/>
    </xf>
    <xf numFmtId="0" fontId="117" fillId="4" borderId="36" xfId="9238" applyNumberFormat="1" applyFont="1" applyFill="1" applyBorder="1" applyAlignment="1">
      <alignment horizontal="center" vertical="center" wrapText="1"/>
    </xf>
    <xf numFmtId="0" fontId="117" fillId="4" borderId="6" xfId="9238" applyNumberFormat="1" applyFont="1" applyFill="1" applyBorder="1" applyAlignment="1">
      <alignment horizontal="center" vertical="center" wrapText="1"/>
    </xf>
    <xf numFmtId="0" fontId="117" fillId="4" borderId="36" xfId="9238" applyNumberFormat="1" applyFont="1" applyFill="1" applyBorder="1" applyAlignment="1">
      <alignment horizontal="center" vertical="center"/>
    </xf>
    <xf numFmtId="0" fontId="117" fillId="4" borderId="36" xfId="9238" applyNumberFormat="1" applyFont="1" applyFill="1" applyBorder="1" applyAlignment="1">
      <alignment horizontal="left" vertical="center" wrapText="1"/>
    </xf>
    <xf numFmtId="0" fontId="117" fillId="4" borderId="36" xfId="4687" applyNumberFormat="1" applyFont="1" applyFill="1" applyBorder="1" applyAlignment="1">
      <alignment horizontal="center" vertical="center" wrapText="1"/>
    </xf>
    <xf numFmtId="0" fontId="117" fillId="4" borderId="36" xfId="4687" applyNumberFormat="1" applyFont="1" applyFill="1" applyBorder="1" applyAlignment="1">
      <alignment horizontal="left" vertical="center" wrapText="1"/>
    </xf>
    <xf numFmtId="0" fontId="23" fillId="4" borderId="36" xfId="9238" applyNumberFormat="1" applyFont="1" applyFill="1" applyBorder="1" applyAlignment="1">
      <alignment horizontal="center" vertical="center"/>
    </xf>
    <xf numFmtId="0" fontId="4" fillId="4" borderId="36" xfId="4687" applyNumberFormat="1" applyFont="1" applyFill="1" applyBorder="1" applyAlignment="1">
      <alignment vertical="center" wrapText="1"/>
    </xf>
    <xf numFmtId="0" fontId="24" fillId="4" borderId="36" xfId="9238" applyNumberFormat="1" applyFont="1" applyFill="1" applyBorder="1" applyAlignment="1">
      <alignment horizontal="center" vertical="center"/>
    </xf>
    <xf numFmtId="0" fontId="4" fillId="4" borderId="36" xfId="9238" applyNumberFormat="1" applyFont="1" applyFill="1" applyBorder="1" applyAlignment="1">
      <alignment horizontal="left" vertical="center" wrapText="1"/>
    </xf>
    <xf numFmtId="0" fontId="23" fillId="4" borderId="36" xfId="9238" applyNumberFormat="1" applyFont="1" applyFill="1" applyBorder="1" applyAlignment="1">
      <alignment horizontal="center" vertical="center" wrapText="1"/>
    </xf>
    <xf numFmtId="0" fontId="23" fillId="4" borderId="74" xfId="9238" applyNumberFormat="1" applyFont="1" applyFill="1" applyBorder="1" applyAlignment="1">
      <alignment horizontal="center" vertical="center"/>
    </xf>
    <xf numFmtId="0" fontId="23" fillId="4" borderId="41" xfId="9238" applyNumberFormat="1" applyFont="1" applyFill="1" applyBorder="1" applyAlignment="1">
      <alignment horizontal="left" vertical="center" wrapText="1"/>
    </xf>
    <xf numFmtId="0" fontId="117" fillId="4" borderId="74" xfId="9238" applyNumberFormat="1" applyFont="1" applyFill="1" applyBorder="1" applyAlignment="1">
      <alignment horizontal="center" vertical="center"/>
    </xf>
    <xf numFmtId="0" fontId="117" fillId="4" borderId="36" xfId="9238" applyNumberFormat="1" applyFont="1" applyFill="1" applyBorder="1" applyAlignment="1">
      <alignment horizontal="justify" vertical="center" wrapText="1"/>
    </xf>
    <xf numFmtId="0" fontId="117" fillId="4" borderId="41" xfId="9238" applyNumberFormat="1" applyFont="1" applyFill="1" applyBorder="1" applyAlignment="1">
      <alignment horizontal="left" vertical="center" wrapText="1"/>
    </xf>
    <xf numFmtId="0" fontId="23" fillId="4" borderId="36" xfId="9238" applyNumberFormat="1" applyFont="1" applyFill="1" applyBorder="1" applyAlignment="1">
      <alignment horizontal="justify" vertical="center" wrapText="1"/>
    </xf>
    <xf numFmtId="0" fontId="23" fillId="4" borderId="41" xfId="9238" applyNumberFormat="1" applyFont="1" applyFill="1" applyBorder="1" applyAlignment="1">
      <alignment vertical="center" wrapText="1"/>
    </xf>
    <xf numFmtId="0" fontId="23" fillId="4" borderId="36" xfId="4687" applyNumberFormat="1" applyFont="1" applyFill="1" applyBorder="1" applyAlignment="1">
      <alignment vertical="center"/>
    </xf>
    <xf numFmtId="0" fontId="23" fillId="4" borderId="41" xfId="9238" applyNumberFormat="1" applyFont="1" applyFill="1" applyBorder="1" applyAlignment="1">
      <alignment horizontal="center" vertical="center"/>
    </xf>
    <xf numFmtId="0" fontId="23" fillId="4" borderId="36" xfId="9238" applyNumberFormat="1" applyFont="1" applyFill="1" applyBorder="1" applyAlignment="1">
      <alignment vertical="center" wrapText="1"/>
    </xf>
    <xf numFmtId="0" fontId="118" fillId="4" borderId="36" xfId="9238" applyNumberFormat="1" applyFont="1" applyFill="1" applyBorder="1" applyAlignment="1">
      <alignment horizontal="left" vertical="center" wrapText="1"/>
    </xf>
    <xf numFmtId="0" fontId="117" fillId="4" borderId="41" xfId="9238" applyNumberFormat="1" applyFont="1" applyFill="1" applyBorder="1" applyAlignment="1">
      <alignment horizontal="center" vertical="center"/>
    </xf>
    <xf numFmtId="0" fontId="117" fillId="4" borderId="6" xfId="9238" applyNumberFormat="1" applyFont="1" applyFill="1" applyBorder="1" applyAlignment="1">
      <alignment horizontal="center" vertical="center"/>
    </xf>
    <xf numFmtId="0" fontId="23" fillId="4" borderId="6" xfId="9238" applyNumberFormat="1" applyFont="1" applyFill="1" applyBorder="1" applyAlignment="1">
      <alignment horizontal="center" vertical="center"/>
    </xf>
    <xf numFmtId="0" fontId="118" fillId="4" borderId="41" xfId="9238" applyNumberFormat="1" applyFont="1" applyFill="1" applyBorder="1" applyAlignment="1">
      <alignment horizontal="left" vertical="center" wrapText="1"/>
    </xf>
    <xf numFmtId="0" fontId="118" fillId="4" borderId="36" xfId="9238" applyNumberFormat="1" applyFont="1" applyFill="1" applyBorder="1" applyAlignment="1">
      <alignment horizontal="justify" vertical="center" wrapText="1"/>
    </xf>
    <xf numFmtId="0" fontId="4" fillId="4" borderId="36" xfId="9238" applyNumberFormat="1" applyFont="1" applyFill="1" applyBorder="1" applyAlignment="1">
      <alignment horizontal="center" vertical="center" wrapText="1"/>
    </xf>
    <xf numFmtId="0" fontId="23" fillId="4" borderId="47" xfId="9238" applyNumberFormat="1" applyFont="1" applyFill="1" applyBorder="1" applyAlignment="1">
      <alignment horizontal="center" vertical="center"/>
    </xf>
    <xf numFmtId="0" fontId="23" fillId="4" borderId="36" xfId="4687" applyNumberFormat="1" applyFont="1" applyFill="1" applyBorder="1" applyAlignment="1">
      <alignment vertical="center" wrapText="1"/>
    </xf>
    <xf numFmtId="0" fontId="23" fillId="4" borderId="75" xfId="9238" applyNumberFormat="1" applyFont="1" applyFill="1" applyBorder="1" applyAlignment="1">
      <alignment horizontal="left" vertical="center" wrapText="1"/>
    </xf>
    <xf numFmtId="0" fontId="117" fillId="4" borderId="36" xfId="9238" applyNumberFormat="1" applyFont="1" applyFill="1" applyBorder="1" applyAlignment="1">
      <alignment vertical="center" wrapText="1"/>
    </xf>
    <xf numFmtId="0" fontId="23" fillId="4" borderId="68" xfId="9238" applyNumberFormat="1" applyFont="1" applyFill="1" applyBorder="1" applyAlignment="1">
      <alignment horizontal="left" vertical="center" wrapText="1"/>
    </xf>
    <xf numFmtId="0" fontId="117" fillId="4" borderId="47" xfId="9238" applyNumberFormat="1" applyFont="1" applyFill="1" applyBorder="1" applyAlignment="1">
      <alignment horizontal="center" vertical="center"/>
    </xf>
    <xf numFmtId="0" fontId="118" fillId="4" borderId="68" xfId="9238" applyNumberFormat="1" applyFont="1" applyFill="1" applyBorder="1" applyAlignment="1">
      <alignment horizontal="left" vertical="center" wrapText="1"/>
    </xf>
    <xf numFmtId="0" fontId="4" fillId="4" borderId="36" xfId="9238" applyNumberFormat="1" applyFont="1" applyFill="1" applyBorder="1" applyAlignment="1">
      <alignment vertical="center" wrapText="1"/>
    </xf>
    <xf numFmtId="0" fontId="117" fillId="4" borderId="75" xfId="9238" applyNumberFormat="1" applyFont="1" applyFill="1" applyBorder="1" applyAlignment="1">
      <alignment horizontal="left" vertical="center" wrapText="1"/>
    </xf>
    <xf numFmtId="0" fontId="118" fillId="4" borderId="6" xfId="9238" applyNumberFormat="1" applyFont="1" applyFill="1" applyBorder="1" applyAlignment="1">
      <alignment horizontal="left" vertical="center" wrapText="1"/>
    </xf>
    <xf numFmtId="0" fontId="23" fillId="4" borderId="74" xfId="9238" applyNumberFormat="1" applyFont="1" applyFill="1" applyBorder="1" applyAlignment="1">
      <alignment horizontal="left" vertical="center" wrapText="1"/>
    </xf>
    <xf numFmtId="0" fontId="3" fillId="4" borderId="0" xfId="9238" applyNumberFormat="1" applyFont="1" applyFill="1" applyAlignment="1">
      <alignment horizontal="left" vertical="center" wrapText="1"/>
    </xf>
    <xf numFmtId="0" fontId="117" fillId="4" borderId="76" xfId="9238" applyNumberFormat="1" applyFont="1" applyFill="1" applyBorder="1" applyAlignment="1">
      <alignment horizontal="center" vertical="center"/>
    </xf>
    <xf numFmtId="0" fontId="117" fillId="4" borderId="75" xfId="9238" applyNumberFormat="1" applyFont="1" applyFill="1" applyBorder="1" applyAlignment="1">
      <alignment horizontal="center" vertical="center"/>
    </xf>
    <xf numFmtId="0" fontId="23" fillId="4" borderId="75" xfId="9238" applyNumberFormat="1" applyFont="1" applyFill="1" applyBorder="1" applyAlignment="1">
      <alignment horizontal="center" vertical="center"/>
    </xf>
    <xf numFmtId="0" fontId="23" fillId="4" borderId="6" xfId="9238" applyNumberFormat="1" applyFont="1" applyFill="1" applyBorder="1" applyAlignment="1">
      <alignment horizontal="center" vertical="center" wrapText="1"/>
    </xf>
    <xf numFmtId="0" fontId="117" fillId="4" borderId="36" xfId="4687" applyNumberFormat="1" applyFont="1" applyFill="1" applyBorder="1" applyAlignment="1">
      <alignment vertical="center" wrapText="1"/>
    </xf>
    <xf numFmtId="0" fontId="23" fillId="4" borderId="76" xfId="9238" applyNumberFormat="1" applyFont="1" applyFill="1" applyBorder="1" applyAlignment="1">
      <alignment horizontal="center" vertical="center"/>
    </xf>
    <xf numFmtId="0" fontId="23" fillId="4" borderId="36" xfId="9239" applyNumberFormat="1" applyFont="1" applyFill="1" applyBorder="1" applyAlignment="1">
      <alignment horizontal="left" vertical="center" wrapText="1"/>
    </xf>
    <xf numFmtId="0" fontId="23" fillId="4" borderId="74" xfId="9239" applyNumberFormat="1" applyFont="1" applyFill="1" applyBorder="1" applyAlignment="1">
      <alignment horizontal="left" vertical="center" wrapText="1"/>
    </xf>
    <xf numFmtId="0" fontId="23" fillId="4" borderId="36" xfId="9240" applyNumberFormat="1" applyFont="1" applyFill="1" applyBorder="1" applyAlignment="1">
      <alignment vertical="center" wrapText="1"/>
    </xf>
    <xf numFmtId="0" fontId="23" fillId="4" borderId="36" xfId="9208" applyNumberFormat="1" applyFont="1" applyFill="1" applyBorder="1" applyAlignment="1">
      <alignment horizontal="center" vertical="center"/>
    </xf>
    <xf numFmtId="0" fontId="4" fillId="4" borderId="36" xfId="9241" applyNumberFormat="1" applyFont="1" applyFill="1" applyBorder="1" applyAlignment="1">
      <alignment horizontal="left" vertical="center" wrapText="1"/>
    </xf>
    <xf numFmtId="0" fontId="117" fillId="4" borderId="36" xfId="9242" applyNumberFormat="1" applyFont="1" applyFill="1" applyBorder="1" applyAlignment="1">
      <alignment vertical="center" wrapText="1"/>
    </xf>
    <xf numFmtId="0" fontId="23" fillId="4" borderId="36" xfId="9239" applyNumberFormat="1" applyFont="1" applyFill="1" applyBorder="1" applyAlignment="1">
      <alignment vertical="center" wrapText="1"/>
    </xf>
    <xf numFmtId="0" fontId="23" fillId="4" borderId="36" xfId="9239" applyNumberFormat="1" applyFont="1" applyFill="1" applyBorder="1" applyAlignment="1">
      <alignment horizontal="center" vertical="center"/>
    </xf>
    <xf numFmtId="0" fontId="117" fillId="4" borderId="68" xfId="9238" applyNumberFormat="1" applyFont="1" applyFill="1" applyBorder="1" applyAlignment="1">
      <alignment horizontal="left" vertical="center" wrapText="1"/>
    </xf>
    <xf numFmtId="0" fontId="23" fillId="4" borderId="36" xfId="9208" applyNumberFormat="1" applyFont="1" applyFill="1" applyBorder="1" applyAlignment="1">
      <alignment horizontal="left" vertical="center" wrapText="1"/>
    </xf>
    <xf numFmtId="0" fontId="4" fillId="4" borderId="77" xfId="9239" applyNumberFormat="1" applyFont="1" applyFill="1" applyBorder="1" applyAlignment="1">
      <alignment horizontal="left" vertical="center" wrapText="1"/>
    </xf>
    <xf numFmtId="0" fontId="4" fillId="4" borderId="36" xfId="9239" applyNumberFormat="1" applyFont="1" applyFill="1" applyBorder="1" applyAlignment="1">
      <alignment vertical="center" wrapText="1"/>
    </xf>
    <xf numFmtId="0" fontId="4" fillId="4" borderId="36" xfId="9239" applyNumberFormat="1" applyFont="1" applyFill="1" applyBorder="1" applyAlignment="1">
      <alignment horizontal="center" vertical="center"/>
    </xf>
    <xf numFmtId="0" fontId="123" fillId="4" borderId="36" xfId="4612" applyNumberFormat="1" applyFont="1" applyFill="1" applyBorder="1" applyAlignment="1">
      <alignment vertical="center"/>
    </xf>
    <xf numFmtId="0" fontId="135" fillId="4" borderId="36" xfId="4612" applyNumberFormat="1" applyFont="1" applyFill="1" applyBorder="1" applyAlignment="1">
      <alignment vertical="center"/>
    </xf>
    <xf numFmtId="0" fontId="23" fillId="0" borderId="36" xfId="0" applyNumberFormat="1" applyFont="1" applyFill="1" applyBorder="1" applyAlignment="1">
      <alignment vertical="center" wrapText="1"/>
    </xf>
    <xf numFmtId="0" fontId="117" fillId="4" borderId="31" xfId="9238" applyNumberFormat="1" applyFont="1" applyFill="1" applyBorder="1" applyAlignment="1">
      <alignment horizontal="center" vertical="center" wrapText="1"/>
    </xf>
    <xf numFmtId="0" fontId="117" fillId="4" borderId="36" xfId="4687" applyNumberFormat="1" applyFont="1" applyFill="1" applyBorder="1" applyAlignment="1">
      <alignment horizontal="right" vertical="center" wrapText="1"/>
    </xf>
    <xf numFmtId="0" fontId="117" fillId="4" borderId="31" xfId="9238" applyNumberFormat="1" applyFont="1" applyFill="1" applyBorder="1" applyAlignment="1">
      <alignment horizontal="right" vertical="center" wrapText="1"/>
    </xf>
    <xf numFmtId="0" fontId="117" fillId="4" borderId="39" xfId="9238" applyNumberFormat="1" applyFont="1" applyFill="1" applyBorder="1" applyAlignment="1">
      <alignment horizontal="center" vertical="center" wrapText="1"/>
    </xf>
    <xf numFmtId="0" fontId="23" fillId="4" borderId="36" xfId="9238" applyNumberFormat="1" applyFont="1" applyFill="1" applyBorder="1" applyAlignment="1">
      <alignment horizontal="right" vertical="center"/>
    </xf>
    <xf numFmtId="0" fontId="117" fillId="4" borderId="36" xfId="9238" applyNumberFormat="1" applyFont="1" applyFill="1" applyBorder="1" applyAlignment="1">
      <alignment horizontal="right" vertical="center"/>
    </xf>
    <xf numFmtId="0" fontId="117" fillId="4" borderId="31" xfId="9238" applyNumberFormat="1" applyFont="1" applyFill="1" applyBorder="1" applyAlignment="1">
      <alignment horizontal="left" vertical="center" wrapText="1"/>
    </xf>
    <xf numFmtId="0" fontId="23" fillId="4" borderId="31" xfId="9238" applyNumberFormat="1" applyFont="1" applyFill="1" applyBorder="1" applyAlignment="1">
      <alignment horizontal="left" vertical="center" wrapText="1"/>
    </xf>
    <xf numFmtId="0" fontId="117" fillId="4" borderId="31" xfId="9238" applyNumberFormat="1" applyFont="1" applyFill="1" applyBorder="1" applyAlignment="1">
      <alignment horizontal="right" vertical="center"/>
    </xf>
    <xf numFmtId="0" fontId="23" fillId="4" borderId="31" xfId="9238" applyNumberFormat="1" applyFont="1" applyFill="1" applyBorder="1" applyAlignment="1">
      <alignment horizontal="right" vertical="center"/>
    </xf>
    <xf numFmtId="0" fontId="117" fillId="4" borderId="31" xfId="9238" applyNumberFormat="1" applyFont="1" applyFill="1" applyBorder="1" applyAlignment="1">
      <alignment horizontal="justify" vertical="center" wrapText="1"/>
    </xf>
    <xf numFmtId="0" fontId="23" fillId="4" borderId="31" xfId="9238" applyNumberFormat="1" applyFont="1" applyFill="1" applyBorder="1" applyAlignment="1">
      <alignment horizontal="justify" vertical="center" wrapText="1"/>
    </xf>
    <xf numFmtId="0" fontId="23" fillId="4" borderId="31" xfId="9238" applyNumberFormat="1" applyFont="1" applyFill="1" applyBorder="1" applyAlignment="1">
      <alignment horizontal="center" vertical="center"/>
    </xf>
    <xf numFmtId="0" fontId="117" fillId="4" borderId="31" xfId="9238" applyNumberFormat="1" applyFont="1" applyFill="1" applyBorder="1" applyAlignment="1">
      <alignment horizontal="center" vertical="center"/>
    </xf>
    <xf numFmtId="0" fontId="23" fillId="4" borderId="36" xfId="8905" applyNumberFormat="1" applyFont="1" applyFill="1" applyBorder="1" applyAlignment="1">
      <alignment horizontal="right" vertical="center" wrapText="1"/>
    </xf>
    <xf numFmtId="0" fontId="24" fillId="4" borderId="0" xfId="9238" applyNumberFormat="1" applyFont="1" applyFill="1" applyAlignment="1">
      <alignment horizontal="left" vertical="center" wrapText="1"/>
    </xf>
    <xf numFmtId="0" fontId="23" fillId="4" borderId="31" xfId="9238" applyNumberFormat="1" applyFont="1" applyFill="1" applyBorder="1" applyAlignment="1">
      <alignment horizontal="center" vertical="center" wrapText="1"/>
    </xf>
    <xf numFmtId="0" fontId="23" fillId="4" borderId="77" xfId="9239" applyNumberFormat="1" applyFont="1" applyFill="1" applyBorder="1" applyAlignment="1">
      <alignment horizontal="left" vertical="center" wrapText="1"/>
    </xf>
    <xf numFmtId="0" fontId="136" fillId="4" borderId="36" xfId="9238" applyNumberFormat="1" applyFont="1" applyFill="1" applyBorder="1" applyAlignment="1">
      <alignment horizontal="right" vertical="center"/>
    </xf>
    <xf numFmtId="0" fontId="123" fillId="4" borderId="36" xfId="4612" applyNumberFormat="1" applyFont="1" applyFill="1" applyBorder="1" applyAlignment="1">
      <alignment horizontal="right" vertical="center"/>
    </xf>
    <xf numFmtId="0" fontId="30" fillId="4" borderId="0" xfId="0" applyNumberFormat="1" applyFont="1" applyFill="1">
      <alignment vertical="center"/>
    </xf>
    <xf numFmtId="0" fontId="128" fillId="4" borderId="36" xfId="4430" applyNumberFormat="1" applyFont="1" applyFill="1" applyBorder="1" applyAlignment="1">
      <alignment horizontal="center" vertical="center" shrinkToFit="1"/>
    </xf>
    <xf numFmtId="0" fontId="128" fillId="4" borderId="34" xfId="4430" applyNumberFormat="1" applyFont="1" applyFill="1" applyBorder="1" applyAlignment="1">
      <alignment horizontal="center" vertical="center" wrapText="1" shrinkToFit="1"/>
    </xf>
    <xf numFmtId="0" fontId="128" fillId="4" borderId="34" xfId="4430" applyNumberFormat="1" applyFont="1" applyFill="1" applyBorder="1" applyAlignment="1">
      <alignment horizontal="center" vertical="center" shrinkToFit="1"/>
    </xf>
    <xf numFmtId="0" fontId="128" fillId="4" borderId="36" xfId="0" applyNumberFormat="1" applyFont="1" applyFill="1" applyBorder="1" applyAlignment="1">
      <alignment horizontal="center" vertical="center" wrapText="1"/>
    </xf>
    <xf numFmtId="0" fontId="82" fillId="4" borderId="36" xfId="4430" applyNumberFormat="1" applyFont="1" applyFill="1" applyBorder="1" applyAlignment="1">
      <alignment horizontal="left" vertical="center" wrapText="1"/>
    </xf>
    <xf numFmtId="0" fontId="82" fillId="4" borderId="36" xfId="0" applyNumberFormat="1" applyFont="1" applyFill="1" applyBorder="1" applyAlignment="1">
      <alignment horizontal="left" vertical="center" wrapText="1"/>
    </xf>
    <xf numFmtId="0" fontId="82" fillId="4" borderId="36" xfId="4430" applyNumberFormat="1" applyFont="1" applyFill="1" applyBorder="1" applyAlignment="1">
      <alignment horizontal="right" vertical="center" wrapText="1"/>
    </xf>
    <xf numFmtId="0" fontId="82" fillId="4" borderId="36" xfId="0" applyNumberFormat="1" applyFont="1" applyFill="1" applyBorder="1">
      <alignment vertical="center"/>
    </xf>
    <xf numFmtId="0" fontId="82" fillId="4" borderId="70" xfId="0" applyNumberFormat="1" applyFont="1" applyFill="1" applyBorder="1" applyAlignment="1">
      <alignment horizontal="left" vertical="center" wrapText="1"/>
    </xf>
    <xf numFmtId="0" fontId="82" fillId="4" borderId="0" xfId="0" applyNumberFormat="1" applyFont="1" applyFill="1">
      <alignment vertical="center"/>
    </xf>
    <xf numFmtId="0" fontId="128" fillId="4" borderId="34" xfId="4430" applyNumberFormat="1" applyFont="1" applyFill="1" applyBorder="1" applyAlignment="1">
      <alignment horizontal="center" vertical="center" wrapText="1"/>
    </xf>
    <xf numFmtId="0" fontId="128" fillId="4" borderId="34" xfId="4430" applyNumberFormat="1" applyFont="1" applyFill="1" applyBorder="1" applyAlignment="1">
      <alignment horizontal="right" vertical="center" wrapText="1"/>
    </xf>
    <xf numFmtId="0" fontId="128" fillId="4" borderId="36" xfId="4430" applyNumberFormat="1" applyFont="1" applyFill="1" applyBorder="1" applyAlignment="1">
      <alignment horizontal="right" vertical="center" wrapText="1"/>
    </xf>
    <xf numFmtId="0" fontId="128" fillId="4" borderId="43" xfId="4430" applyNumberFormat="1" applyFont="1" applyFill="1" applyBorder="1" applyAlignment="1">
      <alignment horizontal="left" vertical="center" wrapText="1"/>
    </xf>
    <xf numFmtId="0" fontId="82" fillId="4" borderId="36" xfId="0" applyNumberFormat="1" applyFont="1" applyFill="1" applyBorder="1" applyAlignment="1">
      <alignment vertical="center" wrapText="1"/>
    </xf>
    <xf numFmtId="0" fontId="82" fillId="4" borderId="36" xfId="4430" applyNumberFormat="1" applyFont="1" applyFill="1" applyBorder="1" applyAlignment="1">
      <alignment horizontal="center" vertical="center" wrapText="1"/>
    </xf>
    <xf numFmtId="0" fontId="82" fillId="4" borderId="51" xfId="4430" applyNumberFormat="1" applyFont="1" applyFill="1" applyBorder="1" applyAlignment="1">
      <alignment horizontal="right" vertical="center" wrapText="1"/>
    </xf>
    <xf numFmtId="0" fontId="82" fillId="4" borderId="43" xfId="4430" applyNumberFormat="1" applyFont="1" applyFill="1" applyBorder="1" applyAlignment="1">
      <alignment horizontal="left" vertical="center" wrapText="1"/>
    </xf>
    <xf numFmtId="0" fontId="82" fillId="4" borderId="0" xfId="4400" applyNumberFormat="1" applyFont="1" applyFill="1" applyAlignment="1">
      <alignment vertical="center"/>
    </xf>
    <xf numFmtId="0" fontId="82" fillId="4" borderId="54" xfId="4430" applyNumberFormat="1" applyFont="1" applyFill="1" applyBorder="1" applyAlignment="1">
      <alignment horizontal="center" vertical="center" wrapText="1"/>
    </xf>
    <xf numFmtId="0" fontId="82" fillId="4" borderId="54" xfId="4430" applyNumberFormat="1" applyFont="1" applyFill="1" applyBorder="1" applyAlignment="1">
      <alignment horizontal="left" vertical="center" wrapText="1"/>
    </xf>
    <xf numFmtId="0" fontId="82" fillId="4" borderId="54" xfId="4430" applyNumberFormat="1" applyFont="1" applyFill="1" applyBorder="1" applyAlignment="1">
      <alignment horizontal="right" vertical="center" wrapText="1"/>
    </xf>
    <xf numFmtId="0" fontId="82" fillId="4" borderId="58" xfId="4430" applyNumberFormat="1" applyFont="1" applyFill="1" applyBorder="1" applyAlignment="1">
      <alignment horizontal="center" vertical="center" wrapText="1"/>
    </xf>
    <xf numFmtId="0" fontId="82" fillId="4" borderId="73" xfId="0" applyNumberFormat="1" applyFont="1" applyFill="1" applyBorder="1" applyAlignment="1">
      <alignment horizontal="left" vertical="center"/>
    </xf>
    <xf numFmtId="0" fontId="128" fillId="4" borderId="36" xfId="4430" applyNumberFormat="1" applyFont="1" applyFill="1" applyBorder="1" applyAlignment="1">
      <alignment horizontal="center" vertical="center" wrapText="1"/>
    </xf>
    <xf numFmtId="0" fontId="128" fillId="4" borderId="70" xfId="4430" applyNumberFormat="1" applyFont="1" applyFill="1" applyBorder="1" applyAlignment="1">
      <alignment horizontal="left" vertical="center" wrapText="1"/>
    </xf>
    <xf numFmtId="0" fontId="82" fillId="4" borderId="5" xfId="4430" applyNumberFormat="1" applyFont="1" applyFill="1" applyBorder="1" applyAlignment="1">
      <alignment horizontal="center" vertical="center"/>
    </xf>
    <xf numFmtId="0" fontId="82" fillId="4" borderId="47" xfId="4430" applyNumberFormat="1" applyFont="1" applyFill="1" applyBorder="1" applyAlignment="1">
      <alignment horizontal="center" vertical="center"/>
    </xf>
    <xf numFmtId="0" fontId="82" fillId="4" borderId="64" xfId="4430" applyNumberFormat="1" applyFont="1" applyFill="1" applyBorder="1" applyAlignment="1">
      <alignment horizontal="left" vertical="center" wrapText="1"/>
    </xf>
    <xf numFmtId="0" fontId="82" fillId="4" borderId="5" xfId="4430" applyNumberFormat="1" applyFont="1" applyFill="1" applyBorder="1" applyAlignment="1">
      <alignment horizontal="left" vertical="center" wrapText="1"/>
    </xf>
    <xf numFmtId="0" fontId="82" fillId="4" borderId="60" xfId="4430" applyNumberFormat="1" applyFont="1" applyFill="1" applyBorder="1" applyAlignment="1">
      <alignment horizontal="left" vertical="center" wrapText="1"/>
    </xf>
    <xf numFmtId="0" fontId="82" fillId="4" borderId="60" xfId="4430" applyNumberFormat="1" applyFont="1" applyFill="1" applyBorder="1" applyAlignment="1">
      <alignment horizontal="right" vertical="center"/>
    </xf>
    <xf numFmtId="0" fontId="82" fillId="4" borderId="60" xfId="4430" applyNumberFormat="1" applyFont="1" applyFill="1" applyBorder="1" applyAlignment="1">
      <alignment horizontal="center" vertical="center"/>
    </xf>
    <xf numFmtId="0" fontId="82" fillId="4" borderId="47" xfId="0" applyNumberFormat="1" applyFont="1" applyFill="1" applyBorder="1" applyAlignment="1">
      <alignment horizontal="left" vertical="center"/>
    </xf>
    <xf numFmtId="0" fontId="82" fillId="4" borderId="36" xfId="4430" applyNumberFormat="1" applyFont="1" applyFill="1" applyBorder="1" applyAlignment="1">
      <alignment horizontal="center" vertical="center"/>
    </xf>
    <xf numFmtId="0" fontId="82" fillId="4" borderId="51" xfId="4430" applyNumberFormat="1" applyFont="1" applyFill="1" applyBorder="1" applyAlignment="1">
      <alignment horizontal="center" vertical="center"/>
    </xf>
    <xf numFmtId="0" fontId="82" fillId="4" borderId="52" xfId="4430" applyNumberFormat="1" applyFont="1" applyFill="1" applyBorder="1" applyAlignment="1">
      <alignment horizontal="left" vertical="center" wrapText="1"/>
    </xf>
    <xf numFmtId="0" fontId="82" fillId="4" borderId="34" xfId="4430" applyNumberFormat="1" applyFont="1" applyFill="1" applyBorder="1" applyAlignment="1">
      <alignment horizontal="right" vertical="center"/>
    </xf>
    <xf numFmtId="0" fontId="82" fillId="4" borderId="34" xfId="4430" applyNumberFormat="1" applyFont="1" applyFill="1" applyBorder="1" applyAlignment="1">
      <alignment horizontal="center" vertical="center"/>
    </xf>
    <xf numFmtId="0" fontId="82" fillId="4" borderId="43" xfId="4430" applyNumberFormat="1" applyFont="1" applyFill="1" applyBorder="1" applyAlignment="1">
      <alignment horizontal="left" vertical="center"/>
    </xf>
    <xf numFmtId="0" fontId="128" fillId="4" borderId="36" xfId="4430" applyNumberFormat="1" applyFont="1" applyFill="1" applyBorder="1" applyAlignment="1">
      <alignment horizontal="center" vertical="center"/>
    </xf>
    <xf numFmtId="0" fontId="128" fillId="4" borderId="51" xfId="4430" applyNumberFormat="1" applyFont="1" applyFill="1" applyBorder="1" applyAlignment="1">
      <alignment horizontal="center" vertical="center"/>
    </xf>
    <xf numFmtId="0" fontId="128" fillId="4" borderId="34" xfId="4430" applyNumberFormat="1" applyFont="1" applyFill="1" applyBorder="1" applyAlignment="1">
      <alignment horizontal="left" vertical="center"/>
    </xf>
    <xf numFmtId="0" fontId="128" fillId="4" borderId="34" xfId="4430" applyNumberFormat="1" applyFont="1" applyFill="1" applyBorder="1" applyAlignment="1">
      <alignment horizontal="left" vertical="center" wrapText="1"/>
    </xf>
    <xf numFmtId="0" fontId="128" fillId="4" borderId="34" xfId="4430" applyNumberFormat="1" applyFont="1" applyFill="1" applyBorder="1" applyAlignment="1">
      <alignment horizontal="right" vertical="center"/>
    </xf>
    <xf numFmtId="0" fontId="128" fillId="4" borderId="34" xfId="4430" applyNumberFormat="1" applyFont="1" applyFill="1" applyBorder="1" applyAlignment="1">
      <alignment horizontal="center" vertical="center"/>
    </xf>
    <xf numFmtId="0" fontId="128" fillId="4" borderId="36" xfId="4430" applyNumberFormat="1" applyFont="1" applyFill="1" applyBorder="1" applyAlignment="1">
      <alignment horizontal="right" vertical="center"/>
    </xf>
    <xf numFmtId="0" fontId="128" fillId="4" borderId="43" xfId="4430" applyNumberFormat="1" applyFont="1" applyFill="1" applyBorder="1" applyAlignment="1">
      <alignment horizontal="left" vertical="center"/>
    </xf>
    <xf numFmtId="0" fontId="82" fillId="4" borderId="31" xfId="4430" applyNumberFormat="1" applyFont="1" applyFill="1" applyBorder="1" applyAlignment="1">
      <alignment horizontal="center" vertical="center"/>
    </xf>
    <xf numFmtId="0" fontId="82" fillId="4" borderId="42" xfId="4430" applyNumberFormat="1" applyFont="1" applyFill="1" applyBorder="1" applyAlignment="1">
      <alignment horizontal="center" vertical="center"/>
    </xf>
    <xf numFmtId="0" fontId="82" fillId="4" borderId="55" xfId="4430" applyNumberFormat="1" applyFont="1" applyFill="1" applyBorder="1" applyAlignment="1">
      <alignment horizontal="left" vertical="center" wrapText="1"/>
    </xf>
    <xf numFmtId="0" fontId="82" fillId="4" borderId="54" xfId="4430" applyNumberFormat="1" applyFont="1" applyFill="1" applyBorder="1" applyAlignment="1">
      <alignment horizontal="right" vertical="center"/>
    </xf>
    <xf numFmtId="0" fontId="82" fillId="4" borderId="54" xfId="4430" applyNumberFormat="1" applyFont="1" applyFill="1" applyBorder="1" applyAlignment="1">
      <alignment horizontal="center" vertical="center"/>
    </xf>
    <xf numFmtId="0" fontId="82" fillId="4" borderId="72" xfId="4430" applyNumberFormat="1" applyFont="1" applyFill="1" applyBorder="1" applyAlignment="1">
      <alignment horizontal="left" vertical="center"/>
    </xf>
    <xf numFmtId="0" fontId="128" fillId="4" borderId="36" xfId="4430" applyNumberFormat="1" applyFont="1" applyFill="1" applyBorder="1" applyAlignment="1">
      <alignment horizontal="left" vertical="center"/>
    </xf>
    <xf numFmtId="0" fontId="128" fillId="4" borderId="36" xfId="4430" applyNumberFormat="1" applyFont="1" applyFill="1" applyBorder="1" applyAlignment="1">
      <alignment horizontal="left" vertical="center" wrapText="1"/>
    </xf>
    <xf numFmtId="0" fontId="128" fillId="4" borderId="70" xfId="4430" applyNumberFormat="1" applyFont="1" applyFill="1" applyBorder="1" applyAlignment="1">
      <alignment horizontal="left" vertical="center"/>
    </xf>
    <xf numFmtId="0" fontId="82" fillId="4" borderId="36" xfId="4430" applyNumberFormat="1" applyFont="1" applyFill="1" applyBorder="1" applyAlignment="1">
      <alignment horizontal="right" vertical="center"/>
    </xf>
    <xf numFmtId="0" fontId="82" fillId="4" borderId="41" xfId="0" applyNumberFormat="1" applyFont="1" applyFill="1" applyBorder="1" applyAlignment="1">
      <alignment horizontal="left" vertical="center"/>
    </xf>
    <xf numFmtId="0" fontId="82" fillId="4" borderId="36" xfId="0" applyNumberFormat="1" applyFont="1" applyFill="1" applyBorder="1" applyAlignment="1">
      <alignment horizontal="left" vertical="center"/>
    </xf>
    <xf numFmtId="0" fontId="82" fillId="4" borderId="36" xfId="0" applyNumberFormat="1" applyFont="1" applyFill="1" applyBorder="1" applyAlignment="1">
      <alignment horizontal="right" vertical="center"/>
    </xf>
    <xf numFmtId="0" fontId="122" fillId="4" borderId="0" xfId="0" applyNumberFormat="1" applyFont="1" applyFill="1" applyAlignment="1">
      <alignment horizontal="right" vertical="center"/>
    </xf>
    <xf numFmtId="0" fontId="122" fillId="4" borderId="0" xfId="0" applyNumberFormat="1" applyFont="1" applyFill="1">
      <alignment vertical="center"/>
    </xf>
    <xf numFmtId="0" fontId="122" fillId="4" borderId="0" xfId="0" applyNumberFormat="1" applyFont="1" applyFill="1" applyAlignment="1">
      <alignment horizontal="left" vertical="center"/>
    </xf>
    <xf numFmtId="0" fontId="23" fillId="4" borderId="36" xfId="9241" applyNumberFormat="1" applyFont="1" applyFill="1" applyBorder="1" applyAlignment="1">
      <alignment horizontal="left" vertical="center" wrapText="1"/>
    </xf>
    <xf numFmtId="0" fontId="23" fillId="4" borderId="41" xfId="9239" applyNumberFormat="1" applyFont="1" applyFill="1" applyBorder="1" applyAlignment="1">
      <alignment horizontal="left" vertical="center" wrapText="1"/>
    </xf>
    <xf numFmtId="0" fontId="122" fillId="4" borderId="0" xfId="0" applyNumberFormat="1" applyFont="1" applyFill="1" applyAlignment="1">
      <alignment horizontal="left" vertical="center" wrapText="1"/>
    </xf>
    <xf numFmtId="0" fontId="82" fillId="4" borderId="70" xfId="0" applyNumberFormat="1" applyFont="1" applyFill="1" applyBorder="1">
      <alignment vertical="center"/>
    </xf>
    <xf numFmtId="0" fontId="82" fillId="4" borderId="34" xfId="0" applyNumberFormat="1" applyFont="1" applyFill="1" applyBorder="1" applyAlignment="1">
      <alignment horizontal="left" vertical="center" wrapText="1"/>
    </xf>
    <xf numFmtId="0" fontId="128" fillId="4" borderId="43" xfId="4430" applyNumberFormat="1" applyFont="1" applyFill="1" applyBorder="1" applyAlignment="1">
      <alignment horizontal="right" vertical="center" wrapText="1"/>
    </xf>
    <xf numFmtId="0" fontId="82" fillId="4" borderId="36" xfId="4685" applyNumberFormat="1" applyFont="1" applyFill="1" applyBorder="1" applyAlignment="1">
      <alignment vertical="center" wrapText="1"/>
    </xf>
    <xf numFmtId="0" fontId="82" fillId="4" borderId="36" xfId="0" applyNumberFormat="1" applyFont="1" applyFill="1" applyBorder="1" applyAlignment="1">
      <alignment horizontal="center" vertical="center" wrapText="1"/>
    </xf>
    <xf numFmtId="0" fontId="82" fillId="4" borderId="31" xfId="4430" applyNumberFormat="1" applyFont="1" applyFill="1" applyBorder="1" applyAlignment="1">
      <alignment horizontal="left" vertical="center"/>
    </xf>
    <xf numFmtId="0" fontId="82" fillId="4" borderId="58" xfId="4430" applyNumberFormat="1" applyFont="1" applyFill="1" applyBorder="1" applyAlignment="1">
      <alignment horizontal="right" vertical="center" wrapText="1"/>
    </xf>
    <xf numFmtId="0" fontId="82" fillId="4" borderId="52" xfId="4430" applyNumberFormat="1" applyFont="1" applyFill="1" applyBorder="1" applyAlignment="1">
      <alignment horizontal="left" vertical="center"/>
    </xf>
    <xf numFmtId="0" fontId="128" fillId="4" borderId="43" xfId="4430" applyNumberFormat="1" applyFont="1" applyFill="1" applyBorder="1" applyAlignment="1">
      <alignment horizontal="right" vertical="center"/>
    </xf>
    <xf numFmtId="0" fontId="82" fillId="4" borderId="63" xfId="4430" applyNumberFormat="1" applyFont="1" applyFill="1" applyBorder="1" applyAlignment="1">
      <alignment horizontal="right" vertical="center"/>
    </xf>
    <xf numFmtId="0" fontId="128" fillId="4" borderId="0" xfId="0" applyNumberFormat="1" applyFont="1" applyFill="1">
      <alignment vertical="center"/>
    </xf>
    <xf numFmtId="0" fontId="128" fillId="4" borderId="70" xfId="4430" applyNumberFormat="1" applyFont="1" applyFill="1" applyBorder="1" applyAlignment="1">
      <alignment horizontal="right" vertical="center"/>
    </xf>
    <xf numFmtId="0" fontId="82" fillId="4" borderId="36" xfId="4430" applyNumberFormat="1" applyFont="1" applyFill="1" applyBorder="1" applyAlignment="1">
      <alignment horizontal="left" vertical="center"/>
    </xf>
    <xf numFmtId="0" fontId="129" fillId="4" borderId="0" xfId="0" applyNumberFormat="1" applyFont="1" applyFill="1">
      <alignment vertical="center"/>
    </xf>
    <xf numFmtId="0" fontId="129" fillId="4" borderId="0" xfId="0" applyNumberFormat="1" applyFont="1" applyFill="1" applyAlignment="1">
      <alignment horizontal="left" vertical="center"/>
    </xf>
    <xf numFmtId="0" fontId="129" fillId="4" borderId="0" xfId="0" applyNumberFormat="1" applyFont="1" applyFill="1" applyAlignment="1">
      <alignment horizontal="right" vertical="center"/>
    </xf>
    <xf numFmtId="0" fontId="129" fillId="4" borderId="56" xfId="0" applyNumberFormat="1" applyFont="1" applyFill="1" applyBorder="1">
      <alignment vertical="center"/>
    </xf>
    <xf numFmtId="0" fontId="4" fillId="4" borderId="36" xfId="4612" applyNumberFormat="1" applyFont="1" applyFill="1" applyBorder="1" applyAlignment="1">
      <alignment horizontal="center" vertical="center"/>
    </xf>
    <xf numFmtId="0" fontId="35" fillId="4" borderId="36" xfId="4612" applyNumberFormat="1" applyFont="1" applyFill="1" applyBorder="1" applyAlignment="1">
      <alignment horizontal="center" vertical="center" wrapText="1"/>
    </xf>
    <xf numFmtId="0" fontId="2" fillId="4" borderId="36" xfId="4612" applyNumberFormat="1" applyFont="1" applyFill="1" applyBorder="1" applyAlignment="1">
      <alignment horizontal="center" vertical="center" wrapText="1"/>
    </xf>
    <xf numFmtId="0" fontId="2" fillId="4" borderId="36" xfId="7196" applyNumberFormat="1" applyFont="1" applyFill="1" applyBorder="1" applyAlignment="1">
      <alignment horizontal="center" vertical="center" wrapText="1"/>
    </xf>
    <xf numFmtId="0" fontId="2" fillId="4" borderId="36" xfId="9241" applyNumberFormat="1" applyFont="1" applyFill="1" applyBorder="1" applyAlignment="1">
      <alignment horizontal="center" vertical="center" wrapText="1"/>
    </xf>
    <xf numFmtId="0" fontId="35" fillId="4" borderId="36" xfId="7196" applyNumberFormat="1" applyFont="1" applyFill="1" applyBorder="1" applyAlignment="1">
      <alignment horizontal="center" vertical="center" wrapText="1"/>
    </xf>
    <xf numFmtId="0" fontId="4" fillId="4" borderId="0" xfId="4612" applyNumberFormat="1" applyFont="1" applyFill="1" applyAlignment="1">
      <alignment horizontal="center" vertical="center" wrapText="1"/>
    </xf>
    <xf numFmtId="0" fontId="4" fillId="4" borderId="0" xfId="4612" applyNumberFormat="1" applyFont="1" applyFill="1" applyAlignment="1">
      <alignment vertical="center"/>
    </xf>
    <xf numFmtId="0" fontId="118" fillId="4" borderId="0" xfId="4612" applyNumberFormat="1" applyFont="1" applyFill="1" applyAlignment="1">
      <alignment vertical="center"/>
    </xf>
    <xf numFmtId="0" fontId="2" fillId="4" borderId="0" xfId="4612" applyNumberFormat="1" applyFont="1" applyFill="1" applyBorder="1" applyAlignment="1">
      <alignment horizontal="center" vertical="center" wrapText="1"/>
    </xf>
    <xf numFmtId="0" fontId="4" fillId="4" borderId="36" xfId="4612" applyNumberFormat="1" applyFont="1" applyFill="1" applyBorder="1" applyAlignment="1">
      <alignment horizontal="center" vertical="center" wrapText="1"/>
    </xf>
    <xf numFmtId="0" fontId="4" fillId="0" borderId="36" xfId="4612" applyNumberFormat="1" applyFont="1" applyFill="1" applyBorder="1" applyAlignment="1">
      <alignment horizontal="center" vertical="center" wrapText="1"/>
    </xf>
    <xf numFmtId="0" fontId="4" fillId="5" borderId="36" xfId="4612" applyNumberFormat="1" applyFont="1" applyFill="1" applyBorder="1" applyAlignment="1">
      <alignment horizontal="center" vertical="center"/>
    </xf>
    <xf numFmtId="0" fontId="4" fillId="0" borderId="36" xfId="4612" applyNumberFormat="1" applyFont="1" applyFill="1" applyBorder="1" applyAlignment="1">
      <alignment vertical="center"/>
    </xf>
    <xf numFmtId="0" fontId="4" fillId="0" borderId="36" xfId="4612" applyNumberFormat="1" applyFont="1" applyFill="1" applyBorder="1" applyAlignment="1">
      <alignment horizontal="center" vertical="center"/>
    </xf>
    <xf numFmtId="0" fontId="128" fillId="4" borderId="36" xfId="4430" applyNumberFormat="1" applyFont="1" applyFill="1" applyBorder="1" applyAlignment="1">
      <alignment horizontal="center" vertical="center" wrapText="1" shrinkToFit="1"/>
    </xf>
    <xf numFmtId="0" fontId="128" fillId="4" borderId="69" xfId="4430" applyNumberFormat="1" applyFont="1" applyFill="1" applyBorder="1" applyAlignment="1">
      <alignment horizontal="center" vertical="center" shrinkToFit="1"/>
    </xf>
    <xf numFmtId="0" fontId="82" fillId="4" borderId="60" xfId="4430" applyNumberFormat="1" applyFont="1" applyFill="1" applyBorder="1" applyAlignment="1">
      <alignment horizontal="center" vertical="center" wrapText="1"/>
    </xf>
    <xf numFmtId="0" fontId="82" fillId="4" borderId="36" xfId="4430" applyNumberFormat="1" applyFont="1" applyFill="1" applyBorder="1" applyAlignment="1">
      <alignment horizontal="center" vertical="center" shrinkToFit="1"/>
    </xf>
    <xf numFmtId="0" fontId="82" fillId="4" borderId="36" xfId="4430" applyNumberFormat="1" applyFont="1" applyFill="1" applyBorder="1" applyAlignment="1">
      <alignment horizontal="right" vertical="center" shrinkToFit="1"/>
    </xf>
    <xf numFmtId="0" fontId="82" fillId="4" borderId="69" xfId="0" applyNumberFormat="1" applyFont="1" applyFill="1" applyBorder="1" applyAlignment="1">
      <alignment vertical="center" wrapText="1"/>
    </xf>
    <xf numFmtId="0" fontId="128" fillId="4" borderId="43" xfId="4430" applyNumberFormat="1" applyFont="1" applyFill="1" applyBorder="1" applyAlignment="1">
      <alignment vertical="center" wrapText="1"/>
    </xf>
    <xf numFmtId="0" fontId="82" fillId="4" borderId="43" xfId="4430" applyNumberFormat="1" applyFont="1" applyFill="1" applyBorder="1" applyAlignment="1">
      <alignment vertical="center"/>
    </xf>
    <xf numFmtId="0" fontId="128" fillId="4" borderId="43" xfId="4430" applyNumberFormat="1" applyFont="1" applyFill="1" applyBorder="1" applyAlignment="1">
      <alignment vertical="center"/>
    </xf>
    <xf numFmtId="0" fontId="82" fillId="4" borderId="54" xfId="4430" applyNumberFormat="1" applyFont="1" applyFill="1" applyBorder="1" applyAlignment="1">
      <alignment horizontal="left" vertical="center"/>
    </xf>
    <xf numFmtId="0" fontId="82" fillId="4" borderId="58" xfId="4430" applyNumberFormat="1" applyFont="1" applyFill="1" applyBorder="1" applyAlignment="1">
      <alignment vertical="center"/>
    </xf>
    <xf numFmtId="0" fontId="128" fillId="4" borderId="31" xfId="4430" applyNumberFormat="1" applyFont="1" applyFill="1" applyBorder="1" applyAlignment="1">
      <alignment horizontal="center" vertical="center"/>
    </xf>
    <xf numFmtId="0" fontId="128" fillId="4" borderId="31" xfId="4430" applyNumberFormat="1" applyFont="1" applyFill="1" applyBorder="1" applyAlignment="1">
      <alignment horizontal="center" vertical="center" wrapText="1"/>
    </xf>
    <xf numFmtId="0" fontId="128" fillId="4" borderId="55" xfId="4430" applyNumberFormat="1" applyFont="1" applyFill="1" applyBorder="1" applyAlignment="1">
      <alignment horizontal="left" vertical="center"/>
    </xf>
    <xf numFmtId="0" fontId="128" fillId="4" borderId="54" xfId="4430" applyNumberFormat="1" applyFont="1" applyFill="1" applyBorder="1" applyAlignment="1">
      <alignment horizontal="left" vertical="center"/>
    </xf>
    <xf numFmtId="0" fontId="128" fillId="4" borderId="54" xfId="4430" applyNumberFormat="1" applyFont="1" applyFill="1" applyBorder="1" applyAlignment="1">
      <alignment horizontal="left" vertical="center" wrapText="1"/>
    </xf>
    <xf numFmtId="0" fontId="128" fillId="4" borderId="54" xfId="4430" applyNumberFormat="1" applyFont="1" applyFill="1" applyBorder="1" applyAlignment="1">
      <alignment horizontal="right" vertical="center"/>
    </xf>
    <xf numFmtId="0" fontId="128" fillId="4" borderId="54" xfId="4430" applyNumberFormat="1" applyFont="1" applyFill="1" applyBorder="1" applyAlignment="1">
      <alignment horizontal="center" vertical="center"/>
    </xf>
    <xf numFmtId="0" fontId="128" fillId="4" borderId="58" xfId="4430" applyNumberFormat="1" applyFont="1" applyFill="1" applyBorder="1" applyAlignment="1">
      <alignment vertical="center"/>
    </xf>
    <xf numFmtId="0" fontId="82" fillId="4" borderId="69" xfId="4430" applyNumberFormat="1" applyFont="1" applyFill="1" applyBorder="1" applyAlignment="1">
      <alignment vertical="center"/>
    </xf>
    <xf numFmtId="0" fontId="128" fillId="4" borderId="69" xfId="4430" applyNumberFormat="1" applyFont="1" applyFill="1" applyBorder="1" applyAlignment="1">
      <alignment vertical="center"/>
    </xf>
    <xf numFmtId="0" fontId="128" fillId="4" borderId="5" xfId="4430" applyNumberFormat="1" applyFont="1" applyFill="1" applyBorder="1" applyAlignment="1">
      <alignment horizontal="center" vertical="center"/>
    </xf>
    <xf numFmtId="0" fontId="128" fillId="4" borderId="5" xfId="4430" applyNumberFormat="1" applyFont="1" applyFill="1" applyBorder="1" applyAlignment="1">
      <alignment horizontal="center" vertical="center" wrapText="1"/>
    </xf>
    <xf numFmtId="0" fontId="128" fillId="4" borderId="61" xfId="4430" applyNumberFormat="1" applyFont="1" applyFill="1" applyBorder="1" applyAlignment="1">
      <alignment horizontal="left" vertical="center"/>
    </xf>
    <xf numFmtId="0" fontId="128" fillId="4" borderId="62" xfId="4430" applyNumberFormat="1" applyFont="1" applyFill="1" applyBorder="1" applyAlignment="1">
      <alignment horizontal="left" vertical="center"/>
    </xf>
    <xf numFmtId="0" fontId="128" fillId="4" borderId="62" xfId="4430" applyNumberFormat="1" applyFont="1" applyFill="1" applyBorder="1" applyAlignment="1">
      <alignment horizontal="left" vertical="center" wrapText="1"/>
    </xf>
    <xf numFmtId="0" fontId="128" fillId="4" borderId="62" xfId="4430" applyNumberFormat="1" applyFont="1" applyFill="1" applyBorder="1" applyAlignment="1">
      <alignment horizontal="right" vertical="center"/>
    </xf>
    <xf numFmtId="0" fontId="128" fillId="4" borderId="62" xfId="4430" applyNumberFormat="1" applyFont="1" applyFill="1" applyBorder="1" applyAlignment="1">
      <alignment horizontal="center" vertical="center"/>
    </xf>
    <xf numFmtId="0" fontId="128" fillId="4" borderId="37" xfId="4430" applyNumberFormat="1" applyFont="1" applyFill="1" applyBorder="1" applyAlignment="1">
      <alignment vertical="center"/>
    </xf>
    <xf numFmtId="0" fontId="128" fillId="4" borderId="41" xfId="4430" applyNumberFormat="1" applyFont="1" applyFill="1" applyBorder="1" applyAlignment="1">
      <alignment horizontal="left" vertical="center"/>
    </xf>
    <xf numFmtId="0" fontId="128" fillId="4" borderId="69" xfId="4430" applyNumberFormat="1" applyFont="1" applyFill="1" applyBorder="1" applyAlignment="1">
      <alignment vertical="center" wrapText="1"/>
    </xf>
    <xf numFmtId="0" fontId="2" fillId="0" borderId="36" xfId="4612" applyNumberFormat="1" applyFont="1" applyFill="1" applyBorder="1" applyAlignment="1">
      <alignment horizontal="center" vertical="center"/>
    </xf>
    <xf numFmtId="0" fontId="35" fillId="0" borderId="36" xfId="4612" applyNumberFormat="1" applyFont="1" applyFill="1" applyBorder="1" applyAlignment="1">
      <alignment horizontal="center" vertical="center" wrapText="1"/>
    </xf>
    <xf numFmtId="0" fontId="2" fillId="0" borderId="36" xfId="7196" applyNumberFormat="1" applyFont="1" applyFill="1" applyBorder="1" applyAlignment="1">
      <alignment horizontal="center" vertical="center" wrapText="1"/>
    </xf>
    <xf numFmtId="0" fontId="2" fillId="0" borderId="36" xfId="4612" applyNumberFormat="1" applyFont="1" applyFill="1" applyBorder="1" applyAlignment="1">
      <alignment horizontal="center" vertical="center" wrapText="1"/>
    </xf>
    <xf numFmtId="0" fontId="35" fillId="0" borderId="36" xfId="7196" applyNumberFormat="1" applyFont="1" applyFill="1" applyBorder="1" applyAlignment="1">
      <alignment horizontal="center" vertical="center" wrapText="1"/>
    </xf>
    <xf numFmtId="0" fontId="2" fillId="0" borderId="36" xfId="9241" applyNumberFormat="1" applyFont="1" applyFill="1" applyBorder="1" applyAlignment="1">
      <alignment horizontal="center" vertical="center" wrapText="1"/>
    </xf>
    <xf numFmtId="0" fontId="4" fillId="4" borderId="36" xfId="0" applyNumberFormat="1" applyFont="1" applyFill="1" applyBorder="1" applyAlignment="1">
      <alignment horizontal="center" vertical="center"/>
    </xf>
    <xf numFmtId="0" fontId="35" fillId="4" borderId="36" xfId="0" applyNumberFormat="1" applyFont="1" applyFill="1" applyBorder="1" applyAlignment="1">
      <alignment horizontal="center" vertical="center" wrapText="1"/>
    </xf>
    <xf numFmtId="0" fontId="2" fillId="4" borderId="36" xfId="0" applyNumberFormat="1" applyFont="1" applyFill="1" applyBorder="1" applyAlignment="1">
      <alignment horizontal="center" vertical="center" wrapText="1"/>
    </xf>
    <xf numFmtId="0" fontId="2" fillId="0" borderId="36" xfId="0" applyNumberFormat="1" applyFont="1" applyFill="1" applyBorder="1" applyAlignment="1">
      <alignment horizontal="center" vertical="center" wrapText="1"/>
    </xf>
    <xf numFmtId="0" fontId="35" fillId="0" borderId="36" xfId="0" applyNumberFormat="1" applyFont="1" applyFill="1" applyBorder="1" applyAlignment="1">
      <alignment horizontal="center" vertical="center" wrapText="1"/>
    </xf>
    <xf numFmtId="0" fontId="118" fillId="4" borderId="36" xfId="0" applyNumberFormat="1" applyFont="1" applyFill="1" applyBorder="1" applyAlignment="1">
      <alignment horizontal="center" vertical="center" wrapText="1"/>
    </xf>
    <xf numFmtId="0" fontId="82" fillId="4" borderId="53" xfId="4430" applyNumberFormat="1" applyFont="1" applyFill="1" applyBorder="1" applyAlignment="1">
      <alignment horizontal="left" vertical="center"/>
    </xf>
    <xf numFmtId="0" fontId="128" fillId="4" borderId="42" xfId="4430" applyNumberFormat="1" applyFont="1" applyFill="1" applyBorder="1" applyAlignment="1">
      <alignment horizontal="center" vertical="center"/>
    </xf>
    <xf numFmtId="0" fontId="128" fillId="4" borderId="51" xfId="4430" applyNumberFormat="1" applyFont="1" applyFill="1" applyBorder="1" applyAlignment="1">
      <alignment horizontal="center" vertical="center" wrapText="1"/>
    </xf>
    <xf numFmtId="0" fontId="128" fillId="4" borderId="55" xfId="4430" applyNumberFormat="1" applyFont="1" applyFill="1" applyBorder="1" applyAlignment="1">
      <alignment horizontal="left" vertical="center" wrapText="1"/>
    </xf>
    <xf numFmtId="0" fontId="82" fillId="4" borderId="56" xfId="4430" applyNumberFormat="1" applyFont="1" applyFill="1" applyBorder="1" applyAlignment="1">
      <alignment horizontal="left" vertical="center"/>
    </xf>
    <xf numFmtId="0" fontId="82" fillId="4" borderId="57" xfId="4430" applyNumberFormat="1" applyFont="1" applyFill="1" applyBorder="1" applyAlignment="1">
      <alignment horizontal="right" vertical="center"/>
    </xf>
    <xf numFmtId="0" fontId="128" fillId="4" borderId="36" xfId="4430" applyNumberFormat="1" applyFont="1" applyFill="1" applyBorder="1" applyAlignment="1">
      <alignment horizontal="right" vertical="center" shrinkToFit="1"/>
    </xf>
    <xf numFmtId="0" fontId="82" fillId="4" borderId="36" xfId="0" applyNumberFormat="1" applyFont="1" applyFill="1" applyBorder="1" applyAlignment="1">
      <alignment vertical="center"/>
    </xf>
    <xf numFmtId="0" fontId="82" fillId="4" borderId="36" xfId="0" applyNumberFormat="1" applyFont="1" applyFill="1" applyBorder="1" applyAlignment="1">
      <alignment horizontal="center" vertical="center"/>
    </xf>
    <xf numFmtId="0" fontId="82" fillId="4" borderId="41" xfId="4430" applyNumberFormat="1" applyFont="1" applyFill="1" applyBorder="1" applyAlignment="1">
      <alignment horizontal="left" vertical="center" wrapText="1"/>
    </xf>
    <xf numFmtId="0" fontId="128" fillId="4" borderId="59" xfId="4430" applyNumberFormat="1" applyFont="1" applyFill="1" applyBorder="1" applyAlignment="1">
      <alignment horizontal="center" vertical="center" wrapText="1"/>
    </xf>
    <xf numFmtId="0" fontId="128" fillId="4" borderId="5" xfId="4430" applyNumberFormat="1" applyFont="1" applyFill="1" applyBorder="1" applyAlignment="1">
      <alignment horizontal="left" vertical="center"/>
    </xf>
    <xf numFmtId="0" fontId="128" fillId="4" borderId="5" xfId="4430" applyNumberFormat="1" applyFont="1" applyFill="1" applyBorder="1" applyAlignment="1">
      <alignment horizontal="left" vertical="center" wrapText="1"/>
    </xf>
    <xf numFmtId="0" fontId="128" fillId="4" borderId="5" xfId="4430" applyNumberFormat="1" applyFont="1" applyFill="1" applyBorder="1" applyAlignment="1">
      <alignment horizontal="right" vertical="center"/>
    </xf>
    <xf numFmtId="0" fontId="128" fillId="4" borderId="47" xfId="4430" applyNumberFormat="1" applyFont="1" applyFill="1" applyBorder="1" applyAlignment="1">
      <alignment horizontal="right" vertical="center"/>
    </xf>
    <xf numFmtId="0" fontId="128" fillId="4" borderId="51" xfId="0" applyNumberFormat="1" applyFont="1" applyFill="1" applyBorder="1" applyAlignment="1">
      <alignment horizontal="right" vertical="center"/>
    </xf>
    <xf numFmtId="0" fontId="128" fillId="4" borderId="36" xfId="0" applyNumberFormat="1" applyFont="1" applyFill="1" applyBorder="1" applyAlignment="1">
      <alignment horizontal="right" vertical="center"/>
    </xf>
    <xf numFmtId="0" fontId="0" fillId="4" borderId="0" xfId="0" applyNumberFormat="1" applyFill="1">
      <alignment vertical="center"/>
    </xf>
    <xf numFmtId="0" fontId="30" fillId="4" borderId="36" xfId="0" applyNumberFormat="1" applyFont="1" applyFill="1" applyBorder="1">
      <alignment vertical="center"/>
    </xf>
    <xf numFmtId="0" fontId="82" fillId="4" borderId="65" xfId="4430" applyNumberFormat="1" applyFont="1" applyFill="1" applyBorder="1" applyAlignment="1">
      <alignment horizontal="right" vertical="center" wrapText="1"/>
    </xf>
    <xf numFmtId="0" fontId="82" fillId="4" borderId="36" xfId="4685" applyNumberFormat="1" applyFont="1" applyFill="1" applyBorder="1" applyAlignment="1">
      <alignment horizontal="left" vertical="center" wrapText="1"/>
    </xf>
    <xf numFmtId="0" fontId="82" fillId="4" borderId="31" xfId="4430" applyNumberFormat="1" applyFont="1" applyFill="1" applyBorder="1" applyAlignment="1">
      <alignment vertical="center"/>
    </xf>
    <xf numFmtId="0" fontId="30" fillId="4" borderId="0" xfId="0" applyNumberFormat="1" applyFont="1" applyFill="1" applyAlignment="1">
      <alignment horizontal="left" vertical="center"/>
    </xf>
    <xf numFmtId="0" fontId="128" fillId="4" borderId="36" xfId="4430" applyNumberFormat="1" applyFont="1" applyFill="1" applyBorder="1" applyAlignment="1">
      <alignment vertical="center"/>
    </xf>
    <xf numFmtId="0" fontId="30" fillId="4" borderId="36" xfId="0" applyNumberFormat="1" applyFont="1" applyFill="1" applyBorder="1" applyAlignment="1">
      <alignment horizontal="left" vertical="center"/>
    </xf>
    <xf numFmtId="0" fontId="128" fillId="4" borderId="36" xfId="4430" applyNumberFormat="1" applyFont="1" applyFill="1" applyBorder="1" applyAlignment="1">
      <alignment vertical="center" wrapText="1"/>
    </xf>
    <xf numFmtId="0" fontId="117" fillId="4" borderId="50" xfId="9238" applyNumberFormat="1" applyFont="1" applyFill="1" applyBorder="1" applyAlignment="1">
      <alignment horizontal="center" vertical="center" wrapText="1"/>
    </xf>
    <xf numFmtId="0" fontId="117" fillId="4" borderId="50" xfId="9238" applyNumberFormat="1" applyFont="1" applyFill="1" applyBorder="1" applyAlignment="1">
      <alignment horizontal="right" vertical="center" wrapText="1"/>
    </xf>
    <xf numFmtId="0" fontId="4" fillId="4" borderId="81" xfId="9238" applyNumberFormat="1" applyFont="1" applyFill="1" applyBorder="1" applyAlignment="1">
      <alignment horizontal="center" vertical="center"/>
    </xf>
    <xf numFmtId="0" fontId="118" fillId="4" borderId="50" xfId="9238" applyNumberFormat="1" applyFont="1" applyFill="1" applyBorder="1" applyAlignment="1">
      <alignment horizontal="left" vertical="center" wrapText="1"/>
    </xf>
    <xf numFmtId="0" fontId="118" fillId="4" borderId="81" xfId="9238" applyNumberFormat="1" applyFont="1" applyFill="1" applyBorder="1" applyAlignment="1">
      <alignment horizontal="center" vertical="center"/>
    </xf>
    <xf numFmtId="0" fontId="23" fillId="4" borderId="81" xfId="9238" applyNumberFormat="1" applyFont="1" applyFill="1" applyBorder="1" applyAlignment="1">
      <alignment horizontal="center" vertical="center"/>
    </xf>
    <xf numFmtId="0" fontId="23" fillId="4" borderId="50" xfId="9238" applyNumberFormat="1" applyFont="1" applyFill="1" applyBorder="1" applyAlignment="1">
      <alignment horizontal="left" vertical="center" wrapText="1"/>
    </xf>
    <xf numFmtId="0" fontId="4" fillId="4" borderId="36" xfId="9238" applyNumberFormat="1" applyFont="1" applyFill="1" applyBorder="1" applyAlignment="1">
      <alignment horizontal="center" vertical="center"/>
    </xf>
    <xf numFmtId="0" fontId="117" fillId="4" borderId="81" xfId="9238" applyNumberFormat="1" applyFont="1" applyFill="1" applyBorder="1" applyAlignment="1">
      <alignment horizontal="center" vertical="center"/>
    </xf>
    <xf numFmtId="0" fontId="117" fillId="4" borderId="50" xfId="9238" applyNumberFormat="1" applyFont="1" applyFill="1" applyBorder="1" applyAlignment="1">
      <alignment horizontal="right" vertical="center"/>
    </xf>
    <xf numFmtId="0" fontId="23" fillId="4" borderId="50" xfId="9238" applyNumberFormat="1" applyFont="1" applyFill="1" applyBorder="1" applyAlignment="1">
      <alignment horizontal="right" vertical="center"/>
    </xf>
    <xf numFmtId="0" fontId="118" fillId="4" borderId="36" xfId="9238" applyNumberFormat="1" applyFont="1" applyFill="1" applyBorder="1" applyAlignment="1">
      <alignment horizontal="center" vertical="center"/>
    </xf>
    <xf numFmtId="0" fontId="118" fillId="4" borderId="50" xfId="9238" applyNumberFormat="1" applyFont="1" applyFill="1" applyBorder="1" applyAlignment="1">
      <alignment horizontal="justify" vertical="center" wrapText="1"/>
    </xf>
    <xf numFmtId="0" fontId="117" fillId="4" borderId="50" xfId="9238" applyNumberFormat="1" applyFont="1" applyFill="1" applyBorder="1" applyAlignment="1">
      <alignment horizontal="left" vertical="center" wrapText="1"/>
    </xf>
    <xf numFmtId="0" fontId="4" fillId="4" borderId="50" xfId="9238" applyNumberFormat="1" applyFont="1" applyFill="1" applyBorder="1" applyAlignment="1">
      <alignment horizontal="justify" vertical="center" wrapText="1"/>
    </xf>
    <xf numFmtId="0" fontId="23" fillId="4" borderId="50" xfId="9238" applyNumberFormat="1" applyFont="1" applyFill="1" applyBorder="1" applyAlignment="1">
      <alignment horizontal="center" vertical="center"/>
    </xf>
    <xf numFmtId="0" fontId="4" fillId="4" borderId="82" xfId="9238" applyNumberFormat="1" applyFont="1" applyFill="1" applyBorder="1" applyAlignment="1">
      <alignment horizontal="left" vertical="center" wrapText="1"/>
    </xf>
    <xf numFmtId="0" fontId="23" fillId="4" borderId="6" xfId="9238" applyNumberFormat="1" applyFont="1" applyFill="1" applyBorder="1" applyAlignment="1">
      <alignment horizontal="right" vertical="center"/>
    </xf>
    <xf numFmtId="0" fontId="23" fillId="4" borderId="82" xfId="9238" applyNumberFormat="1" applyFont="1" applyFill="1" applyBorder="1" applyAlignment="1">
      <alignment horizontal="left" vertical="center" wrapText="1"/>
    </xf>
    <xf numFmtId="0" fontId="118" fillId="4" borderId="36" xfId="9238" applyNumberFormat="1" applyFont="1" applyFill="1" applyBorder="1" applyAlignment="1">
      <alignment vertical="center" wrapText="1"/>
    </xf>
    <xf numFmtId="0" fontId="117" fillId="4" borderId="50" xfId="9238" applyNumberFormat="1" applyFont="1" applyFill="1" applyBorder="1" applyAlignment="1">
      <alignment horizontal="center" vertical="center"/>
    </xf>
    <xf numFmtId="0" fontId="117" fillId="4" borderId="82" xfId="9238" applyNumberFormat="1" applyFont="1" applyFill="1" applyBorder="1" applyAlignment="1">
      <alignment horizontal="left" vertical="center" wrapText="1"/>
    </xf>
    <xf numFmtId="0" fontId="4" fillId="4" borderId="81" xfId="9238" applyNumberFormat="1" applyFont="1" applyFill="1" applyBorder="1" applyAlignment="1">
      <alignment horizontal="left" vertical="center" wrapText="1"/>
    </xf>
    <xf numFmtId="0" fontId="4" fillId="4" borderId="50" xfId="9238" applyNumberFormat="1" applyFont="1" applyFill="1" applyBorder="1" applyAlignment="1">
      <alignment horizontal="left" vertical="center" wrapText="1"/>
    </xf>
    <xf numFmtId="0" fontId="23" fillId="4" borderId="81" xfId="9238" applyNumberFormat="1" applyFont="1" applyFill="1" applyBorder="1" applyAlignment="1">
      <alignment horizontal="left" vertical="center" wrapText="1"/>
    </xf>
    <xf numFmtId="0" fontId="118" fillId="4" borderId="47" xfId="9238" applyNumberFormat="1" applyFont="1" applyFill="1" applyBorder="1" applyAlignment="1">
      <alignment horizontal="center" vertical="center"/>
    </xf>
    <xf numFmtId="0" fontId="117" fillId="4" borderId="83" xfId="9238" applyNumberFormat="1" applyFont="1" applyFill="1" applyBorder="1" applyAlignment="1">
      <alignment horizontal="center" vertical="center"/>
    </xf>
    <xf numFmtId="0" fontId="118" fillId="4" borderId="83" xfId="9238" applyNumberFormat="1" applyFont="1" applyFill="1" applyBorder="1" applyAlignment="1">
      <alignment horizontal="center" vertical="center"/>
    </xf>
    <xf numFmtId="0" fontId="117" fillId="4" borderId="82" xfId="9238" applyNumberFormat="1" applyFont="1" applyFill="1" applyBorder="1" applyAlignment="1">
      <alignment horizontal="center" vertical="center"/>
    </xf>
    <xf numFmtId="0" fontId="4" fillId="4" borderId="82" xfId="9238" applyNumberFormat="1" applyFont="1" applyFill="1" applyBorder="1" applyAlignment="1">
      <alignment horizontal="center" vertical="center"/>
    </xf>
    <xf numFmtId="0" fontId="118" fillId="4" borderId="36" xfId="4687" applyNumberFormat="1" applyFont="1" applyFill="1" applyBorder="1" applyAlignment="1">
      <alignment vertical="center" wrapText="1"/>
    </xf>
    <xf numFmtId="0" fontId="23" fillId="4" borderId="83" xfId="9238" applyNumberFormat="1" applyFont="1" applyFill="1" applyBorder="1" applyAlignment="1">
      <alignment horizontal="center" vertical="center"/>
    </xf>
    <xf numFmtId="0" fontId="23" fillId="4" borderId="81" xfId="9239" applyNumberFormat="1" applyFont="1" applyFill="1" applyBorder="1" applyAlignment="1">
      <alignment horizontal="left" vertical="center" wrapText="1"/>
    </xf>
    <xf numFmtId="0" fontId="4" fillId="4" borderId="41" xfId="9238" applyNumberFormat="1" applyFont="1" applyFill="1" applyBorder="1" applyAlignment="1">
      <alignment horizontal="center" vertical="center"/>
    </xf>
    <xf numFmtId="0" fontId="118" fillId="4" borderId="36" xfId="9242" applyNumberFormat="1" applyFont="1" applyFill="1" applyBorder="1" applyAlignment="1">
      <alignment vertical="center" wrapText="1"/>
    </xf>
    <xf numFmtId="0" fontId="23" fillId="4" borderId="50" xfId="9238" applyNumberFormat="1" applyFont="1" applyFill="1" applyBorder="1" applyAlignment="1">
      <alignment horizontal="center" vertical="center" wrapText="1"/>
    </xf>
    <xf numFmtId="0" fontId="4" fillId="4" borderId="36" xfId="9240" applyNumberFormat="1" applyFont="1" applyFill="1" applyBorder="1" applyAlignment="1">
      <alignment vertical="center" wrapText="1"/>
    </xf>
    <xf numFmtId="0" fontId="23" fillId="4" borderId="50" xfId="9238" applyNumberFormat="1" applyFont="1" applyFill="1" applyBorder="1" applyAlignment="1">
      <alignment horizontal="justify" vertical="center" wrapText="1"/>
    </xf>
    <xf numFmtId="0" fontId="4" fillId="4" borderId="36" xfId="9239" applyNumberFormat="1" applyFont="1" applyFill="1" applyBorder="1" applyAlignment="1">
      <alignment horizontal="left" vertical="center" wrapText="1"/>
    </xf>
    <xf numFmtId="0" fontId="122" fillId="4" borderId="36" xfId="4612" applyNumberFormat="1" applyFont="1" applyFill="1" applyBorder="1" applyAlignment="1">
      <alignment vertical="center"/>
    </xf>
    <xf numFmtId="0" fontId="23" fillId="4" borderId="36" xfId="9238" applyNumberFormat="1" applyFont="1" applyFill="1" applyBorder="1" applyAlignment="1">
      <alignment vertical="center"/>
    </xf>
    <xf numFmtId="0" fontId="82" fillId="0" borderId="36" xfId="0" applyNumberFormat="1" applyFont="1" applyFill="1" applyBorder="1" applyAlignment="1">
      <alignment vertical="center" wrapText="1"/>
    </xf>
    <xf numFmtId="0" fontId="128" fillId="0" borderId="36" xfId="4430" applyNumberFormat="1" applyFont="1" applyFill="1" applyBorder="1" applyAlignment="1">
      <alignment horizontal="left" vertical="center" wrapText="1"/>
    </xf>
    <xf numFmtId="0" fontId="128" fillId="0" borderId="36" xfId="0" applyNumberFormat="1" applyFont="1" applyFill="1" applyBorder="1">
      <alignment vertical="center"/>
    </xf>
    <xf numFmtId="0" fontId="82" fillId="0" borderId="36" xfId="4430" applyNumberFormat="1" applyFont="1" applyFill="1" applyBorder="1" applyAlignment="1">
      <alignment horizontal="left" vertical="center"/>
    </xf>
    <xf numFmtId="0" fontId="82" fillId="0" borderId="36" xfId="0" applyNumberFormat="1" applyFont="1" applyFill="1" applyBorder="1" applyAlignment="1">
      <alignment horizontal="center" vertical="center"/>
    </xf>
    <xf numFmtId="0" fontId="82" fillId="0" borderId="36" xfId="0" applyNumberFormat="1" applyFont="1" applyFill="1" applyBorder="1" applyAlignment="1">
      <alignment horizontal="left" vertical="center" wrapText="1"/>
    </xf>
    <xf numFmtId="0" fontId="82" fillId="0" borderId="36" xfId="4430" applyNumberFormat="1" applyFont="1" applyFill="1" applyBorder="1" applyAlignment="1">
      <alignment horizontal="right" vertical="center"/>
    </xf>
    <xf numFmtId="0" fontId="128" fillId="0" borderId="36" xfId="4430" applyNumberFormat="1" applyFont="1" applyFill="1" applyBorder="1" applyAlignment="1">
      <alignment horizontal="left" vertical="center"/>
    </xf>
    <xf numFmtId="0" fontId="82" fillId="0" borderId="36" xfId="0" applyNumberFormat="1" applyFont="1" applyFill="1" applyBorder="1" applyAlignment="1">
      <alignment horizontal="center" vertical="center" wrapText="1"/>
    </xf>
    <xf numFmtId="0" fontId="123" fillId="0" borderId="0" xfId="0" applyNumberFormat="1" applyFont="1" applyFill="1">
      <alignment vertical="center"/>
    </xf>
    <xf numFmtId="0" fontId="123" fillId="0" borderId="0" xfId="0" applyNumberFormat="1" applyFont="1" applyFill="1" applyAlignment="1">
      <alignment horizontal="center" vertical="center"/>
    </xf>
    <xf numFmtId="0" fontId="123" fillId="0" borderId="0" xfId="0" applyNumberFormat="1" applyFont="1" applyFill="1" applyAlignment="1">
      <alignment horizontal="left" vertical="center"/>
    </xf>
    <xf numFmtId="0" fontId="123" fillId="0" borderId="0" xfId="0" applyNumberFormat="1" applyFont="1" applyFill="1" applyAlignment="1">
      <alignment horizontal="right" vertical="center"/>
    </xf>
    <xf numFmtId="0" fontId="117" fillId="4" borderId="31" xfId="9238" applyNumberFormat="1" applyFont="1" applyFill="1" applyBorder="1" applyAlignment="1">
      <alignment horizontal="center" vertical="center" wrapText="1"/>
    </xf>
    <xf numFmtId="0" fontId="117" fillId="4" borderId="39" xfId="9238" applyNumberFormat="1" applyFont="1" applyFill="1" applyBorder="1" applyAlignment="1">
      <alignment horizontal="center" vertical="center" wrapText="1"/>
    </xf>
    <xf numFmtId="182" fontId="23" fillId="0" borderId="36" xfId="0" applyFont="1" applyFill="1" applyBorder="1" applyAlignment="1">
      <alignment vertical="center" wrapText="1"/>
    </xf>
    <xf numFmtId="179" fontId="117" fillId="4" borderId="31" xfId="9238" applyNumberFormat="1" applyFont="1" applyFill="1" applyBorder="1" applyAlignment="1">
      <alignment horizontal="center" vertical="center" wrapText="1"/>
    </xf>
    <xf numFmtId="179" fontId="117" fillId="4" borderId="36" xfId="4687" applyNumberFormat="1" applyFont="1" applyFill="1" applyBorder="1" applyAlignment="1">
      <alignment horizontal="center" vertical="center" wrapText="1"/>
    </xf>
    <xf numFmtId="179" fontId="23" fillId="4" borderId="36" xfId="9238" applyNumberFormat="1" applyFont="1" applyFill="1" applyBorder="1" applyAlignment="1">
      <alignment horizontal="center" vertical="center"/>
    </xf>
    <xf numFmtId="179" fontId="117" fillId="4" borderId="36" xfId="9238" applyNumberFormat="1" applyFont="1" applyFill="1" applyBorder="1" applyAlignment="1">
      <alignment horizontal="center" vertical="center"/>
    </xf>
    <xf numFmtId="0" fontId="23" fillId="4" borderId="85" xfId="9238" applyNumberFormat="1" applyFont="1" applyFill="1" applyBorder="1" applyAlignment="1">
      <alignment horizontal="center" vertical="center"/>
    </xf>
    <xf numFmtId="0" fontId="117" fillId="4" borderId="85" xfId="9238" applyNumberFormat="1" applyFont="1" applyFill="1" applyBorder="1" applyAlignment="1">
      <alignment horizontal="center" vertical="center"/>
    </xf>
    <xf numFmtId="182" fontId="23" fillId="4" borderId="36" xfId="4687" applyNumberFormat="1" applyFont="1" applyFill="1" applyBorder="1" applyAlignment="1">
      <alignment vertical="center"/>
    </xf>
    <xf numFmtId="179" fontId="117" fillId="4" borderId="31" xfId="9238" applyNumberFormat="1" applyFont="1" applyFill="1" applyBorder="1" applyAlignment="1">
      <alignment horizontal="center" vertical="center"/>
    </xf>
    <xf numFmtId="179" fontId="23" fillId="4" borderId="31" xfId="9238" applyNumberFormat="1" applyFont="1" applyFill="1" applyBorder="1" applyAlignment="1">
      <alignment horizontal="center" vertical="center"/>
    </xf>
    <xf numFmtId="0" fontId="23" fillId="4" borderId="86" xfId="9238" applyNumberFormat="1" applyFont="1" applyFill="1" applyBorder="1" applyAlignment="1">
      <alignment horizontal="left" vertical="center" wrapText="1"/>
    </xf>
    <xf numFmtId="0" fontId="117" fillId="4" borderId="86" xfId="9238" applyNumberFormat="1" applyFont="1" applyFill="1" applyBorder="1" applyAlignment="1">
      <alignment horizontal="left" vertical="center" wrapText="1"/>
    </xf>
    <xf numFmtId="0" fontId="23" fillId="4" borderId="85" xfId="9238" applyNumberFormat="1" applyFont="1" applyFill="1" applyBorder="1" applyAlignment="1">
      <alignment horizontal="left" vertical="center" wrapText="1"/>
    </xf>
    <xf numFmtId="179" fontId="23" fillId="4" borderId="36" xfId="8905" applyNumberFormat="1" applyFont="1" applyFill="1" applyBorder="1" applyAlignment="1">
      <alignment horizontal="center" vertical="center" wrapText="1"/>
    </xf>
    <xf numFmtId="0" fontId="117" fillId="4" borderId="42" xfId="9238" applyNumberFormat="1" applyFont="1" applyFill="1" applyBorder="1" applyAlignment="1">
      <alignment horizontal="center" vertical="center"/>
    </xf>
    <xf numFmtId="0" fontId="117" fillId="4" borderId="86" xfId="9238" applyNumberFormat="1" applyFont="1" applyFill="1" applyBorder="1" applyAlignment="1">
      <alignment horizontal="center" vertical="center"/>
    </xf>
    <xf numFmtId="0" fontId="23" fillId="4" borderId="86" xfId="9238" applyNumberFormat="1" applyFont="1" applyFill="1" applyBorder="1" applyAlignment="1">
      <alignment horizontal="center" vertical="center"/>
    </xf>
    <xf numFmtId="0" fontId="23" fillId="4" borderId="42" xfId="9238" applyNumberFormat="1" applyFont="1" applyFill="1" applyBorder="1" applyAlignment="1">
      <alignment horizontal="center" vertical="center"/>
    </xf>
    <xf numFmtId="0" fontId="23" fillId="4" borderId="85" xfId="9239" applyNumberFormat="1" applyFont="1" applyFill="1" applyBorder="1" applyAlignment="1">
      <alignment horizontal="left" vertical="center" wrapText="1"/>
    </xf>
    <xf numFmtId="179" fontId="23" fillId="4" borderId="36" xfId="9208" applyNumberFormat="1" applyFont="1" applyFill="1" applyBorder="1" applyAlignment="1">
      <alignment horizontal="center" vertical="center"/>
    </xf>
    <xf numFmtId="177" fontId="23" fillId="4" borderId="36" xfId="9238" applyNumberFormat="1" applyFont="1" applyFill="1" applyBorder="1" applyAlignment="1">
      <alignment horizontal="center" vertical="center"/>
    </xf>
    <xf numFmtId="0" fontId="23" fillId="4" borderId="87" xfId="9239" applyNumberFormat="1" applyFont="1" applyFill="1" applyBorder="1" applyAlignment="1">
      <alignment horizontal="left" vertical="center" wrapText="1"/>
    </xf>
    <xf numFmtId="177" fontId="117" fillId="4" borderId="31" xfId="9238" applyNumberFormat="1" applyFont="1" applyFill="1" applyBorder="1" applyAlignment="1">
      <alignment horizontal="center" vertical="center" wrapText="1"/>
    </xf>
    <xf numFmtId="177" fontId="117" fillId="4" borderId="36" xfId="4687" applyNumberFormat="1" applyFont="1" applyFill="1" applyBorder="1" applyAlignment="1">
      <alignment horizontal="right" vertical="center" wrapText="1"/>
    </xf>
    <xf numFmtId="177" fontId="117" fillId="4" borderId="31" xfId="9238" applyNumberFormat="1" applyFont="1" applyFill="1" applyBorder="1" applyAlignment="1">
      <alignment horizontal="right" vertical="center" wrapText="1"/>
    </xf>
    <xf numFmtId="177" fontId="23" fillId="4" borderId="36" xfId="9238" applyNumberFormat="1" applyFont="1" applyFill="1" applyBorder="1" applyAlignment="1">
      <alignment horizontal="right" vertical="center"/>
    </xf>
    <xf numFmtId="177" fontId="117" fillId="4" borderId="36" xfId="9238" applyNumberFormat="1" applyFont="1" applyFill="1" applyBorder="1" applyAlignment="1">
      <alignment horizontal="right" vertical="center"/>
    </xf>
    <xf numFmtId="179" fontId="23" fillId="4" borderId="36" xfId="9238" applyNumberFormat="1" applyFont="1" applyFill="1" applyBorder="1" applyAlignment="1">
      <alignment horizontal="right" vertical="center"/>
    </xf>
    <xf numFmtId="177" fontId="117" fillId="4" borderId="31" xfId="9238" applyNumberFormat="1" applyFont="1" applyFill="1" applyBorder="1" applyAlignment="1">
      <alignment horizontal="right" vertical="center"/>
    </xf>
    <xf numFmtId="177" fontId="23" fillId="4" borderId="31" xfId="9238" applyNumberFormat="1" applyFont="1" applyFill="1" applyBorder="1" applyAlignment="1">
      <alignment horizontal="right" vertical="center"/>
    </xf>
    <xf numFmtId="177" fontId="23" fillId="4" borderId="36" xfId="8905" applyNumberFormat="1" applyFont="1" applyFill="1" applyBorder="1" applyAlignment="1">
      <alignment horizontal="right" vertical="center" wrapText="1"/>
    </xf>
    <xf numFmtId="0" fontId="3" fillId="0" borderId="0" xfId="4430" applyNumberFormat="1" applyFont="1"/>
    <xf numFmtId="0" fontId="32" fillId="4" borderId="1" xfId="4430" applyNumberFormat="1" applyFont="1" applyFill="1" applyBorder="1" applyAlignment="1">
      <alignment horizontal="center" vertical="center"/>
    </xf>
    <xf numFmtId="0" fontId="29" fillId="4" borderId="1" xfId="4430" applyNumberFormat="1" applyFont="1" applyFill="1" applyBorder="1" applyAlignment="1">
      <alignment horizontal="center" vertical="center"/>
    </xf>
    <xf numFmtId="0" fontId="32" fillId="4" borderId="1" xfId="4430" applyNumberFormat="1" applyFont="1" applyFill="1" applyBorder="1" applyAlignment="1">
      <alignment horizontal="center" vertical="center" wrapText="1"/>
    </xf>
    <xf numFmtId="0" fontId="29" fillId="4" borderId="1" xfId="4430" applyNumberFormat="1" applyFont="1" applyFill="1" applyBorder="1" applyAlignment="1">
      <alignment horizontal="center" vertical="center" wrapText="1"/>
    </xf>
    <xf numFmtId="184" fontId="29" fillId="4" borderId="1" xfId="4430" applyNumberFormat="1" applyFont="1" applyFill="1" applyBorder="1" applyAlignment="1">
      <alignment horizontal="center" vertical="center"/>
    </xf>
    <xf numFmtId="184" fontId="29" fillId="4" borderId="1" xfId="4430" applyNumberFormat="1" applyFont="1" applyFill="1" applyBorder="1" applyAlignment="1">
      <alignment horizontal="center" vertical="center" wrapText="1"/>
    </xf>
    <xf numFmtId="0" fontId="3" fillId="0" borderId="0" xfId="4430" applyNumberFormat="1" applyFont="1" applyAlignment="1">
      <alignment vertical="center"/>
    </xf>
    <xf numFmtId="0" fontId="32" fillId="4" borderId="1" xfId="9207" applyNumberFormat="1" applyFont="1" applyFill="1" applyBorder="1" applyAlignment="1">
      <alignment horizontal="center" vertical="center" wrapText="1"/>
    </xf>
    <xf numFmtId="0" fontId="29" fillId="4" borderId="1" xfId="9207" applyNumberFormat="1" applyFont="1" applyFill="1" applyBorder="1" applyAlignment="1">
      <alignment horizontal="center" vertical="center" wrapText="1"/>
    </xf>
    <xf numFmtId="179" fontId="3" fillId="4" borderId="1" xfId="4430" applyNumberFormat="1" applyFont="1" applyFill="1" applyBorder="1" applyAlignment="1">
      <alignment horizontal="center" vertical="center"/>
    </xf>
    <xf numFmtId="184" fontId="29" fillId="4" borderId="1" xfId="9207" applyNumberFormat="1" applyFont="1" applyFill="1" applyBorder="1" applyAlignment="1">
      <alignment horizontal="center" vertical="center" wrapText="1"/>
    </xf>
    <xf numFmtId="0" fontId="5" fillId="4" borderId="1" xfId="0" applyNumberFormat="1" applyFont="1" applyFill="1" applyBorder="1" applyAlignment="1">
      <alignment horizontal="center" vertical="center" wrapText="1"/>
    </xf>
    <xf numFmtId="176" fontId="100" fillId="4" borderId="1" xfId="0" applyNumberFormat="1" applyFont="1" applyFill="1" applyBorder="1" applyAlignment="1">
      <alignment horizontal="center" vertical="center"/>
    </xf>
    <xf numFmtId="0" fontId="0" fillId="0" borderId="1" xfId="0" applyNumberFormat="1" applyBorder="1" applyAlignment="1">
      <alignment horizontal="center" vertical="center" wrapText="1"/>
    </xf>
    <xf numFmtId="176" fontId="0" fillId="4" borderId="1" xfId="0" applyNumberFormat="1" applyFill="1" applyBorder="1" applyAlignment="1">
      <alignment horizontal="center" vertical="center" wrapText="1"/>
    </xf>
    <xf numFmtId="179" fontId="29" fillId="4" borderId="1" xfId="8909" applyNumberFormat="1" applyFont="1" applyFill="1" applyBorder="1" applyAlignment="1">
      <alignment horizontal="center" vertical="center" wrapText="1"/>
    </xf>
    <xf numFmtId="0" fontId="32" fillId="4" borderId="0" xfId="4430" applyNumberFormat="1" applyFont="1" applyFill="1" applyAlignment="1">
      <alignment horizontal="center" vertical="center"/>
    </xf>
    <xf numFmtId="0" fontId="32" fillId="4" borderId="0" xfId="4430" applyNumberFormat="1" applyFont="1" applyFill="1" applyAlignment="1">
      <alignment horizontal="center" vertical="center" wrapText="1"/>
    </xf>
    <xf numFmtId="184" fontId="32" fillId="4" borderId="0" xfId="4430" applyNumberFormat="1" applyFont="1" applyFill="1" applyAlignment="1">
      <alignment horizontal="center" vertical="center" wrapText="1"/>
    </xf>
    <xf numFmtId="0" fontId="0" fillId="0" borderId="0" xfId="0" applyNumberFormat="1" applyAlignment="1">
      <alignment vertical="center"/>
    </xf>
    <xf numFmtId="0" fontId="3" fillId="0" borderId="36" xfId="0" applyNumberFormat="1" applyFont="1" applyBorder="1" applyAlignment="1">
      <alignment horizontal="center" vertical="center"/>
    </xf>
    <xf numFmtId="0" fontId="30" fillId="0" borderId="31" xfId="0" applyNumberFormat="1" applyFont="1" applyFill="1" applyBorder="1" applyAlignment="1">
      <alignment horizontal="center" vertical="center" wrapText="1"/>
    </xf>
    <xf numFmtId="0" fontId="30" fillId="0" borderId="36" xfId="0" applyNumberFormat="1" applyFont="1" applyFill="1" applyBorder="1" applyAlignment="1">
      <alignment horizontal="center" vertical="center" wrapText="1"/>
    </xf>
    <xf numFmtId="181" fontId="30" fillId="0" borderId="36" xfId="8909" applyFont="1" applyFill="1" applyBorder="1" applyAlignment="1">
      <alignment horizontal="center" vertical="center" wrapText="1"/>
    </xf>
    <xf numFmtId="0" fontId="30" fillId="0" borderId="36" xfId="0" applyNumberFormat="1" applyFont="1" applyBorder="1" applyAlignment="1">
      <alignment horizontal="center" vertical="center" wrapText="1"/>
    </xf>
    <xf numFmtId="0" fontId="30" fillId="0" borderId="36" xfId="9207" applyNumberFormat="1" applyFont="1" applyFill="1" applyBorder="1" applyAlignment="1">
      <alignment horizontal="center" vertical="center" wrapText="1"/>
    </xf>
    <xf numFmtId="184" fontId="30" fillId="0" borderId="36" xfId="9207" applyNumberFormat="1" applyFont="1" applyFill="1" applyBorder="1" applyAlignment="1">
      <alignment horizontal="center" vertical="center" wrapText="1"/>
    </xf>
    <xf numFmtId="184" fontId="30" fillId="0" borderId="36" xfId="0" applyNumberFormat="1" applyFont="1" applyBorder="1" applyAlignment="1">
      <alignment horizontal="center" vertical="center" wrapText="1"/>
    </xf>
    <xf numFmtId="0" fontId="11" fillId="4" borderId="36" xfId="9207" applyNumberFormat="1" applyFont="1" applyFill="1" applyBorder="1" applyAlignment="1">
      <alignment horizontal="center" vertical="center" wrapText="1"/>
    </xf>
    <xf numFmtId="184" fontId="5" fillId="4" borderId="36" xfId="4511" applyNumberFormat="1" applyFont="1" applyFill="1" applyBorder="1" applyAlignment="1">
      <alignment horizontal="center" vertical="center" wrapText="1"/>
    </xf>
    <xf numFmtId="0" fontId="5" fillId="4" borderId="36" xfId="9207" applyNumberFormat="1" applyFont="1" applyFill="1" applyBorder="1" applyAlignment="1">
      <alignment horizontal="center" vertical="center" wrapText="1"/>
    </xf>
    <xf numFmtId="184" fontId="11" fillId="4" borderId="36" xfId="8913" applyNumberFormat="1" applyFont="1" applyFill="1" applyBorder="1" applyAlignment="1">
      <alignment horizontal="center" vertical="center" wrapText="1"/>
    </xf>
    <xf numFmtId="0" fontId="30" fillId="0" borderId="5" xfId="0" applyNumberFormat="1" applyFont="1" applyBorder="1" applyAlignment="1">
      <alignment horizontal="center" vertical="center" wrapText="1"/>
    </xf>
    <xf numFmtId="184" fontId="0" fillId="0" borderId="0" xfId="0" applyNumberFormat="1" applyAlignment="1">
      <alignment vertical="center"/>
    </xf>
    <xf numFmtId="0" fontId="32" fillId="4" borderId="36" xfId="0" applyNumberFormat="1" applyFont="1" applyFill="1" applyBorder="1" applyAlignment="1">
      <alignment horizontal="center" vertical="center"/>
    </xf>
    <xf numFmtId="0" fontId="32" fillId="4" borderId="36" xfId="9207" applyNumberFormat="1" applyFont="1" applyFill="1" applyBorder="1" applyAlignment="1">
      <alignment horizontal="center" vertical="center" wrapText="1"/>
    </xf>
    <xf numFmtId="0" fontId="32" fillId="4" borderId="36" xfId="8909" applyNumberFormat="1" applyFont="1" applyFill="1" applyBorder="1" applyAlignment="1">
      <alignment horizontal="center" vertical="center" wrapText="1"/>
    </xf>
    <xf numFmtId="0" fontId="0" fillId="0" borderId="36" xfId="0" applyNumberFormat="1" applyBorder="1" applyAlignment="1">
      <alignment horizontal="center" vertical="center"/>
    </xf>
    <xf numFmtId="0" fontId="30" fillId="0" borderId="88" xfId="0" applyNumberFormat="1" applyFont="1" applyFill="1" applyBorder="1" applyAlignment="1">
      <alignment horizontal="center" vertical="center" wrapText="1"/>
    </xf>
    <xf numFmtId="184" fontId="138" fillId="0" borderId="36" xfId="0" applyNumberFormat="1" applyFont="1" applyFill="1" applyBorder="1" applyAlignment="1">
      <alignment horizontal="center" vertical="center" shrinkToFit="1"/>
    </xf>
    <xf numFmtId="1" fontId="138" fillId="0" borderId="36" xfId="0" applyNumberFormat="1" applyFont="1" applyFill="1" applyBorder="1" applyAlignment="1">
      <alignment horizontal="center" vertical="center" shrinkToFit="1"/>
    </xf>
    <xf numFmtId="0" fontId="0" fillId="0" borderId="0" xfId="0" applyNumberFormat="1" applyAlignment="1">
      <alignment horizontal="center" vertical="center"/>
    </xf>
    <xf numFmtId="184" fontId="30" fillId="0" borderId="88" xfId="9207" applyNumberFormat="1" applyFont="1" applyFill="1" applyBorder="1" applyAlignment="1">
      <alignment horizontal="center" vertical="center" wrapText="1"/>
    </xf>
    <xf numFmtId="184" fontId="30" fillId="0" borderId="88" xfId="0" applyNumberFormat="1" applyFont="1" applyBorder="1" applyAlignment="1">
      <alignment horizontal="center" vertical="center" wrapText="1"/>
    </xf>
    <xf numFmtId="0" fontId="29" fillId="0" borderId="36" xfId="0" applyNumberFormat="1" applyFont="1" applyBorder="1" applyAlignment="1">
      <alignment horizontal="center" vertical="center"/>
    </xf>
    <xf numFmtId="0" fontId="29" fillId="4" borderId="36" xfId="9207" applyNumberFormat="1" applyFont="1" applyFill="1" applyBorder="1" applyAlignment="1">
      <alignment horizontal="center" vertical="center" wrapText="1"/>
    </xf>
    <xf numFmtId="0" fontId="29" fillId="0" borderId="36" xfId="9207" applyNumberFormat="1" applyFont="1" applyFill="1" applyBorder="1" applyAlignment="1">
      <alignment horizontal="center" vertical="center" wrapText="1"/>
    </xf>
    <xf numFmtId="0" fontId="29" fillId="0" borderId="36" xfId="8909" applyNumberFormat="1" applyFont="1" applyFill="1" applyBorder="1" applyAlignment="1">
      <alignment horizontal="center" vertical="center" wrapText="1"/>
    </xf>
    <xf numFmtId="0" fontId="29" fillId="0" borderId="0" xfId="0" applyNumberFormat="1" applyFont="1" applyAlignment="1">
      <alignment horizontal="center" vertical="center"/>
    </xf>
    <xf numFmtId="0" fontId="29" fillId="4" borderId="36" xfId="0" applyNumberFormat="1" applyFont="1" applyFill="1" applyBorder="1" applyAlignment="1">
      <alignment vertical="center"/>
    </xf>
    <xf numFmtId="0" fontId="30" fillId="0" borderId="36" xfId="9208" applyNumberFormat="1" applyFont="1" applyFill="1" applyBorder="1" applyAlignment="1">
      <alignment horizontal="center" vertical="center" wrapText="1"/>
    </xf>
    <xf numFmtId="0" fontId="30" fillId="4" borderId="36" xfId="9208" applyNumberFormat="1" applyFont="1" applyFill="1" applyBorder="1" applyAlignment="1">
      <alignment horizontal="center" vertical="center" wrapText="1"/>
    </xf>
    <xf numFmtId="184" fontId="30" fillId="0" borderId="36" xfId="8909" applyNumberFormat="1" applyFont="1" applyFill="1" applyBorder="1" applyAlignment="1">
      <alignment horizontal="center" vertical="center" wrapText="1"/>
    </xf>
    <xf numFmtId="0" fontId="43" fillId="0" borderId="0" xfId="0" applyNumberFormat="1" applyFont="1" applyAlignment="1">
      <alignment vertical="center"/>
    </xf>
    <xf numFmtId="184" fontId="30" fillId="4" borderId="36" xfId="8909" applyNumberFormat="1" applyFont="1" applyFill="1" applyBorder="1" applyAlignment="1">
      <alignment horizontal="center" vertical="center" wrapText="1"/>
    </xf>
    <xf numFmtId="184" fontId="127" fillId="0" borderId="36" xfId="0" applyNumberFormat="1" applyFont="1" applyBorder="1" applyAlignment="1">
      <alignment horizontal="center" vertical="center" wrapText="1"/>
    </xf>
    <xf numFmtId="0" fontId="139" fillId="0" borderId="36" xfId="0" applyNumberFormat="1" applyFont="1" applyBorder="1" applyAlignment="1">
      <alignment horizontal="center" vertical="center" wrapText="1"/>
    </xf>
    <xf numFmtId="184" fontId="139" fillId="0" borderId="36" xfId="0" applyNumberFormat="1" applyFont="1" applyBorder="1" applyAlignment="1">
      <alignment horizontal="center" vertical="center" wrapText="1"/>
    </xf>
    <xf numFmtId="0" fontId="30" fillId="0" borderId="0" xfId="0" applyNumberFormat="1" applyFont="1" applyAlignment="1">
      <alignment vertical="center"/>
    </xf>
    <xf numFmtId="0" fontId="30" fillId="0" borderId="0" xfId="0" applyNumberFormat="1" applyFont="1" applyAlignment="1">
      <alignment horizontal="center" vertical="center" wrapText="1"/>
    </xf>
    <xf numFmtId="179" fontId="11" fillId="0" borderId="5" xfId="0" applyNumberFormat="1" applyFont="1" applyBorder="1" applyAlignment="1">
      <alignment horizontal="center" vertical="center" wrapText="1"/>
    </xf>
    <xf numFmtId="179" fontId="32" fillId="4" borderId="1" xfId="4430" applyNumberFormat="1" applyFont="1" applyFill="1" applyBorder="1" applyAlignment="1">
      <alignment horizontal="center" vertical="center" wrapText="1"/>
    </xf>
    <xf numFmtId="182" fontId="141" fillId="4" borderId="0" xfId="0" applyFont="1" applyFill="1">
      <alignment vertical="center"/>
    </xf>
    <xf numFmtId="184" fontId="113" fillId="4" borderId="31" xfId="0" applyNumberFormat="1" applyFont="1" applyFill="1" applyBorder="1" applyAlignment="1">
      <alignment horizontal="center" vertical="center"/>
    </xf>
    <xf numFmtId="182" fontId="113" fillId="4" borderId="31" xfId="0" applyFont="1" applyFill="1" applyBorder="1" applyAlignment="1">
      <alignment horizontal="center" vertical="center" wrapText="1"/>
    </xf>
    <xf numFmtId="182" fontId="113" fillId="4" borderId="31" xfId="0" applyFont="1" applyFill="1" applyBorder="1" applyAlignment="1">
      <alignment horizontal="center" vertical="center"/>
    </xf>
    <xf numFmtId="179" fontId="113" fillId="4" borderId="31" xfId="0" applyNumberFormat="1" applyFont="1" applyFill="1" applyBorder="1" applyAlignment="1">
      <alignment horizontal="center" vertical="center"/>
    </xf>
    <xf numFmtId="177" fontId="113" fillId="4" borderId="31" xfId="0" applyNumberFormat="1" applyFont="1" applyFill="1" applyBorder="1" applyAlignment="1">
      <alignment horizontal="center" vertical="center"/>
    </xf>
    <xf numFmtId="0" fontId="141" fillId="4" borderId="36" xfId="0" applyNumberFormat="1" applyFont="1" applyFill="1" applyBorder="1" applyAlignment="1">
      <alignment horizontal="center" vertical="center" wrapText="1"/>
    </xf>
    <xf numFmtId="0" fontId="141" fillId="4" borderId="36" xfId="9244" applyNumberFormat="1" applyFont="1" applyFill="1" applyBorder="1" applyAlignment="1">
      <alignment horizontal="left" vertical="center" wrapText="1"/>
    </xf>
    <xf numFmtId="182" fontId="141" fillId="4" borderId="36" xfId="9189" applyNumberFormat="1" applyFont="1" applyFill="1" applyBorder="1" applyAlignment="1">
      <alignment horizontal="left" vertical="center" wrapText="1"/>
    </xf>
    <xf numFmtId="0" fontId="141" fillId="4" borderId="36" xfId="0" applyNumberFormat="1" applyFont="1" applyFill="1" applyBorder="1" applyAlignment="1">
      <alignment horizontal="left" vertical="center" wrapText="1"/>
    </xf>
    <xf numFmtId="179" fontId="141" fillId="4" borderId="36" xfId="0" applyNumberFormat="1" applyFont="1" applyFill="1" applyBorder="1" applyAlignment="1">
      <alignment horizontal="center" vertical="center" wrapText="1"/>
    </xf>
    <xf numFmtId="0" fontId="2" fillId="4" borderId="36" xfId="9244" applyNumberFormat="1" applyFont="1" applyFill="1" applyBorder="1" applyAlignment="1">
      <alignment horizontal="left" vertical="center" wrapText="1"/>
    </xf>
    <xf numFmtId="182" fontId="113" fillId="4" borderId="0" xfId="0" applyFont="1" applyFill="1" applyAlignment="1">
      <alignment horizontal="center" vertical="center"/>
    </xf>
    <xf numFmtId="0" fontId="2" fillId="4" borderId="36" xfId="0" applyNumberFormat="1" applyFont="1" applyFill="1" applyBorder="1" applyAlignment="1">
      <alignment horizontal="left" vertical="center" wrapText="1"/>
    </xf>
    <xf numFmtId="0" fontId="113" fillId="4" borderId="36" xfId="9207" applyNumberFormat="1" applyFont="1" applyFill="1" applyBorder="1" applyAlignment="1">
      <alignment horizontal="center" vertical="center"/>
    </xf>
    <xf numFmtId="179" fontId="113" fillId="4" borderId="36" xfId="0" applyNumberFormat="1" applyFont="1" applyFill="1" applyBorder="1" applyAlignment="1">
      <alignment horizontal="center" vertical="center" wrapText="1"/>
    </xf>
    <xf numFmtId="0" fontId="141" fillId="4" borderId="36" xfId="0" applyNumberFormat="1" applyFont="1" applyFill="1" applyBorder="1" applyAlignment="1">
      <alignment horizontal="center" vertical="center"/>
    </xf>
    <xf numFmtId="0" fontId="141" fillId="4" borderId="36" xfId="0" applyNumberFormat="1" applyFont="1" applyFill="1" applyBorder="1">
      <alignment vertical="center"/>
    </xf>
    <xf numFmtId="0" fontId="141" fillId="4" borderId="36" xfId="9189" applyNumberFormat="1" applyFont="1" applyFill="1" applyBorder="1" applyAlignment="1">
      <alignment horizontal="left" vertical="center" wrapText="1"/>
    </xf>
    <xf numFmtId="184" fontId="141" fillId="4" borderId="36" xfId="9244" applyNumberFormat="1" applyFont="1" applyFill="1" applyBorder="1" applyAlignment="1">
      <alignment horizontal="left" vertical="center"/>
    </xf>
    <xf numFmtId="177" fontId="141" fillId="4" borderId="36" xfId="9244" applyNumberFormat="1" applyFont="1" applyFill="1" applyBorder="1" applyAlignment="1">
      <alignment horizontal="center" vertical="center"/>
    </xf>
    <xf numFmtId="0" fontId="141" fillId="4" borderId="36" xfId="9208" applyNumberFormat="1" applyFont="1" applyFill="1" applyBorder="1" applyAlignment="1">
      <alignment horizontal="center" vertical="center"/>
    </xf>
    <xf numFmtId="177" fontId="141" fillId="4" borderId="36" xfId="9189" applyNumberFormat="1" applyFont="1" applyFill="1" applyBorder="1" applyAlignment="1">
      <alignment horizontal="center" vertical="center"/>
    </xf>
    <xf numFmtId="0" fontId="23" fillId="4" borderId="0" xfId="0" applyNumberFormat="1" applyFont="1" applyFill="1">
      <alignment vertical="center"/>
    </xf>
    <xf numFmtId="184" fontId="141" fillId="4" borderId="36" xfId="9208" applyNumberFormat="1" applyFont="1" applyFill="1" applyBorder="1" applyAlignment="1">
      <alignment horizontal="left" vertical="center"/>
    </xf>
    <xf numFmtId="177" fontId="141" fillId="4" borderId="36" xfId="9208" applyNumberFormat="1" applyFont="1" applyFill="1" applyBorder="1" applyAlignment="1">
      <alignment horizontal="center" vertical="center"/>
    </xf>
    <xf numFmtId="182" fontId="141" fillId="4" borderId="36" xfId="0" applyNumberFormat="1" applyFont="1" applyFill="1" applyBorder="1">
      <alignment vertical="center"/>
    </xf>
    <xf numFmtId="0" fontId="35" fillId="4" borderId="36" xfId="0" applyNumberFormat="1" applyFont="1" applyFill="1" applyBorder="1" applyAlignment="1">
      <alignment horizontal="center" vertical="center"/>
    </xf>
    <xf numFmtId="0" fontId="113" fillId="4" borderId="36" xfId="0" applyNumberFormat="1" applyFont="1" applyFill="1" applyBorder="1">
      <alignment vertical="center"/>
    </xf>
    <xf numFmtId="177" fontId="113" fillId="4" borderId="36" xfId="0" applyNumberFormat="1" applyFont="1" applyFill="1" applyBorder="1" applyAlignment="1">
      <alignment horizontal="center" vertical="center"/>
    </xf>
    <xf numFmtId="179" fontId="141" fillId="4" borderId="36" xfId="0" applyNumberFormat="1" applyFont="1" applyFill="1" applyBorder="1" applyAlignment="1">
      <alignment horizontal="center" vertical="center"/>
    </xf>
    <xf numFmtId="182" fontId="141" fillId="4" borderId="36" xfId="0" applyFont="1" applyFill="1" applyBorder="1" applyAlignment="1">
      <alignment horizontal="left" vertical="center"/>
    </xf>
    <xf numFmtId="177" fontId="141" fillId="4" borderId="36" xfId="0" applyNumberFormat="1" applyFont="1" applyFill="1" applyBorder="1" applyAlignment="1">
      <alignment horizontal="center" vertical="center"/>
    </xf>
    <xf numFmtId="184" fontId="141" fillId="4" borderId="36" xfId="0" applyNumberFormat="1" applyFont="1" applyFill="1" applyBorder="1" applyAlignment="1">
      <alignment horizontal="center" vertical="center" wrapText="1"/>
    </xf>
    <xf numFmtId="0" fontId="113" fillId="4" borderId="36" xfId="0" applyNumberFormat="1" applyFont="1" applyFill="1" applyBorder="1" applyAlignment="1">
      <alignment horizontal="center" vertical="center" wrapText="1"/>
    </xf>
    <xf numFmtId="0" fontId="141" fillId="4" borderId="36" xfId="9244" applyNumberFormat="1" applyFont="1" applyFill="1" applyBorder="1" applyAlignment="1">
      <alignment horizontal="center" vertical="center" wrapText="1"/>
    </xf>
    <xf numFmtId="0" fontId="141" fillId="4" borderId="0" xfId="0" applyNumberFormat="1" applyFont="1" applyFill="1">
      <alignment vertical="center"/>
    </xf>
    <xf numFmtId="182" fontId="113" fillId="4" borderId="0" xfId="0" applyFont="1" applyFill="1">
      <alignment vertical="center"/>
    </xf>
    <xf numFmtId="0" fontId="113" fillId="4" borderId="36" xfId="0" applyNumberFormat="1" applyFont="1" applyFill="1" applyBorder="1" applyAlignment="1">
      <alignment horizontal="center" vertical="center"/>
    </xf>
    <xf numFmtId="184" fontId="141" fillId="4" borderId="36" xfId="0" applyNumberFormat="1" applyFont="1" applyFill="1" applyBorder="1" applyAlignment="1">
      <alignment horizontal="center" vertical="center"/>
    </xf>
    <xf numFmtId="182" fontId="141" fillId="4" borderId="36" xfId="0" applyFont="1" applyFill="1" applyBorder="1" applyAlignment="1">
      <alignment horizontal="center" vertical="center" wrapText="1"/>
    </xf>
    <xf numFmtId="182" fontId="141" fillId="4" borderId="36" xfId="0" applyFont="1" applyFill="1" applyBorder="1" applyAlignment="1">
      <alignment horizontal="left" vertical="center" wrapText="1"/>
    </xf>
    <xf numFmtId="179" fontId="113" fillId="4" borderId="36" xfId="0" applyNumberFormat="1" applyFont="1" applyFill="1" applyBorder="1" applyAlignment="1">
      <alignment horizontal="center" vertical="center"/>
    </xf>
    <xf numFmtId="184" fontId="141" fillId="4" borderId="0" xfId="0" applyNumberFormat="1" applyFont="1" applyFill="1" applyAlignment="1">
      <alignment horizontal="center" vertical="center"/>
    </xf>
    <xf numFmtId="182" fontId="141" fillId="4" borderId="0" xfId="0" applyFont="1" applyFill="1" applyAlignment="1">
      <alignment horizontal="center" vertical="center" wrapText="1"/>
    </xf>
    <xf numFmtId="182" fontId="141" fillId="4" borderId="0" xfId="0" applyFont="1" applyFill="1" applyAlignment="1">
      <alignment horizontal="left" vertical="center"/>
    </xf>
    <xf numFmtId="182" fontId="141" fillId="4" borderId="0" xfId="0" applyFont="1" applyFill="1" applyAlignment="1">
      <alignment horizontal="left" vertical="center" wrapText="1"/>
    </xf>
    <xf numFmtId="179" fontId="141" fillId="4" borderId="0" xfId="0" applyNumberFormat="1" applyFont="1" applyFill="1" applyAlignment="1">
      <alignment horizontal="center" vertical="center"/>
    </xf>
    <xf numFmtId="177" fontId="141" fillId="4" borderId="0" xfId="0" applyNumberFormat="1" applyFont="1" applyFill="1" applyAlignment="1">
      <alignment horizontal="center" vertical="center"/>
    </xf>
    <xf numFmtId="179" fontId="113" fillId="4" borderId="0" xfId="0" applyNumberFormat="1" applyFont="1" applyFill="1">
      <alignment vertical="center"/>
    </xf>
    <xf numFmtId="184" fontId="113" fillId="4" borderId="0" xfId="0" applyNumberFormat="1" applyFont="1" applyFill="1">
      <alignment vertical="center"/>
    </xf>
    <xf numFmtId="0" fontId="35" fillId="4" borderId="36" xfId="9207" applyNumberFormat="1" applyFont="1" applyFill="1" applyBorder="1" applyAlignment="1">
      <alignment horizontal="center" vertical="center"/>
    </xf>
    <xf numFmtId="0" fontId="89" fillId="0" borderId="1" xfId="20" applyNumberFormat="1" applyFont="1" applyFill="1" applyBorder="1" applyAlignment="1">
      <alignment vertical="center"/>
    </xf>
    <xf numFmtId="0" fontId="89" fillId="0" borderId="1" xfId="20" applyNumberFormat="1" applyFont="1" applyFill="1" applyBorder="1" applyAlignment="1">
      <alignment vertical="center" wrapText="1"/>
    </xf>
    <xf numFmtId="184" fontId="113" fillId="4" borderId="1" xfId="0" applyNumberFormat="1" applyFont="1" applyFill="1" applyBorder="1" applyAlignment="1">
      <alignment horizontal="center" vertical="center"/>
    </xf>
    <xf numFmtId="182" fontId="113" fillId="4" borderId="1" xfId="0" applyFont="1" applyFill="1" applyBorder="1" applyAlignment="1">
      <alignment horizontal="center" vertical="center" wrapText="1"/>
    </xf>
    <xf numFmtId="182" fontId="113" fillId="4" borderId="1" xfId="0" applyFont="1" applyFill="1" applyBorder="1" applyAlignment="1">
      <alignment horizontal="center" vertical="center"/>
    </xf>
    <xf numFmtId="179" fontId="113" fillId="4" borderId="1" xfId="0" applyNumberFormat="1" applyFont="1" applyFill="1" applyBorder="1" applyAlignment="1">
      <alignment horizontal="center" vertical="center"/>
    </xf>
    <xf numFmtId="177" fontId="113" fillId="4" borderId="1" xfId="0" applyNumberFormat="1" applyFont="1" applyFill="1" applyBorder="1" applyAlignment="1">
      <alignment horizontal="center" vertical="center"/>
    </xf>
    <xf numFmtId="0" fontId="0" fillId="0" borderId="1" xfId="0" applyNumberFormat="1" applyBorder="1">
      <alignment vertical="center"/>
    </xf>
    <xf numFmtId="0" fontId="0" fillId="0" borderId="0" xfId="0" applyNumberFormat="1">
      <alignment vertical="center"/>
    </xf>
    <xf numFmtId="0" fontId="0" fillId="0" borderId="0" xfId="0" applyNumberFormat="1" applyAlignment="1">
      <alignment horizontal="center" vertical="center"/>
    </xf>
    <xf numFmtId="0" fontId="110" fillId="0" borderId="101" xfId="0" applyNumberFormat="1" applyFont="1" applyBorder="1" applyAlignment="1">
      <alignment horizontal="center" vertical="center"/>
    </xf>
    <xf numFmtId="0" fontId="110" fillId="0" borderId="101" xfId="0" applyNumberFormat="1" applyFont="1" applyFill="1" applyBorder="1" applyAlignment="1">
      <alignment horizontal="center" vertical="center"/>
    </xf>
    <xf numFmtId="177" fontId="145" fillId="0" borderId="101" xfId="0" applyNumberFormat="1" applyFont="1" applyBorder="1" applyAlignment="1">
      <alignment horizontal="center" vertical="center"/>
    </xf>
    <xf numFmtId="177" fontId="110" fillId="0" borderId="101" xfId="0" applyNumberFormat="1" applyFont="1" applyBorder="1" applyAlignment="1">
      <alignment horizontal="center" vertical="center"/>
    </xf>
    <xf numFmtId="0" fontId="146" fillId="0" borderId="0" xfId="0" applyNumberFormat="1" applyFont="1" applyAlignment="1">
      <alignment horizontal="right" vertical="center"/>
    </xf>
    <xf numFmtId="0" fontId="54" fillId="0" borderId="89" xfId="0" applyNumberFormat="1" applyFont="1" applyBorder="1" applyAlignment="1">
      <alignment horizontal="center" vertical="center"/>
    </xf>
    <xf numFmtId="0" fontId="54" fillId="0" borderId="36" xfId="4430" applyNumberFormat="1" applyFont="1" applyBorder="1" applyAlignment="1">
      <alignment vertical="center"/>
    </xf>
    <xf numFmtId="177" fontId="2" fillId="0" borderId="36" xfId="0" applyNumberFormat="1" applyFont="1" applyBorder="1">
      <alignment vertical="center"/>
    </xf>
    <xf numFmtId="0" fontId="54" fillId="0" borderId="36" xfId="0" applyNumberFormat="1" applyFont="1" applyBorder="1">
      <alignment vertical="center"/>
    </xf>
    <xf numFmtId="177" fontId="54" fillId="0" borderId="36" xfId="0" applyNumberFormat="1" applyFont="1" applyBorder="1">
      <alignment vertical="center"/>
    </xf>
    <xf numFmtId="0" fontId="103" fillId="0" borderId="36" xfId="4430" applyNumberFormat="1" applyFont="1" applyBorder="1" applyAlignment="1">
      <alignment vertical="center"/>
    </xf>
    <xf numFmtId="177" fontId="54" fillId="0" borderId="36" xfId="4430" applyNumberFormat="1" applyFont="1" applyBorder="1" applyAlignment="1">
      <alignment vertical="center"/>
    </xf>
    <xf numFmtId="0" fontId="2" fillId="4" borderId="36" xfId="0" applyNumberFormat="1" applyFont="1" applyFill="1" applyBorder="1">
      <alignment vertical="center"/>
    </xf>
    <xf numFmtId="0" fontId="2" fillId="4" borderId="36" xfId="0" applyNumberFormat="1" applyFont="1" applyFill="1" applyBorder="1" applyAlignment="1">
      <alignment vertical="center" wrapText="1"/>
    </xf>
    <xf numFmtId="0" fontId="143" fillId="0" borderId="0" xfId="0" applyNumberFormat="1" applyFont="1" applyBorder="1" applyAlignment="1">
      <alignment horizontal="center" vertical="center"/>
    </xf>
    <xf numFmtId="182" fontId="0" fillId="0" borderId="0" xfId="0" applyNumberFormat="1" applyAlignment="1">
      <alignment vertical="center"/>
    </xf>
    <xf numFmtId="0" fontId="144" fillId="0" borderId="92" xfId="0" applyNumberFormat="1" applyFont="1" applyBorder="1" applyAlignment="1">
      <alignment vertical="center"/>
    </xf>
    <xf numFmtId="182" fontId="0" fillId="0" borderId="92" xfId="0" applyNumberFormat="1" applyBorder="1" applyAlignment="1">
      <alignment vertical="center"/>
    </xf>
    <xf numFmtId="182" fontId="14" fillId="5" borderId="0" xfId="0" applyNumberFormat="1" applyFont="1" applyFill="1" applyBorder="1" applyAlignment="1" applyProtection="1">
      <alignment horizontal="center" vertical="center"/>
      <protection locked="0"/>
    </xf>
    <xf numFmtId="182" fontId="16" fillId="5" borderId="0" xfId="0" applyNumberFormat="1" applyFont="1" applyFill="1" applyBorder="1" applyAlignment="1" applyProtection="1">
      <alignment horizontal="center" vertical="center"/>
      <protection locked="0"/>
    </xf>
    <xf numFmtId="182" fontId="10" fillId="0" borderId="0" xfId="0" applyFont="1" applyAlignment="1">
      <alignment horizontal="center" vertical="center"/>
    </xf>
    <xf numFmtId="182" fontId="9" fillId="0" borderId="2" xfId="0" applyFont="1" applyBorder="1" applyAlignment="1">
      <alignment horizontal="center"/>
    </xf>
    <xf numFmtId="182" fontId="12" fillId="0" borderId="3" xfId="0" applyFont="1" applyBorder="1" applyAlignment="1">
      <alignment horizontal="center" vertical="center"/>
    </xf>
    <xf numFmtId="182" fontId="13" fillId="0" borderId="3" xfId="0" applyFont="1" applyBorder="1" applyAlignment="1">
      <alignment horizontal="center" vertical="center"/>
    </xf>
    <xf numFmtId="182" fontId="0" fillId="3" borderId="1" xfId="0" applyFill="1" applyBorder="1" applyAlignment="1">
      <alignment horizontal="center" vertical="center"/>
    </xf>
    <xf numFmtId="182" fontId="0" fillId="3" borderId="1" xfId="0" applyFont="1" applyFill="1" applyBorder="1" applyAlignment="1">
      <alignment horizontal="center" vertical="center"/>
    </xf>
    <xf numFmtId="182" fontId="21" fillId="4" borderId="2" xfId="0" applyFont="1" applyFill="1" applyBorder="1" applyAlignment="1">
      <alignment horizontal="center" vertical="center"/>
    </xf>
    <xf numFmtId="182" fontId="25" fillId="0" borderId="2" xfId="0" applyFont="1" applyBorder="1" applyAlignment="1">
      <alignment horizontal="center" vertical="center"/>
    </xf>
    <xf numFmtId="182" fontId="33" fillId="4" borderId="1" xfId="0" applyFont="1" applyFill="1" applyBorder="1" applyAlignment="1">
      <alignment horizontal="center" vertical="center"/>
    </xf>
    <xf numFmtId="182" fontId="35" fillId="2" borderId="1" xfId="0" applyFont="1" applyFill="1" applyBorder="1" applyAlignment="1">
      <alignment horizontal="center" vertical="center"/>
    </xf>
    <xf numFmtId="182" fontId="33" fillId="2" borderId="1" xfId="0" applyFont="1" applyFill="1" applyBorder="1" applyAlignment="1">
      <alignment horizontal="center" vertical="center"/>
    </xf>
    <xf numFmtId="182" fontId="2" fillId="4" borderId="1" xfId="0" applyFont="1" applyFill="1" applyBorder="1" applyAlignment="1">
      <alignment horizontal="center" vertical="center" wrapText="1"/>
    </xf>
    <xf numFmtId="182" fontId="34" fillId="4" borderId="1" xfId="0" applyFont="1" applyFill="1" applyBorder="1" applyAlignment="1">
      <alignment horizontal="center" vertical="center" wrapText="1"/>
    </xf>
    <xf numFmtId="182" fontId="36" fillId="5" borderId="0" xfId="0" applyNumberFormat="1" applyFont="1" applyFill="1" applyBorder="1" applyAlignment="1" applyProtection="1">
      <alignment horizontal="center" vertical="center"/>
      <protection locked="0"/>
    </xf>
    <xf numFmtId="182" fontId="105" fillId="0" borderId="0" xfId="19" applyNumberFormat="1" applyFont="1" applyFill="1" applyBorder="1" applyAlignment="1">
      <alignment horizontal="center" vertical="center"/>
    </xf>
    <xf numFmtId="182" fontId="90" fillId="0" borderId="0" xfId="20" applyNumberFormat="1" applyFont="1" applyFill="1" applyAlignment="1" applyProtection="1">
      <alignment horizontal="center" vertical="top"/>
    </xf>
    <xf numFmtId="182" fontId="90" fillId="0" borderId="0" xfId="20" applyNumberFormat="1" applyFont="1" applyFill="1" applyAlignment="1" applyProtection="1">
      <alignment horizontal="left" vertical="top" indent="1"/>
    </xf>
    <xf numFmtId="182" fontId="90" fillId="0" borderId="0" xfId="20" applyNumberFormat="1" applyFont="1" applyFill="1" applyAlignment="1" applyProtection="1">
      <alignment horizontal="right" vertical="top"/>
    </xf>
    <xf numFmtId="182" fontId="89" fillId="0" borderId="1" xfId="20" applyNumberFormat="1" applyFont="1" applyFill="1" applyBorder="1" applyAlignment="1">
      <alignment horizontal="center" vertical="center"/>
    </xf>
    <xf numFmtId="182" fontId="54" fillId="0" borderId="1" xfId="20" applyNumberFormat="1" applyFont="1" applyBorder="1" applyAlignment="1">
      <alignment horizontal="center" vertical="center"/>
    </xf>
    <xf numFmtId="182" fontId="89" fillId="0" borderId="1" xfId="20" applyNumberFormat="1" applyFont="1" applyFill="1" applyBorder="1" applyAlignment="1">
      <alignment vertical="center"/>
    </xf>
    <xf numFmtId="182" fontId="20" fillId="0" borderId="1" xfId="20" applyNumberFormat="1" applyBorder="1" applyAlignment="1">
      <alignment vertical="center"/>
    </xf>
    <xf numFmtId="182" fontId="89" fillId="0" borderId="1" xfId="20" applyNumberFormat="1" applyFont="1" applyFill="1" applyBorder="1" applyAlignment="1">
      <alignment vertical="center" wrapText="1"/>
    </xf>
    <xf numFmtId="182" fontId="20" fillId="0" borderId="1" xfId="20" applyNumberFormat="1" applyBorder="1" applyAlignment="1">
      <alignment vertical="center" wrapText="1"/>
    </xf>
    <xf numFmtId="182" fontId="104" fillId="4" borderId="6" xfId="20" applyNumberFormat="1" applyFont="1" applyFill="1" applyBorder="1" applyAlignment="1">
      <alignment horizontal="center" vertical="center"/>
    </xf>
    <xf numFmtId="182" fontId="54" fillId="0" borderId="9" xfId="20" applyNumberFormat="1" applyFont="1" applyBorder="1" applyAlignment="1">
      <alignment horizontal="center" vertical="center"/>
    </xf>
    <xf numFmtId="182" fontId="54" fillId="0" borderId="5" xfId="20" applyNumberFormat="1" applyFont="1" applyBorder="1" applyAlignment="1">
      <alignment horizontal="center" vertical="center"/>
    </xf>
    <xf numFmtId="182" fontId="104" fillId="4" borderId="6" xfId="20" applyNumberFormat="1" applyFont="1" applyFill="1" applyBorder="1" applyAlignment="1">
      <alignment vertical="center"/>
    </xf>
    <xf numFmtId="182" fontId="104" fillId="4" borderId="9" xfId="20" applyNumberFormat="1" applyFont="1" applyFill="1" applyBorder="1" applyAlignment="1">
      <alignment vertical="center"/>
    </xf>
    <xf numFmtId="182" fontId="104" fillId="4" borderId="5" xfId="20" applyNumberFormat="1" applyFont="1" applyFill="1" applyBorder="1" applyAlignment="1">
      <alignment vertical="center"/>
    </xf>
    <xf numFmtId="182" fontId="104" fillId="0" borderId="1" xfId="20" applyNumberFormat="1" applyFont="1" applyFill="1" applyBorder="1" applyAlignment="1" applyProtection="1">
      <alignment horizontal="center" vertical="center"/>
    </xf>
    <xf numFmtId="182" fontId="104" fillId="0" borderId="1" xfId="20" applyNumberFormat="1" applyFont="1" applyFill="1" applyBorder="1" applyAlignment="1" applyProtection="1">
      <alignment vertical="center"/>
    </xf>
    <xf numFmtId="182" fontId="54" fillId="0" borderId="1" xfId="20" applyNumberFormat="1" applyFont="1" applyBorder="1" applyAlignment="1">
      <alignment vertical="center"/>
    </xf>
    <xf numFmtId="182" fontId="104" fillId="4" borderId="48" xfId="20" applyNumberFormat="1" applyFont="1" applyFill="1" applyBorder="1" applyAlignment="1">
      <alignment vertical="center" wrapText="1"/>
    </xf>
    <xf numFmtId="182" fontId="104" fillId="4" borderId="44" xfId="20" applyNumberFormat="1" applyFont="1" applyFill="1" applyBorder="1" applyAlignment="1">
      <alignment vertical="center" wrapText="1"/>
    </xf>
    <xf numFmtId="182" fontId="104" fillId="4" borderId="49" xfId="20" applyNumberFormat="1" applyFont="1" applyFill="1" applyBorder="1" applyAlignment="1">
      <alignment vertical="center" wrapText="1"/>
    </xf>
    <xf numFmtId="182" fontId="104" fillId="4" borderId="42" xfId="20" applyNumberFormat="1" applyFont="1" applyFill="1" applyBorder="1" applyAlignment="1">
      <alignment vertical="center" wrapText="1"/>
    </xf>
    <xf numFmtId="182" fontId="54" fillId="0" borderId="38" xfId="0" applyFont="1" applyBorder="1" applyAlignment="1">
      <alignment vertical="center" wrapText="1"/>
    </xf>
    <xf numFmtId="182" fontId="54" fillId="0" borderId="47" xfId="0" applyFont="1" applyBorder="1" applyAlignment="1">
      <alignment vertical="center" wrapText="1"/>
    </xf>
    <xf numFmtId="182" fontId="104" fillId="4" borderId="50" xfId="20" applyNumberFormat="1" applyFont="1" applyFill="1" applyBorder="1" applyAlignment="1">
      <alignment horizontal="center" vertical="center"/>
    </xf>
    <xf numFmtId="182" fontId="54" fillId="0" borderId="39" xfId="0" applyFont="1" applyBorder="1" applyAlignment="1">
      <alignment horizontal="center" vertical="center"/>
    </xf>
    <xf numFmtId="182" fontId="54" fillId="0" borderId="5" xfId="0" applyFont="1" applyBorder="1" applyAlignment="1">
      <alignment horizontal="center" vertical="center"/>
    </xf>
    <xf numFmtId="182" fontId="104" fillId="0" borderId="1" xfId="20" applyNumberFormat="1" applyFont="1" applyFill="1" applyBorder="1" applyAlignment="1">
      <alignment vertical="center"/>
    </xf>
    <xf numFmtId="182" fontId="104" fillId="4" borderId="31" xfId="20" applyNumberFormat="1" applyFont="1" applyFill="1" applyBorder="1" applyAlignment="1">
      <alignment vertical="center" wrapText="1"/>
    </xf>
    <xf numFmtId="182" fontId="54" fillId="0" borderId="39" xfId="0" applyFont="1" applyBorder="1" applyAlignment="1">
      <alignment vertical="center" wrapText="1"/>
    </xf>
    <xf numFmtId="182" fontId="54" fillId="0" borderId="5" xfId="0" applyFont="1" applyBorder="1" applyAlignment="1">
      <alignment vertical="center" wrapText="1"/>
    </xf>
    <xf numFmtId="182" fontId="104" fillId="4" borderId="45" xfId="20" applyNumberFormat="1" applyFont="1" applyFill="1" applyBorder="1" applyAlignment="1">
      <alignment vertical="center" wrapText="1"/>
    </xf>
    <xf numFmtId="182" fontId="54" fillId="0" borderId="44" xfId="0" applyFont="1" applyBorder="1" applyAlignment="1">
      <alignment vertical="center" wrapText="1"/>
    </xf>
    <xf numFmtId="182" fontId="54" fillId="0" borderId="46" xfId="0" applyFont="1" applyBorder="1" applyAlignment="1">
      <alignment vertical="center" wrapText="1"/>
    </xf>
    <xf numFmtId="182" fontId="104" fillId="4" borderId="50" xfId="20" applyNumberFormat="1" applyFont="1" applyFill="1" applyBorder="1" applyAlignment="1">
      <alignment vertical="center"/>
    </xf>
    <xf numFmtId="182" fontId="54" fillId="0" borderId="39" xfId="0" applyFont="1" applyBorder="1" applyAlignment="1">
      <alignment vertical="center"/>
    </xf>
    <xf numFmtId="182" fontId="54" fillId="0" borderId="5" xfId="0" applyFont="1" applyBorder="1" applyAlignment="1">
      <alignment vertical="center"/>
    </xf>
    <xf numFmtId="182" fontId="104" fillId="4" borderId="50" xfId="20" applyNumberFormat="1" applyFont="1" applyFill="1" applyBorder="1" applyAlignment="1">
      <alignment vertical="center" wrapText="1"/>
    </xf>
    <xf numFmtId="182" fontId="104" fillId="0" borderId="1" xfId="20" applyNumberFormat="1" applyFont="1" applyFill="1" applyBorder="1" applyAlignment="1">
      <alignment horizontal="center" vertical="center"/>
    </xf>
    <xf numFmtId="182" fontId="93" fillId="0" borderId="0" xfId="9206" applyNumberFormat="1" applyFont="1" applyFill="1" applyBorder="1" applyAlignment="1">
      <alignment horizontal="center" vertical="center"/>
    </xf>
    <xf numFmtId="182" fontId="94" fillId="0" borderId="37" xfId="9206" applyNumberFormat="1" applyFont="1" applyFill="1" applyBorder="1" applyAlignment="1">
      <alignment horizontal="center" vertical="center"/>
    </xf>
    <xf numFmtId="182" fontId="34" fillId="0" borderId="37" xfId="9206" applyNumberFormat="1" applyFont="1" applyFill="1" applyBorder="1" applyAlignment="1">
      <alignment horizontal="center" vertical="center"/>
    </xf>
    <xf numFmtId="182" fontId="104" fillId="0" borderId="31" xfId="9203" applyNumberFormat="1" applyFont="1" applyFill="1" applyBorder="1" applyAlignment="1">
      <alignment horizontal="left" vertical="center" wrapText="1"/>
    </xf>
    <xf numFmtId="182" fontId="104" fillId="0" borderId="9" xfId="9203" applyNumberFormat="1" applyFont="1" applyFill="1" applyBorder="1" applyAlignment="1">
      <alignment horizontal="left" vertical="center" wrapText="1"/>
    </xf>
    <xf numFmtId="182" fontId="104" fillId="0" borderId="5" xfId="9203" applyNumberFormat="1" applyFont="1" applyFill="1" applyBorder="1" applyAlignment="1">
      <alignment horizontal="left" vertical="center" wrapText="1"/>
    </xf>
    <xf numFmtId="182" fontId="85" fillId="0" borderId="35" xfId="9203" applyNumberFormat="1" applyFont="1" applyFill="1" applyBorder="1" applyAlignment="1">
      <alignment horizontal="center" vertical="center"/>
    </xf>
    <xf numFmtId="182" fontId="86" fillId="0" borderId="35" xfId="9203" applyNumberFormat="1" applyFont="1" applyFill="1" applyBorder="1" applyAlignment="1"/>
    <xf numFmtId="182" fontId="104" fillId="0" borderId="31" xfId="9203" applyNumberFormat="1" applyFont="1" applyFill="1" applyBorder="1" applyAlignment="1">
      <alignment horizontal="center" vertical="center"/>
    </xf>
    <xf numFmtId="182" fontId="104" fillId="0" borderId="9" xfId="9203" applyNumberFormat="1" applyFont="1" applyFill="1" applyBorder="1" applyAlignment="1">
      <alignment horizontal="center" vertical="center"/>
    </xf>
    <xf numFmtId="182" fontId="104" fillId="0" borderId="5" xfId="9203" applyNumberFormat="1" applyFont="1" applyFill="1" applyBorder="1" applyAlignment="1">
      <alignment horizontal="center" vertical="center"/>
    </xf>
    <xf numFmtId="182" fontId="104" fillId="0" borderId="31" xfId="9203" applyNumberFormat="1" applyFont="1" applyFill="1" applyBorder="1" applyAlignment="1">
      <alignment horizontal="left" vertical="center"/>
    </xf>
    <xf numFmtId="182" fontId="104" fillId="0" borderId="9" xfId="9203" applyNumberFormat="1" applyFont="1" applyFill="1" applyBorder="1" applyAlignment="1">
      <alignment horizontal="left" vertical="center"/>
    </xf>
    <xf numFmtId="182" fontId="104" fillId="0" borderId="5" xfId="9203" applyNumberFormat="1" applyFont="1" applyFill="1" applyBorder="1" applyAlignment="1">
      <alignment horizontal="left" vertical="center"/>
    </xf>
    <xf numFmtId="182" fontId="104" fillId="4" borderId="31" xfId="9203" applyNumberFormat="1" applyFont="1" applyFill="1" applyBorder="1" applyAlignment="1">
      <alignment horizontal="left" vertical="center"/>
    </xf>
    <xf numFmtId="182" fontId="104" fillId="4" borderId="39" xfId="9203" applyNumberFormat="1" applyFont="1" applyFill="1" applyBorder="1" applyAlignment="1">
      <alignment horizontal="left" vertical="center"/>
    </xf>
    <xf numFmtId="182" fontId="54" fillId="4" borderId="5" xfId="0" applyNumberFormat="1" applyFont="1" applyFill="1" applyBorder="1" applyAlignment="1">
      <alignment horizontal="left" vertical="center"/>
    </xf>
    <xf numFmtId="182" fontId="104" fillId="4" borderId="31" xfId="9203" applyNumberFormat="1" applyFont="1" applyFill="1" applyBorder="1" applyAlignment="1">
      <alignment horizontal="center" vertical="center"/>
    </xf>
    <xf numFmtId="182" fontId="104" fillId="4" borderId="39" xfId="9203" applyNumberFormat="1" applyFont="1" applyFill="1" applyBorder="1" applyAlignment="1">
      <alignment horizontal="center" vertical="center"/>
    </xf>
    <xf numFmtId="182" fontId="54" fillId="4" borderId="5" xfId="0" applyNumberFormat="1" applyFont="1" applyFill="1" applyBorder="1" applyAlignment="1">
      <alignment horizontal="center" vertical="center"/>
    </xf>
    <xf numFmtId="182" fontId="79" fillId="0" borderId="35" xfId="9205" applyNumberFormat="1" applyFont="1" applyBorder="1" applyAlignment="1">
      <alignment horizontal="center" vertical="center"/>
    </xf>
    <xf numFmtId="182" fontId="79" fillId="4" borderId="35" xfId="9204" applyNumberFormat="1" applyFont="1" applyFill="1" applyBorder="1" applyAlignment="1">
      <alignment horizontal="center" vertical="center"/>
    </xf>
    <xf numFmtId="182" fontId="54" fillId="4" borderId="36" xfId="0" applyNumberFormat="1" applyFont="1" applyFill="1" applyBorder="1" applyAlignment="1">
      <alignment horizontal="center" vertical="center"/>
    </xf>
    <xf numFmtId="182" fontId="54" fillId="4" borderId="6" xfId="0" applyNumberFormat="1" applyFont="1" applyFill="1" applyBorder="1" applyAlignment="1">
      <alignment horizontal="center" vertical="center"/>
    </xf>
    <xf numFmtId="182" fontId="99" fillId="4" borderId="31" xfId="0" applyNumberFormat="1" applyFont="1" applyFill="1" applyBorder="1" applyAlignment="1">
      <alignment horizontal="center" vertical="center" wrapText="1"/>
    </xf>
    <xf numFmtId="182" fontId="99" fillId="4" borderId="39" xfId="0" applyNumberFormat="1" applyFont="1" applyFill="1" applyBorder="1" applyAlignment="1">
      <alignment horizontal="center" vertical="center" wrapText="1"/>
    </xf>
    <xf numFmtId="182" fontId="99" fillId="4" borderId="42" xfId="0" applyNumberFormat="1" applyFont="1" applyFill="1" applyBorder="1" applyAlignment="1">
      <alignment horizontal="center" vertical="center" wrapText="1"/>
    </xf>
    <xf numFmtId="182" fontId="99" fillId="4" borderId="38" xfId="0" applyNumberFormat="1" applyFont="1" applyFill="1" applyBorder="1" applyAlignment="1">
      <alignment horizontal="center" vertical="center" wrapText="1"/>
    </xf>
    <xf numFmtId="182" fontId="99" fillId="4" borderId="36" xfId="0" applyNumberFormat="1" applyFont="1" applyFill="1" applyBorder="1" applyAlignment="1">
      <alignment horizontal="center" vertical="center" wrapText="1"/>
    </xf>
    <xf numFmtId="182" fontId="54" fillId="4" borderId="40" xfId="0" applyNumberFormat="1" applyFont="1" applyFill="1" applyBorder="1" applyAlignment="1">
      <alignment horizontal="center" vertical="center" wrapText="1"/>
    </xf>
    <xf numFmtId="182" fontId="54" fillId="4" borderId="39" xfId="0" applyNumberFormat="1" applyFont="1" applyFill="1" applyBorder="1" applyAlignment="1">
      <alignment horizontal="center" vertical="center" wrapText="1"/>
    </xf>
    <xf numFmtId="182" fontId="54" fillId="4" borderId="5" xfId="0" applyNumberFormat="1" applyFont="1" applyFill="1" applyBorder="1" applyAlignment="1">
      <alignment horizontal="center" vertical="center" wrapText="1"/>
    </xf>
    <xf numFmtId="182" fontId="54" fillId="4" borderId="31" xfId="0" applyNumberFormat="1" applyFont="1" applyFill="1" applyBorder="1" applyAlignment="1">
      <alignment horizontal="center" vertical="center"/>
    </xf>
    <xf numFmtId="182" fontId="54" fillId="4" borderId="39" xfId="0" applyNumberFormat="1" applyFont="1" applyFill="1" applyBorder="1" applyAlignment="1">
      <alignment horizontal="center" vertical="center"/>
    </xf>
    <xf numFmtId="182" fontId="95" fillId="4" borderId="0" xfId="4511" applyNumberFormat="1" applyFont="1" applyFill="1" applyAlignment="1">
      <alignment horizontal="center" vertical="center"/>
    </xf>
    <xf numFmtId="182" fontId="99" fillId="4" borderId="31" xfId="9207" applyNumberFormat="1" applyFont="1" applyFill="1" applyBorder="1" applyAlignment="1">
      <alignment horizontal="center" vertical="center" wrapText="1"/>
    </xf>
    <xf numFmtId="182" fontId="99" fillId="4" borderId="39" xfId="9207" applyNumberFormat="1" applyFont="1" applyFill="1" applyBorder="1" applyAlignment="1">
      <alignment horizontal="center" vertical="center" wrapText="1"/>
    </xf>
    <xf numFmtId="182" fontId="99" fillId="4" borderId="5" xfId="9207" applyNumberFormat="1" applyFont="1" applyFill="1" applyBorder="1" applyAlignment="1">
      <alignment horizontal="center" vertical="center" wrapText="1"/>
    </xf>
    <xf numFmtId="182" fontId="99" fillId="4" borderId="0" xfId="4430" applyNumberFormat="1" applyFont="1" applyFill="1" applyAlignment="1">
      <alignment horizontal="left" vertical="center" wrapText="1"/>
    </xf>
    <xf numFmtId="182" fontId="54" fillId="4" borderId="36" xfId="9207" applyNumberFormat="1" applyFont="1" applyFill="1" applyBorder="1" applyAlignment="1">
      <alignment horizontal="center" vertical="center" wrapText="1"/>
    </xf>
    <xf numFmtId="182" fontId="99" fillId="4" borderId="36" xfId="9207" applyNumberFormat="1" applyFont="1" applyFill="1" applyBorder="1" applyAlignment="1">
      <alignment horizontal="center" vertical="center" wrapText="1"/>
    </xf>
    <xf numFmtId="182" fontId="99" fillId="4" borderId="36" xfId="0" applyNumberFormat="1" applyFont="1" applyFill="1" applyBorder="1" applyAlignment="1">
      <alignment horizontal="center" vertical="center"/>
    </xf>
    <xf numFmtId="182" fontId="95" fillId="4" borderId="2" xfId="4430" applyNumberFormat="1" applyFont="1" applyFill="1" applyBorder="1" applyAlignment="1">
      <alignment horizontal="center" vertical="center"/>
    </xf>
    <xf numFmtId="182" fontId="54" fillId="4" borderId="36" xfId="8911" applyNumberFormat="1" applyFont="1" applyFill="1" applyBorder="1" applyAlignment="1">
      <alignment horizontal="center" vertical="center" wrapText="1"/>
    </xf>
    <xf numFmtId="182" fontId="54" fillId="4" borderId="36" xfId="0" applyNumberFormat="1" applyFont="1" applyFill="1" applyBorder="1" applyAlignment="1">
      <alignment horizontal="center" vertical="center" wrapText="1"/>
    </xf>
    <xf numFmtId="182" fontId="99" fillId="4" borderId="36" xfId="4430" applyNumberFormat="1" applyFont="1" applyFill="1" applyBorder="1" applyAlignment="1">
      <alignment horizontal="center" vertical="center" wrapText="1"/>
    </xf>
    <xf numFmtId="182" fontId="54" fillId="4" borderId="36" xfId="4430" applyNumberFormat="1" applyFont="1" applyFill="1" applyBorder="1" applyAlignment="1">
      <alignment horizontal="center" vertical="center" wrapText="1"/>
    </xf>
    <xf numFmtId="182" fontId="99" fillId="4" borderId="36" xfId="4430" applyNumberFormat="1" applyFont="1" applyFill="1" applyBorder="1" applyAlignment="1">
      <alignment horizontal="center" vertical="center"/>
    </xf>
    <xf numFmtId="182" fontId="98" fillId="4" borderId="0" xfId="4430" applyNumberFormat="1" applyFont="1" applyFill="1" applyAlignment="1">
      <alignment horizontal="center" vertical="center" wrapText="1"/>
    </xf>
    <xf numFmtId="182" fontId="99" fillId="4" borderId="38" xfId="9207" applyNumberFormat="1" applyFont="1" applyFill="1" applyBorder="1" applyAlignment="1">
      <alignment horizontal="center" vertical="center" wrapText="1"/>
    </xf>
    <xf numFmtId="182" fontId="84" fillId="4" borderId="31" xfId="0" applyNumberFormat="1" applyFont="1" applyFill="1" applyBorder="1" applyAlignment="1">
      <alignment horizontal="center" vertical="center"/>
    </xf>
    <xf numFmtId="182" fontId="84" fillId="4" borderId="39" xfId="0" applyNumberFormat="1" applyFont="1" applyFill="1" applyBorder="1" applyAlignment="1">
      <alignment horizontal="center" vertical="center"/>
    </xf>
    <xf numFmtId="182" fontId="84" fillId="4" borderId="5" xfId="0" applyNumberFormat="1" applyFont="1" applyFill="1" applyBorder="1" applyAlignment="1">
      <alignment horizontal="center" vertical="center"/>
    </xf>
    <xf numFmtId="182" fontId="54" fillId="4" borderId="31" xfId="0" applyNumberFormat="1" applyFont="1" applyFill="1" applyBorder="1" applyAlignment="1">
      <alignment horizontal="center" vertical="center" wrapText="1"/>
    </xf>
    <xf numFmtId="182" fontId="54" fillId="0" borderId="36" xfId="9207" applyNumberFormat="1" applyFont="1" applyFill="1" applyBorder="1" applyAlignment="1">
      <alignment horizontal="center" vertical="center" wrapText="1"/>
    </xf>
    <xf numFmtId="182" fontId="54" fillId="0" borderId="36" xfId="0" applyNumberFormat="1" applyFont="1" applyBorder="1" applyAlignment="1">
      <alignment horizontal="center" vertical="center"/>
    </xf>
    <xf numFmtId="182" fontId="95" fillId="4" borderId="0" xfId="4430" applyNumberFormat="1" applyFont="1" applyFill="1" applyAlignment="1">
      <alignment horizontal="center" vertical="center"/>
    </xf>
    <xf numFmtId="182" fontId="54" fillId="0" borderId="31" xfId="0" applyNumberFormat="1" applyFont="1" applyBorder="1" applyAlignment="1">
      <alignment horizontal="center" vertical="center"/>
    </xf>
    <xf numFmtId="182" fontId="54" fillId="0" borderId="39" xfId="0" applyNumberFormat="1" applyFont="1" applyBorder="1" applyAlignment="1">
      <alignment horizontal="center" vertical="center"/>
    </xf>
    <xf numFmtId="182" fontId="54" fillId="0" borderId="5" xfId="0" applyNumberFormat="1" applyFont="1" applyBorder="1" applyAlignment="1">
      <alignment horizontal="center" vertical="center"/>
    </xf>
    <xf numFmtId="182" fontId="54" fillId="0" borderId="31" xfId="0" applyNumberFormat="1" applyFont="1" applyBorder="1" applyAlignment="1">
      <alignment horizontal="center" vertical="center" wrapText="1"/>
    </xf>
    <xf numFmtId="182" fontId="54" fillId="0" borderId="39" xfId="0" applyNumberFormat="1" applyFont="1" applyBorder="1" applyAlignment="1">
      <alignment horizontal="center" vertical="center" wrapText="1"/>
    </xf>
    <xf numFmtId="182" fontId="54" fillId="0" borderId="5" xfId="0" applyNumberFormat="1" applyFont="1" applyBorder="1" applyAlignment="1">
      <alignment horizontal="center" vertical="center" wrapText="1"/>
    </xf>
    <xf numFmtId="182" fontId="99" fillId="4" borderId="36" xfId="4511" applyNumberFormat="1" applyFont="1" applyFill="1" applyBorder="1" applyAlignment="1">
      <alignment horizontal="center" vertical="center"/>
    </xf>
    <xf numFmtId="182" fontId="99" fillId="4" borderId="36" xfId="9208" applyNumberFormat="1" applyFont="1" applyFill="1" applyBorder="1" applyAlignment="1">
      <alignment horizontal="center" vertical="center" wrapText="1"/>
    </xf>
    <xf numFmtId="182" fontId="99" fillId="4" borderId="36" xfId="9207" applyNumberFormat="1" applyFont="1" applyFill="1" applyBorder="1" applyAlignment="1">
      <alignment horizontal="center" vertical="top" wrapText="1"/>
    </xf>
    <xf numFmtId="182" fontId="95" fillId="4" borderId="2" xfId="4511" applyNumberFormat="1" applyFont="1" applyFill="1" applyBorder="1" applyAlignment="1">
      <alignment horizontal="center" vertical="center"/>
    </xf>
    <xf numFmtId="182" fontId="5" fillId="4" borderId="36" xfId="0" applyNumberFormat="1" applyFont="1" applyFill="1" applyBorder="1" applyAlignment="1">
      <alignment horizontal="center" vertical="center"/>
    </xf>
    <xf numFmtId="182" fontId="10" fillId="4" borderId="0" xfId="0" applyNumberFormat="1" applyFont="1" applyFill="1" applyBorder="1" applyAlignment="1">
      <alignment horizontal="center" vertical="center"/>
    </xf>
    <xf numFmtId="182" fontId="5" fillId="3" borderId="36" xfId="0" applyNumberFormat="1" applyFont="1" applyFill="1" applyBorder="1" applyAlignment="1">
      <alignment horizontal="center" vertical="center"/>
    </xf>
    <xf numFmtId="182" fontId="99" fillId="3" borderId="36" xfId="0" applyNumberFormat="1" applyFont="1" applyFill="1" applyBorder="1" applyAlignment="1">
      <alignment horizontal="center" vertical="center" wrapText="1"/>
    </xf>
    <xf numFmtId="182" fontId="109" fillId="4" borderId="0" xfId="4430" applyNumberFormat="1" applyFont="1" applyFill="1" applyAlignment="1">
      <alignment horizontal="center" vertical="center"/>
    </xf>
    <xf numFmtId="182" fontId="102" fillId="4" borderId="36" xfId="4430" applyNumberFormat="1" applyFont="1" applyFill="1" applyBorder="1" applyAlignment="1">
      <alignment horizontal="center" vertical="center"/>
    </xf>
    <xf numFmtId="182" fontId="54" fillId="0" borderId="6" xfId="0" applyNumberFormat="1" applyFont="1" applyBorder="1" applyAlignment="1">
      <alignment horizontal="center" vertical="center"/>
    </xf>
    <xf numFmtId="182" fontId="2" fillId="4" borderId="6" xfId="8909" applyNumberFormat="1" applyFont="1" applyFill="1" applyBorder="1" applyAlignment="1">
      <alignment horizontal="center" vertical="center" wrapText="1"/>
    </xf>
    <xf numFmtId="182" fontId="2" fillId="4" borderId="5" xfId="8909" applyNumberFormat="1" applyFont="1" applyFill="1" applyBorder="1" applyAlignment="1">
      <alignment horizontal="center" vertical="center" wrapText="1"/>
    </xf>
    <xf numFmtId="182" fontId="2" fillId="4" borderId="39" xfId="8909" applyNumberFormat="1" applyFont="1" applyFill="1" applyBorder="1" applyAlignment="1">
      <alignment horizontal="center" vertical="center" wrapText="1"/>
    </xf>
    <xf numFmtId="182" fontId="102" fillId="4" borderId="7" xfId="4430" applyNumberFormat="1" applyFont="1" applyFill="1" applyBorder="1" applyAlignment="1">
      <alignment horizontal="center" vertical="center"/>
    </xf>
    <xf numFmtId="182" fontId="102" fillId="4" borderId="8" xfId="4430" applyNumberFormat="1" applyFont="1" applyFill="1" applyBorder="1" applyAlignment="1">
      <alignment horizontal="center" vertical="center"/>
    </xf>
    <xf numFmtId="182" fontId="35" fillId="4" borderId="36" xfId="4430" applyNumberFormat="1" applyFont="1" applyFill="1" applyBorder="1" applyAlignment="1">
      <alignment horizontal="center" vertical="center"/>
    </xf>
    <xf numFmtId="182" fontId="102" fillId="4" borderId="10" xfId="4430" applyNumberFormat="1" applyFont="1" applyFill="1" applyBorder="1" applyAlignment="1">
      <alignment horizontal="center" vertical="center"/>
    </xf>
    <xf numFmtId="182" fontId="54" fillId="4" borderId="6" xfId="0" applyNumberFormat="1" applyFont="1" applyFill="1" applyBorder="1" applyAlignment="1">
      <alignment horizontal="center" vertical="center" wrapText="1"/>
    </xf>
    <xf numFmtId="182" fontId="35" fillId="4" borderId="8" xfId="4430" applyNumberFormat="1" applyFont="1" applyFill="1" applyBorder="1" applyAlignment="1">
      <alignment horizontal="center" vertical="center"/>
    </xf>
    <xf numFmtId="182" fontId="35" fillId="4" borderId="10" xfId="4430" applyNumberFormat="1" applyFont="1" applyFill="1" applyBorder="1" applyAlignment="1">
      <alignment horizontal="center" vertical="center"/>
    </xf>
    <xf numFmtId="182" fontId="35" fillId="4" borderId="7" xfId="4430" applyNumberFormat="1" applyFont="1" applyFill="1" applyBorder="1" applyAlignment="1">
      <alignment horizontal="center" vertical="center"/>
    </xf>
    <xf numFmtId="182" fontId="35" fillId="4" borderId="7" xfId="9207" applyNumberFormat="1" applyFont="1" applyFill="1" applyBorder="1" applyAlignment="1">
      <alignment horizontal="center" vertical="center" wrapText="1"/>
    </xf>
    <xf numFmtId="182" fontId="35" fillId="4" borderId="8" xfId="9207" applyNumberFormat="1" applyFont="1" applyFill="1" applyBorder="1" applyAlignment="1">
      <alignment horizontal="center" vertical="center" wrapText="1"/>
    </xf>
    <xf numFmtId="182" fontId="35" fillId="4" borderId="10" xfId="9207" applyNumberFormat="1" applyFont="1" applyFill="1" applyBorder="1" applyAlignment="1">
      <alignment horizontal="center" vertical="center" wrapText="1"/>
    </xf>
    <xf numFmtId="182" fontId="102" fillId="4" borderId="36" xfId="9207" applyNumberFormat="1" applyFont="1" applyFill="1" applyBorder="1" applyAlignment="1">
      <alignment horizontal="center" vertical="center" wrapText="1"/>
    </xf>
    <xf numFmtId="182" fontId="35" fillId="4" borderId="36" xfId="9207" applyNumberFormat="1" applyFont="1" applyFill="1" applyBorder="1" applyAlignment="1">
      <alignment horizontal="center" vertical="center" wrapText="1"/>
    </xf>
    <xf numFmtId="0" fontId="112" fillId="4" borderId="35" xfId="0" applyNumberFormat="1" applyFont="1" applyFill="1" applyBorder="1" applyAlignment="1" applyProtection="1">
      <alignment horizontal="center" vertical="center" wrapText="1"/>
    </xf>
    <xf numFmtId="0" fontId="127" fillId="0" borderId="35" xfId="4430" applyNumberFormat="1" applyFont="1" applyFill="1" applyBorder="1" applyAlignment="1">
      <alignment horizontal="center" vertical="center"/>
    </xf>
    <xf numFmtId="0" fontId="5" fillId="0" borderId="35" xfId="0" applyNumberFormat="1" applyFont="1" applyBorder="1" applyAlignment="1">
      <alignment vertical="center"/>
    </xf>
    <xf numFmtId="0" fontId="0" fillId="0" borderId="35" xfId="0" applyNumberFormat="1" applyBorder="1" applyAlignment="1">
      <alignment vertical="center"/>
    </xf>
    <xf numFmtId="0" fontId="119" fillId="0" borderId="67" xfId="9238" applyNumberFormat="1" applyFont="1" applyFill="1" applyBorder="1" applyAlignment="1">
      <alignment horizontal="center" vertical="center"/>
    </xf>
    <xf numFmtId="0" fontId="120" fillId="0" borderId="67" xfId="9238" applyNumberFormat="1" applyFont="1" applyFill="1" applyBorder="1" applyAlignment="1">
      <alignment horizontal="center" vertical="center"/>
    </xf>
    <xf numFmtId="0" fontId="117" fillId="0" borderId="78" xfId="4687" applyNumberFormat="1" applyFont="1" applyFill="1" applyBorder="1" applyAlignment="1">
      <alignment horizontal="center" vertical="center" wrapText="1"/>
    </xf>
    <xf numFmtId="0" fontId="117" fillId="0" borderId="39" xfId="4687" applyNumberFormat="1" applyFont="1" applyFill="1" applyBorder="1" applyAlignment="1">
      <alignment horizontal="center" vertical="center" wrapText="1"/>
    </xf>
    <xf numFmtId="0" fontId="117" fillId="0" borderId="5" xfId="4687" applyNumberFormat="1" applyFont="1" applyFill="1" applyBorder="1" applyAlignment="1">
      <alignment horizontal="center" vertical="center" wrapText="1"/>
    </xf>
    <xf numFmtId="0" fontId="117" fillId="0" borderId="36" xfId="4687" applyNumberFormat="1" applyFont="1" applyFill="1" applyBorder="1" applyAlignment="1">
      <alignment horizontal="center" vertical="center" wrapText="1"/>
    </xf>
    <xf numFmtId="0" fontId="117" fillId="0" borderId="78" xfId="9238" applyNumberFormat="1" applyFont="1" applyFill="1" applyBorder="1" applyAlignment="1">
      <alignment horizontal="center" vertical="center" wrapText="1"/>
    </xf>
    <xf numFmtId="0" fontId="117" fillId="0" borderId="39" xfId="9238" applyNumberFormat="1" applyFont="1" applyFill="1" applyBorder="1" applyAlignment="1">
      <alignment horizontal="center" vertical="center" wrapText="1"/>
    </xf>
    <xf numFmtId="0" fontId="11" fillId="4" borderId="0" xfId="4430" applyNumberFormat="1" applyFont="1" applyFill="1" applyBorder="1" applyAlignment="1">
      <alignment horizontal="center" vertical="center"/>
    </xf>
    <xf numFmtId="0" fontId="5" fillId="4" borderId="0" xfId="0" applyNumberFormat="1" applyFont="1" applyFill="1" applyAlignment="1">
      <alignment vertical="center"/>
    </xf>
    <xf numFmtId="0" fontId="0" fillId="0" borderId="0" xfId="0" applyNumberFormat="1" applyAlignment="1">
      <alignment vertical="center"/>
    </xf>
    <xf numFmtId="0" fontId="124" fillId="4" borderId="67" xfId="0" applyNumberFormat="1" applyFont="1" applyFill="1" applyBorder="1" applyAlignment="1">
      <alignment horizontal="center" vertical="center"/>
    </xf>
    <xf numFmtId="0" fontId="113" fillId="4" borderId="6" xfId="0" applyNumberFormat="1" applyFont="1" applyFill="1" applyBorder="1" applyAlignment="1">
      <alignment horizontal="center" vertical="center"/>
    </xf>
    <xf numFmtId="0" fontId="113" fillId="4" borderId="5" xfId="0" applyNumberFormat="1" applyFont="1" applyFill="1" applyBorder="1" applyAlignment="1">
      <alignment horizontal="center" vertical="center"/>
    </xf>
    <xf numFmtId="0" fontId="113" fillId="4" borderId="6" xfId="0" applyNumberFormat="1" applyFont="1" applyFill="1" applyBorder="1" applyAlignment="1">
      <alignment horizontal="center" vertical="center" wrapText="1"/>
    </xf>
    <xf numFmtId="0" fontId="113" fillId="4" borderId="5" xfId="0" applyNumberFormat="1" applyFont="1" applyFill="1" applyBorder="1" applyAlignment="1">
      <alignment horizontal="center" vertical="center" wrapText="1"/>
    </xf>
    <xf numFmtId="0" fontId="113" fillId="4" borderId="6" xfId="0" applyNumberFormat="1" applyFont="1" applyFill="1" applyBorder="1" applyAlignment="1">
      <alignment horizontal="left" vertical="center"/>
    </xf>
    <xf numFmtId="0" fontId="113" fillId="4" borderId="5" xfId="0" applyNumberFormat="1" applyFont="1" applyFill="1" applyBorder="1" applyAlignment="1">
      <alignment horizontal="left" vertical="center"/>
    </xf>
    <xf numFmtId="0" fontId="113" fillId="4" borderId="6" xfId="0" applyNumberFormat="1" applyFont="1" applyFill="1" applyBorder="1" applyAlignment="1">
      <alignment horizontal="left" vertical="center" wrapText="1"/>
    </xf>
    <xf numFmtId="0" fontId="113" fillId="4" borderId="5" xfId="0" applyNumberFormat="1" applyFont="1" applyFill="1" applyBorder="1" applyAlignment="1">
      <alignment horizontal="left" vertical="center" wrapText="1"/>
    </xf>
    <xf numFmtId="0" fontId="35" fillId="4" borderId="6" xfId="0" applyNumberFormat="1" applyFont="1" applyFill="1" applyBorder="1" applyAlignment="1">
      <alignment horizontal="center" vertical="center"/>
    </xf>
    <xf numFmtId="0" fontId="120" fillId="4" borderId="67" xfId="9238" applyNumberFormat="1" applyFont="1" applyFill="1" applyBorder="1" applyAlignment="1">
      <alignment horizontal="center" vertical="center"/>
    </xf>
    <xf numFmtId="0" fontId="117" fillId="4" borderId="31" xfId="4687" applyNumberFormat="1" applyFont="1" applyFill="1" applyBorder="1" applyAlignment="1">
      <alignment horizontal="center" vertical="center" wrapText="1"/>
    </xf>
    <xf numFmtId="0" fontId="117" fillId="4" borderId="5" xfId="4687" applyNumberFormat="1" applyFont="1" applyFill="1" applyBorder="1" applyAlignment="1">
      <alignment horizontal="center" vertical="center" wrapText="1"/>
    </xf>
    <xf numFmtId="179" fontId="117" fillId="4" borderId="31" xfId="4687" applyNumberFormat="1" applyFont="1" applyFill="1" applyBorder="1" applyAlignment="1">
      <alignment horizontal="center" vertical="center" wrapText="1"/>
    </xf>
    <xf numFmtId="179" fontId="117" fillId="4" borderId="5" xfId="4687" applyNumberFormat="1" applyFont="1" applyFill="1" applyBorder="1" applyAlignment="1">
      <alignment horizontal="center" vertical="center" wrapText="1"/>
    </xf>
    <xf numFmtId="0" fontId="117" fillId="4" borderId="85" xfId="9238" applyNumberFormat="1" applyFont="1" applyFill="1" applyBorder="1" applyAlignment="1">
      <alignment horizontal="center" vertical="center" wrapText="1"/>
    </xf>
    <xf numFmtId="0" fontId="117" fillId="4" borderId="41" xfId="9238" applyNumberFormat="1" applyFont="1" applyFill="1" applyBorder="1" applyAlignment="1">
      <alignment horizontal="center" vertical="center" wrapText="1"/>
    </xf>
    <xf numFmtId="0" fontId="117" fillId="4" borderId="36" xfId="9238" applyNumberFormat="1" applyFont="1" applyFill="1" applyBorder="1" applyAlignment="1">
      <alignment horizontal="left" vertical="center"/>
    </xf>
    <xf numFmtId="0" fontId="117" fillId="4" borderId="39" xfId="4687" applyNumberFormat="1" applyFont="1" applyFill="1" applyBorder="1" applyAlignment="1">
      <alignment horizontal="center" vertical="center" wrapText="1"/>
    </xf>
    <xf numFmtId="177" fontId="117" fillId="4" borderId="31" xfId="4687" applyNumberFormat="1" applyFont="1" applyFill="1" applyBorder="1" applyAlignment="1">
      <alignment horizontal="center" vertical="center" wrapText="1"/>
    </xf>
    <xf numFmtId="177" fontId="117" fillId="4" borderId="5" xfId="4687" applyNumberFormat="1" applyFont="1" applyFill="1" applyBorder="1" applyAlignment="1">
      <alignment horizontal="center" vertical="center" wrapText="1"/>
    </xf>
    <xf numFmtId="0" fontId="117" fillId="4" borderId="31" xfId="9238" applyNumberFormat="1" applyFont="1" applyFill="1" applyBorder="1" applyAlignment="1">
      <alignment horizontal="center" vertical="center" wrapText="1"/>
    </xf>
    <xf numFmtId="0" fontId="117" fillId="4" borderId="39" xfId="9238" applyNumberFormat="1" applyFont="1" applyFill="1" applyBorder="1" applyAlignment="1">
      <alignment horizontal="center" vertical="center" wrapText="1"/>
    </xf>
    <xf numFmtId="0" fontId="127" fillId="4" borderId="35" xfId="4430" applyNumberFormat="1" applyFont="1" applyFill="1" applyBorder="1" applyAlignment="1">
      <alignment horizontal="center" vertical="center"/>
    </xf>
    <xf numFmtId="0" fontId="117" fillId="4" borderId="74" xfId="9238" applyNumberFormat="1" applyFont="1" applyFill="1" applyBorder="1" applyAlignment="1">
      <alignment horizontal="center" vertical="center" wrapText="1"/>
    </xf>
    <xf numFmtId="0" fontId="127" fillId="4" borderId="0" xfId="4430" applyNumberFormat="1" applyFont="1" applyFill="1" applyBorder="1" applyAlignment="1">
      <alignment horizontal="center" vertical="center"/>
    </xf>
    <xf numFmtId="0" fontId="115" fillId="4" borderId="67" xfId="4612" applyNumberFormat="1" applyFont="1" applyFill="1" applyBorder="1" applyAlignment="1">
      <alignment horizontal="center" vertical="center" wrapText="1"/>
    </xf>
    <xf numFmtId="0" fontId="4" fillId="4" borderId="78" xfId="4612" applyNumberFormat="1" applyFont="1" applyFill="1" applyBorder="1" applyAlignment="1">
      <alignment horizontal="center" vertical="center" wrapText="1"/>
    </xf>
    <xf numFmtId="0" fontId="4" fillId="4" borderId="5" xfId="4612" applyNumberFormat="1" applyFont="1" applyFill="1" applyBorder="1" applyAlignment="1">
      <alignment horizontal="center" vertical="center" wrapText="1"/>
    </xf>
    <xf numFmtId="0" fontId="4" fillId="4" borderId="84" xfId="4612" applyNumberFormat="1" applyFont="1" applyFill="1" applyBorder="1" applyAlignment="1">
      <alignment horizontal="center" vertical="center" wrapText="1"/>
    </xf>
    <xf numFmtId="0" fontId="4" fillId="4" borderId="41" xfId="4612" applyNumberFormat="1" applyFont="1" applyFill="1" applyBorder="1" applyAlignment="1">
      <alignment horizontal="center" vertical="center" wrapText="1"/>
    </xf>
    <xf numFmtId="0" fontId="115" fillId="0" borderId="67" xfId="4612" applyNumberFormat="1" applyFont="1" applyFill="1" applyBorder="1" applyAlignment="1">
      <alignment horizontal="center" vertical="center" wrapText="1"/>
    </xf>
    <xf numFmtId="0" fontId="2" fillId="0" borderId="50" xfId="4612" applyNumberFormat="1" applyFont="1" applyFill="1" applyBorder="1" applyAlignment="1">
      <alignment horizontal="center" vertical="center" wrapText="1"/>
    </xf>
    <xf numFmtId="0" fontId="2" fillId="0" borderId="5" xfId="4612" applyNumberFormat="1" applyFont="1" applyFill="1" applyBorder="1" applyAlignment="1">
      <alignment horizontal="center" vertical="center" wrapText="1"/>
    </xf>
    <xf numFmtId="0" fontId="2" fillId="0" borderId="80" xfId="4612" applyNumberFormat="1" applyFont="1" applyFill="1" applyBorder="1" applyAlignment="1">
      <alignment horizontal="center" vertical="center" wrapText="1"/>
    </xf>
    <xf numFmtId="0" fontId="2" fillId="0" borderId="41" xfId="4612" applyNumberFormat="1" applyFont="1" applyFill="1" applyBorder="1" applyAlignment="1">
      <alignment horizontal="center" vertical="center" wrapText="1"/>
    </xf>
    <xf numFmtId="0" fontId="115" fillId="4" borderId="67" xfId="0" applyNumberFormat="1" applyFont="1" applyFill="1" applyBorder="1" applyAlignment="1">
      <alignment horizontal="center" vertical="center" wrapText="1"/>
    </xf>
    <xf numFmtId="0" fontId="4" fillId="4" borderId="50" xfId="0" applyNumberFormat="1" applyFont="1" applyFill="1" applyBorder="1" applyAlignment="1">
      <alignment horizontal="center" vertical="center" wrapText="1"/>
    </xf>
    <xf numFmtId="0" fontId="4" fillId="4" borderId="5" xfId="0" applyNumberFormat="1" applyFont="1" applyFill="1" applyBorder="1" applyAlignment="1">
      <alignment horizontal="center" vertical="center" wrapText="1"/>
    </xf>
    <xf numFmtId="0" fontId="4" fillId="4" borderId="80" xfId="0" applyNumberFormat="1" applyFont="1" applyFill="1" applyBorder="1" applyAlignment="1">
      <alignment horizontal="center" vertical="center" wrapText="1"/>
    </xf>
    <xf numFmtId="0" fontId="4" fillId="4" borderId="41" xfId="0" applyNumberFormat="1" applyFont="1" applyFill="1" applyBorder="1" applyAlignment="1">
      <alignment horizontal="center" vertical="center" wrapText="1"/>
    </xf>
    <xf numFmtId="0" fontId="127" fillId="0" borderId="0" xfId="4430" applyNumberFormat="1" applyFont="1" applyFill="1" applyBorder="1" applyAlignment="1">
      <alignment horizontal="center" vertical="center"/>
    </xf>
    <xf numFmtId="0" fontId="5" fillId="4" borderId="35" xfId="0" applyNumberFormat="1" applyFont="1" applyFill="1" applyBorder="1" applyAlignment="1">
      <alignment vertical="center"/>
    </xf>
    <xf numFmtId="0" fontId="119" fillId="4" borderId="67" xfId="9238" applyNumberFormat="1" applyFont="1" applyFill="1" applyBorder="1" applyAlignment="1">
      <alignment horizontal="center" vertical="center"/>
    </xf>
    <xf numFmtId="0" fontId="117" fillId="4" borderId="50" xfId="4687" applyNumberFormat="1" applyFont="1" applyFill="1" applyBorder="1" applyAlignment="1">
      <alignment horizontal="center" vertical="center" wrapText="1"/>
    </xf>
    <xf numFmtId="0" fontId="117" fillId="4" borderId="81" xfId="9238" applyNumberFormat="1" applyFont="1" applyFill="1" applyBorder="1" applyAlignment="1">
      <alignment horizontal="center" vertical="center" wrapText="1"/>
    </xf>
    <xf numFmtId="0" fontId="117" fillId="4" borderId="50" xfId="9238" applyNumberFormat="1" applyFont="1" applyFill="1" applyBorder="1" applyAlignment="1">
      <alignment horizontal="center" vertical="center" wrapText="1"/>
    </xf>
    <xf numFmtId="0" fontId="127" fillId="0" borderId="35" xfId="0" applyNumberFormat="1" applyFont="1" applyFill="1" applyBorder="1" applyAlignment="1">
      <alignment horizontal="center" vertical="center"/>
    </xf>
    <xf numFmtId="0" fontId="109" fillId="4" borderId="35" xfId="4430" applyNumberFormat="1" applyFont="1" applyFill="1" applyBorder="1" applyAlignment="1">
      <alignment horizontal="center" vertical="center"/>
    </xf>
    <xf numFmtId="179" fontId="30" fillId="0" borderId="31" xfId="0" applyNumberFormat="1" applyFont="1" applyBorder="1" applyAlignment="1">
      <alignment horizontal="center" vertical="center" wrapText="1"/>
    </xf>
    <xf numFmtId="0" fontId="0" fillId="0" borderId="39" xfId="0" applyNumberFormat="1" applyBorder="1" applyAlignment="1">
      <alignment horizontal="center" vertical="center" wrapText="1"/>
    </xf>
    <xf numFmtId="0" fontId="0" fillId="0" borderId="5" xfId="0" applyNumberFormat="1" applyBorder="1" applyAlignment="1">
      <alignment horizontal="center" vertical="center" wrapText="1"/>
    </xf>
    <xf numFmtId="0" fontId="30" fillId="0" borderId="36" xfId="0" applyNumberFormat="1" applyFont="1" applyBorder="1" applyAlignment="1">
      <alignment horizontal="center" vertical="center" wrapText="1"/>
    </xf>
    <xf numFmtId="0" fontId="137" fillId="0" borderId="67" xfId="0" applyNumberFormat="1" applyFont="1" applyBorder="1" applyAlignment="1">
      <alignment horizontal="center" vertical="center" wrapText="1"/>
    </xf>
    <xf numFmtId="0" fontId="3" fillId="0" borderId="31" xfId="0" applyNumberFormat="1" applyFont="1" applyBorder="1" applyAlignment="1">
      <alignment horizontal="center" vertical="center"/>
    </xf>
    <xf numFmtId="0" fontId="3" fillId="0" borderId="39" xfId="0" applyNumberFormat="1" applyFont="1" applyBorder="1" applyAlignment="1">
      <alignment horizontal="center" vertical="center"/>
    </xf>
    <xf numFmtId="0" fontId="30" fillId="0" borderId="36" xfId="9207" applyNumberFormat="1" applyFont="1" applyFill="1" applyBorder="1" applyAlignment="1">
      <alignment horizontal="center" vertical="center" wrapText="1"/>
    </xf>
    <xf numFmtId="0" fontId="5" fillId="0" borderId="36" xfId="9207" applyNumberFormat="1" applyFont="1" applyFill="1" applyBorder="1" applyAlignment="1">
      <alignment horizontal="center" vertical="center" wrapText="1"/>
    </xf>
    <xf numFmtId="0" fontId="30" fillId="0" borderId="31" xfId="9207" applyNumberFormat="1" applyFont="1" applyFill="1" applyBorder="1" applyAlignment="1">
      <alignment horizontal="center" vertical="center" wrapText="1"/>
    </xf>
    <xf numFmtId="0" fontId="30" fillId="0" borderId="39" xfId="9207" applyNumberFormat="1" applyFont="1" applyFill="1" applyBorder="1" applyAlignment="1">
      <alignment horizontal="center" vertical="center" wrapText="1"/>
    </xf>
    <xf numFmtId="0" fontId="30" fillId="0" borderId="5" xfId="9207" applyNumberFormat="1" applyFont="1" applyFill="1" applyBorder="1" applyAlignment="1">
      <alignment horizontal="center" vertical="center" wrapText="1"/>
    </xf>
    <xf numFmtId="0" fontId="3" fillId="0" borderId="5" xfId="0" applyNumberFormat="1" applyFont="1" applyBorder="1" applyAlignment="1">
      <alignment horizontal="center" vertical="center"/>
    </xf>
    <xf numFmtId="0" fontId="30" fillId="0" borderId="31" xfId="0" applyNumberFormat="1" applyFont="1" applyBorder="1" applyAlignment="1">
      <alignment horizontal="center" vertical="center" wrapText="1"/>
    </xf>
    <xf numFmtId="0" fontId="30" fillId="0" borderId="39" xfId="0" applyNumberFormat="1" applyFont="1" applyBorder="1" applyAlignment="1">
      <alignment horizontal="center" vertical="center" wrapText="1"/>
    </xf>
    <xf numFmtId="0" fontId="30" fillId="0" borderId="5" xfId="0" applyNumberFormat="1" applyFont="1" applyBorder="1" applyAlignment="1">
      <alignment horizontal="center" vertical="center" wrapText="1"/>
    </xf>
    <xf numFmtId="0" fontId="3" fillId="0" borderId="36" xfId="0" applyNumberFormat="1" applyFont="1" applyBorder="1" applyAlignment="1">
      <alignment horizontal="center" vertical="center"/>
    </xf>
    <xf numFmtId="0" fontId="0" fillId="0" borderId="39" xfId="0" applyNumberFormat="1" applyBorder="1" applyAlignment="1">
      <alignment horizontal="center" vertical="center"/>
    </xf>
    <xf numFmtId="0" fontId="0" fillId="0" borderId="5" xfId="0" applyNumberFormat="1" applyBorder="1" applyAlignment="1">
      <alignment horizontal="center" vertical="center"/>
    </xf>
    <xf numFmtId="0" fontId="32" fillId="4" borderId="36" xfId="9207" applyNumberFormat="1" applyFont="1" applyFill="1" applyBorder="1" applyAlignment="1">
      <alignment horizontal="center" vertical="center" wrapText="1"/>
    </xf>
    <xf numFmtId="0" fontId="29" fillId="4" borderId="36" xfId="9207" applyNumberFormat="1" applyFont="1" applyFill="1" applyBorder="1" applyAlignment="1">
      <alignment horizontal="center" vertical="center" wrapText="1"/>
    </xf>
    <xf numFmtId="0" fontId="29" fillId="0" borderId="36" xfId="0" applyNumberFormat="1" applyFont="1" applyBorder="1" applyAlignment="1">
      <alignment horizontal="center" vertical="center"/>
    </xf>
    <xf numFmtId="0" fontId="0" fillId="0" borderId="36" xfId="0" applyNumberFormat="1" applyBorder="1" applyAlignment="1">
      <alignment horizontal="center" vertical="center"/>
    </xf>
    <xf numFmtId="0" fontId="30" fillId="0" borderId="36" xfId="9208" applyNumberFormat="1" applyFont="1" applyFill="1" applyBorder="1" applyAlignment="1">
      <alignment horizontal="center" vertical="center" wrapText="1"/>
    </xf>
    <xf numFmtId="0" fontId="30" fillId="4" borderId="36" xfId="9208" applyNumberFormat="1" applyFont="1" applyFill="1" applyBorder="1" applyAlignment="1">
      <alignment horizontal="center" vertical="center" wrapText="1"/>
    </xf>
    <xf numFmtId="0" fontId="139" fillId="0" borderId="36" xfId="0" applyNumberFormat="1" applyFont="1" applyBorder="1" applyAlignment="1">
      <alignment horizontal="center" vertical="center" wrapText="1"/>
    </xf>
    <xf numFmtId="182" fontId="117" fillId="4" borderId="67" xfId="0" applyFont="1" applyFill="1" applyBorder="1" applyAlignment="1">
      <alignment horizontal="center" vertical="center"/>
    </xf>
    <xf numFmtId="0" fontId="147" fillId="0" borderId="92" xfId="0" applyNumberFormat="1" applyFont="1" applyBorder="1" applyAlignment="1">
      <alignment horizontal="center" vertical="center"/>
    </xf>
    <xf numFmtId="0" fontId="13" fillId="0" borderId="92" xfId="0" applyNumberFormat="1" applyFont="1" applyBorder="1" applyAlignment="1">
      <alignment horizontal="center" vertical="center"/>
    </xf>
    <xf numFmtId="0" fontId="13" fillId="0" borderId="92" xfId="0" applyNumberFormat="1" applyFont="1" applyBorder="1" applyAlignment="1">
      <alignment vertical="center"/>
    </xf>
    <xf numFmtId="0" fontId="54" fillId="0" borderId="78" xfId="4430" applyNumberFormat="1" applyFont="1" applyBorder="1" applyAlignment="1">
      <alignment horizontal="center" vertical="center"/>
    </xf>
    <xf numFmtId="0" fontId="54" fillId="0" borderId="89" xfId="0" applyNumberFormat="1" applyFont="1" applyBorder="1" applyAlignment="1">
      <alignment vertical="center"/>
    </xf>
    <xf numFmtId="0" fontId="54" fillId="0" borderId="78" xfId="4430" applyNumberFormat="1" applyFont="1" applyFill="1" applyBorder="1" applyAlignment="1">
      <alignment horizontal="center" vertical="center"/>
    </xf>
    <xf numFmtId="0" fontId="54" fillId="0" borderId="78" xfId="0" applyNumberFormat="1" applyFont="1" applyBorder="1" applyAlignment="1">
      <alignment horizontal="center" vertical="center" wrapText="1"/>
    </xf>
    <xf numFmtId="0" fontId="54" fillId="0" borderId="89" xfId="0" applyNumberFormat="1" applyFont="1" applyBorder="1" applyAlignment="1">
      <alignment horizontal="center" vertical="center"/>
    </xf>
    <xf numFmtId="0" fontId="54" fillId="0" borderId="90" xfId="0" applyNumberFormat="1" applyFont="1" applyBorder="1" applyAlignment="1">
      <alignment horizontal="center" vertical="center" wrapText="1"/>
    </xf>
    <xf numFmtId="0" fontId="54" fillId="0" borderId="91" xfId="0" applyNumberFormat="1" applyFont="1" applyBorder="1" applyAlignment="1">
      <alignment horizontal="center" vertical="center" wrapText="1"/>
    </xf>
    <xf numFmtId="0" fontId="54" fillId="0" borderId="41" xfId="0" applyNumberFormat="1" applyFont="1" applyBorder="1" applyAlignment="1">
      <alignment horizontal="center" vertical="center" wrapText="1"/>
    </xf>
  </cellXfs>
  <cellStyles count="9489">
    <cellStyle name="0,0_x000d__x000a_NA_x000d__x000a_" xfId="8904"/>
    <cellStyle name="20% - 强调文字颜色 1 2" xfId="22"/>
    <cellStyle name="20% - 强调文字颜色 1 2 2" xfId="23"/>
    <cellStyle name="20% - 强调文字颜色 1 2 2 2" xfId="24"/>
    <cellStyle name="20% - 强调文字颜色 1 2 2 2 2" xfId="25"/>
    <cellStyle name="20% - 强调文字颜色 1 2 2 2 2 2" xfId="26"/>
    <cellStyle name="20% - 强调文字颜色 1 2 2 2 3" xfId="27"/>
    <cellStyle name="20% - 强调文字颜色 1 2 2 2 4" xfId="28"/>
    <cellStyle name="20% - 强调文字颜色 1 2 2 3" xfId="29"/>
    <cellStyle name="20% - 强调文字颜色 1 2 2 3 2" xfId="30"/>
    <cellStyle name="20% - 强调文字颜色 1 2 2 4" xfId="31"/>
    <cellStyle name="20% - 强调文字颜色 1 2 2 4 2" xfId="32"/>
    <cellStyle name="20% - 强调文字颜色 1 2 2 5" xfId="33"/>
    <cellStyle name="20% - 强调文字颜色 1 2 2 6" xfId="34"/>
    <cellStyle name="20% - 强调文字颜色 1 2 2 7" xfId="8878"/>
    <cellStyle name="20% - 强调文字颜色 1 2 2 7 2" xfId="9390"/>
    <cellStyle name="20% - 强调文字颜色 1 2 3" xfId="35"/>
    <cellStyle name="20% - 强调文字颜色 1 2 3 2" xfId="36"/>
    <cellStyle name="20% - 强调文字颜色 1 2 3 2 2" xfId="37"/>
    <cellStyle name="20% - 强调文字颜色 1 2 3 3" xfId="38"/>
    <cellStyle name="20% - 强调文字颜色 1 2 3 4" xfId="39"/>
    <cellStyle name="20% - 强调文字颜色 1 2 4" xfId="40"/>
    <cellStyle name="20% - 强调文字颜色 1 2 4 2" xfId="41"/>
    <cellStyle name="20% - 强调文字颜色 1 2 5" xfId="42"/>
    <cellStyle name="20% - 强调文字颜色 1 2 5 2" xfId="43"/>
    <cellStyle name="20% - 强调文字颜色 1 2 6" xfId="44"/>
    <cellStyle name="20% - 强调文字颜色 1 2 7" xfId="45"/>
    <cellStyle name="20% - 强调文字颜色 1 2 8" xfId="8879"/>
    <cellStyle name="20% - 强调文字颜色 1 2 8 2" xfId="9391"/>
    <cellStyle name="20% - 强调文字颜色 1 3" xfId="46"/>
    <cellStyle name="20% - 强调文字颜色 1 3 2" xfId="47"/>
    <cellStyle name="20% - 强调文字颜色 1 3 2 2" xfId="48"/>
    <cellStyle name="20% - 强调文字颜色 1 3 2 2 2" xfId="49"/>
    <cellStyle name="20% - 强调文字颜色 1 3 2 2 2 2" xfId="50"/>
    <cellStyle name="20% - 强调文字颜色 1 3 2 2 3" xfId="51"/>
    <cellStyle name="20% - 强调文字颜色 1 3 2 2 4" xfId="52"/>
    <cellStyle name="20% - 强调文字颜色 1 3 2 3" xfId="53"/>
    <cellStyle name="20% - 强调文字颜色 1 3 2 3 2" xfId="54"/>
    <cellStyle name="20% - 强调文字颜色 1 3 2 4" xfId="55"/>
    <cellStyle name="20% - 强调文字颜色 1 3 2 4 2" xfId="56"/>
    <cellStyle name="20% - 强调文字颜色 1 3 2 5" xfId="57"/>
    <cellStyle name="20% - 强调文字颜色 1 3 2 6" xfId="58"/>
    <cellStyle name="20% - 强调文字颜色 1 3 2 7" xfId="8876"/>
    <cellStyle name="20% - 强调文字颜色 1 3 2 7 2" xfId="9388"/>
    <cellStyle name="20% - 强调文字颜色 1 3 3" xfId="59"/>
    <cellStyle name="20% - 强调文字颜色 1 3 3 2" xfId="60"/>
    <cellStyle name="20% - 强调文字颜色 1 3 3 2 2" xfId="61"/>
    <cellStyle name="20% - 强调文字颜色 1 3 3 3" xfId="62"/>
    <cellStyle name="20% - 强调文字颜色 1 3 3 4" xfId="63"/>
    <cellStyle name="20% - 强调文字颜色 1 3 4" xfId="64"/>
    <cellStyle name="20% - 强调文字颜色 1 3 4 2" xfId="65"/>
    <cellStyle name="20% - 强调文字颜色 1 3 5" xfId="66"/>
    <cellStyle name="20% - 强调文字颜色 1 3 5 2" xfId="67"/>
    <cellStyle name="20% - 强调文字颜色 1 3 6" xfId="68"/>
    <cellStyle name="20% - 强调文字颜色 1 3 7" xfId="69"/>
    <cellStyle name="20% - 强调文字颜色 1 3 8" xfId="8877"/>
    <cellStyle name="20% - 强调文字颜色 1 3 8 2" xfId="9389"/>
    <cellStyle name="20% - 强调文字颜色 1 4" xfId="70"/>
    <cellStyle name="20% - 强调文字颜色 1 4 2" xfId="71"/>
    <cellStyle name="20% - 强调文字颜色 1 4 2 2" xfId="72"/>
    <cellStyle name="20% - 强调文字颜色 1 4 2 2 2" xfId="73"/>
    <cellStyle name="20% - 强调文字颜色 1 4 2 2 2 2" xfId="74"/>
    <cellStyle name="20% - 强调文字颜色 1 4 2 2 3" xfId="75"/>
    <cellStyle name="20% - 强调文字颜色 1 4 2 2 4" xfId="76"/>
    <cellStyle name="20% - 强调文字颜色 1 4 2 3" xfId="77"/>
    <cellStyle name="20% - 强调文字颜色 1 4 2 3 2" xfId="78"/>
    <cellStyle name="20% - 强调文字颜色 1 4 2 4" xfId="79"/>
    <cellStyle name="20% - 强调文字颜色 1 4 2 4 2" xfId="80"/>
    <cellStyle name="20% - 强调文字颜色 1 4 2 5" xfId="81"/>
    <cellStyle name="20% - 强调文字颜色 1 4 2 6" xfId="82"/>
    <cellStyle name="20% - 强调文字颜色 1 4 2 7" xfId="8874"/>
    <cellStyle name="20% - 强调文字颜色 1 4 2 7 2" xfId="9386"/>
    <cellStyle name="20% - 强调文字颜色 1 4 3" xfId="83"/>
    <cellStyle name="20% - 强调文字颜色 1 4 3 2" xfId="84"/>
    <cellStyle name="20% - 强调文字颜色 1 4 3 2 2" xfId="85"/>
    <cellStyle name="20% - 强调文字颜色 1 4 3 3" xfId="86"/>
    <cellStyle name="20% - 强调文字颜色 1 4 3 4" xfId="87"/>
    <cellStyle name="20% - 强调文字颜色 1 4 4" xfId="88"/>
    <cellStyle name="20% - 强调文字颜色 1 4 4 2" xfId="89"/>
    <cellStyle name="20% - 强调文字颜色 1 4 5" xfId="90"/>
    <cellStyle name="20% - 强调文字颜色 1 4 5 2" xfId="91"/>
    <cellStyle name="20% - 强调文字颜色 1 4 6" xfId="92"/>
    <cellStyle name="20% - 强调文字颜色 1 4 7" xfId="93"/>
    <cellStyle name="20% - 强调文字颜色 1 4 8" xfId="8875"/>
    <cellStyle name="20% - 强调文字颜色 1 4 8 2" xfId="9387"/>
    <cellStyle name="20% - 强调文字颜色 1 5" xfId="94"/>
    <cellStyle name="20% - 强调文字颜色 1 5 2" xfId="95"/>
    <cellStyle name="20% - 强调文字颜色 1 5 2 2" xfId="96"/>
    <cellStyle name="20% - 强调文字颜色 1 5 2 2 2" xfId="97"/>
    <cellStyle name="20% - 强调文字颜色 1 5 2 3" xfId="98"/>
    <cellStyle name="20% - 强调文字颜色 1 5 2 4" xfId="99"/>
    <cellStyle name="20% - 强调文字颜色 1 5 3" xfId="100"/>
    <cellStyle name="20% - 强调文字颜色 1 5 3 2" xfId="101"/>
    <cellStyle name="20% - 强调文字颜色 1 5 4" xfId="102"/>
    <cellStyle name="20% - 强调文字颜色 1 5 4 2" xfId="103"/>
    <cellStyle name="20% - 强调文字颜色 1 5 5" xfId="104"/>
    <cellStyle name="20% - 强调文字颜色 1 5 6" xfId="105"/>
    <cellStyle name="20% - 强调文字颜色 1 6" xfId="106"/>
    <cellStyle name="20% - 强调文字颜色 1 6 2" xfId="107"/>
    <cellStyle name="20% - 强调文字颜色 1 6 2 2" xfId="108"/>
    <cellStyle name="20% - 强调文字颜色 1 6 2 2 2" xfId="109"/>
    <cellStyle name="20% - 强调文字颜色 1 6 2 3" xfId="110"/>
    <cellStyle name="20% - 强调文字颜色 1 6 2 4" xfId="111"/>
    <cellStyle name="20% - 强调文字颜色 1 6 3" xfId="112"/>
    <cellStyle name="20% - 强调文字颜色 1 6 3 2" xfId="113"/>
    <cellStyle name="20% - 强调文字颜色 1 6 4" xfId="114"/>
    <cellStyle name="20% - 强调文字颜色 1 6 4 2" xfId="115"/>
    <cellStyle name="20% - 强调文字颜色 1 6 5" xfId="116"/>
    <cellStyle name="20% - 强调文字颜色 1 6 6" xfId="117"/>
    <cellStyle name="20% - 强调文字颜色 1 7" xfId="118"/>
    <cellStyle name="20% - 强调文字颜色 1 7 2" xfId="119"/>
    <cellStyle name="20% - 强调文字颜色 1 7 2 2" xfId="120"/>
    <cellStyle name="20% - 强调文字颜色 1 7 2 2 2" xfId="121"/>
    <cellStyle name="20% - 强调文字颜色 1 7 2 3" xfId="122"/>
    <cellStyle name="20% - 强调文字颜色 1 7 2 4" xfId="123"/>
    <cellStyle name="20% - 强调文字颜色 1 7 3" xfId="124"/>
    <cellStyle name="20% - 强调文字颜色 1 7 3 2" xfId="125"/>
    <cellStyle name="20% - 强调文字颜色 1 7 4" xfId="126"/>
    <cellStyle name="20% - 强调文字颜色 1 7 4 2" xfId="127"/>
    <cellStyle name="20% - 强调文字颜色 1 7 5" xfId="128"/>
    <cellStyle name="20% - 强调文字颜色 1 7 6" xfId="129"/>
    <cellStyle name="20% - 强调文字颜色 2 2" xfId="130"/>
    <cellStyle name="20% - 强调文字颜色 2 2 2" xfId="131"/>
    <cellStyle name="20% - 强调文字颜色 2 2 2 2" xfId="132"/>
    <cellStyle name="20% - 强调文字颜色 2 2 2 2 2" xfId="133"/>
    <cellStyle name="20% - 强调文字颜色 2 2 2 2 2 2" xfId="134"/>
    <cellStyle name="20% - 强调文字颜色 2 2 2 2 3" xfId="135"/>
    <cellStyle name="20% - 强调文字颜色 2 2 2 2 4" xfId="136"/>
    <cellStyle name="20% - 强调文字颜色 2 2 2 3" xfId="137"/>
    <cellStyle name="20% - 强调文字颜色 2 2 2 3 2" xfId="138"/>
    <cellStyle name="20% - 强调文字颜色 2 2 2 4" xfId="139"/>
    <cellStyle name="20% - 强调文字颜色 2 2 2 4 2" xfId="140"/>
    <cellStyle name="20% - 强调文字颜色 2 2 2 5" xfId="141"/>
    <cellStyle name="20% - 强调文字颜色 2 2 2 6" xfId="142"/>
    <cellStyle name="20% - 强调文字颜色 2 2 2 7" xfId="8872"/>
    <cellStyle name="20% - 强调文字颜色 2 2 2 7 2" xfId="9384"/>
    <cellStyle name="20% - 强调文字颜色 2 2 3" xfId="143"/>
    <cellStyle name="20% - 强调文字颜色 2 2 3 2" xfId="144"/>
    <cellStyle name="20% - 强调文字颜色 2 2 3 2 2" xfId="145"/>
    <cellStyle name="20% - 强调文字颜色 2 2 3 3" xfId="146"/>
    <cellStyle name="20% - 强调文字颜色 2 2 3 4" xfId="147"/>
    <cellStyle name="20% - 强调文字颜色 2 2 4" xfId="148"/>
    <cellStyle name="20% - 强调文字颜色 2 2 4 2" xfId="149"/>
    <cellStyle name="20% - 强调文字颜色 2 2 5" xfId="150"/>
    <cellStyle name="20% - 强调文字颜色 2 2 5 2" xfId="151"/>
    <cellStyle name="20% - 强调文字颜色 2 2 6" xfId="152"/>
    <cellStyle name="20% - 强调文字颜色 2 2 7" xfId="153"/>
    <cellStyle name="20% - 强调文字颜色 2 2 8" xfId="8873"/>
    <cellStyle name="20% - 强调文字颜色 2 2 8 2" xfId="9385"/>
    <cellStyle name="20% - 强调文字颜色 2 3" xfId="154"/>
    <cellStyle name="20% - 强调文字颜色 2 3 2" xfId="155"/>
    <cellStyle name="20% - 强调文字颜色 2 3 2 2" xfId="156"/>
    <cellStyle name="20% - 强调文字颜色 2 3 2 2 2" xfId="157"/>
    <cellStyle name="20% - 强调文字颜色 2 3 2 2 2 2" xfId="158"/>
    <cellStyle name="20% - 强调文字颜色 2 3 2 2 3" xfId="159"/>
    <cellStyle name="20% - 强调文字颜色 2 3 2 2 4" xfId="160"/>
    <cellStyle name="20% - 强调文字颜色 2 3 2 3" xfId="161"/>
    <cellStyle name="20% - 强调文字颜色 2 3 2 3 2" xfId="162"/>
    <cellStyle name="20% - 强调文字颜色 2 3 2 4" xfId="163"/>
    <cellStyle name="20% - 强调文字颜色 2 3 2 4 2" xfId="164"/>
    <cellStyle name="20% - 强调文字颜色 2 3 2 5" xfId="165"/>
    <cellStyle name="20% - 强调文字颜色 2 3 2 6" xfId="166"/>
    <cellStyle name="20% - 强调文字颜色 2 3 2 7" xfId="8870"/>
    <cellStyle name="20% - 强调文字颜色 2 3 2 7 2" xfId="9382"/>
    <cellStyle name="20% - 强调文字颜色 2 3 3" xfId="167"/>
    <cellStyle name="20% - 强调文字颜色 2 3 3 2" xfId="168"/>
    <cellStyle name="20% - 强调文字颜色 2 3 3 2 2" xfId="169"/>
    <cellStyle name="20% - 强调文字颜色 2 3 3 3" xfId="170"/>
    <cellStyle name="20% - 强调文字颜色 2 3 3 4" xfId="171"/>
    <cellStyle name="20% - 强调文字颜色 2 3 4" xfId="172"/>
    <cellStyle name="20% - 强调文字颜色 2 3 4 2" xfId="173"/>
    <cellStyle name="20% - 强调文字颜色 2 3 5" xfId="174"/>
    <cellStyle name="20% - 强调文字颜色 2 3 5 2" xfId="175"/>
    <cellStyle name="20% - 强调文字颜色 2 3 6" xfId="176"/>
    <cellStyle name="20% - 强调文字颜色 2 3 7" xfId="177"/>
    <cellStyle name="20% - 强调文字颜色 2 3 8" xfId="8871"/>
    <cellStyle name="20% - 强调文字颜色 2 3 8 2" xfId="9383"/>
    <cellStyle name="20% - 强调文字颜色 2 4" xfId="178"/>
    <cellStyle name="20% - 强调文字颜色 2 4 2" xfId="179"/>
    <cellStyle name="20% - 强调文字颜色 2 4 2 2" xfId="180"/>
    <cellStyle name="20% - 强调文字颜色 2 4 2 2 2" xfId="181"/>
    <cellStyle name="20% - 强调文字颜色 2 4 2 2 2 2" xfId="182"/>
    <cellStyle name="20% - 强调文字颜色 2 4 2 2 3" xfId="183"/>
    <cellStyle name="20% - 强调文字颜色 2 4 2 2 4" xfId="184"/>
    <cellStyle name="20% - 强调文字颜色 2 4 2 3" xfId="185"/>
    <cellStyle name="20% - 强调文字颜色 2 4 2 3 2" xfId="186"/>
    <cellStyle name="20% - 强调文字颜色 2 4 2 4" xfId="187"/>
    <cellStyle name="20% - 强调文字颜色 2 4 2 4 2" xfId="188"/>
    <cellStyle name="20% - 强调文字颜色 2 4 2 5" xfId="189"/>
    <cellStyle name="20% - 强调文字颜色 2 4 2 6" xfId="190"/>
    <cellStyle name="20% - 强调文字颜色 2 4 2 7" xfId="8868"/>
    <cellStyle name="20% - 强调文字颜色 2 4 2 7 2" xfId="9380"/>
    <cellStyle name="20% - 强调文字颜色 2 4 3" xfId="191"/>
    <cellStyle name="20% - 强调文字颜色 2 4 3 2" xfId="192"/>
    <cellStyle name="20% - 强调文字颜色 2 4 3 2 2" xfId="193"/>
    <cellStyle name="20% - 强调文字颜色 2 4 3 3" xfId="194"/>
    <cellStyle name="20% - 强调文字颜色 2 4 3 4" xfId="195"/>
    <cellStyle name="20% - 强调文字颜色 2 4 4" xfId="196"/>
    <cellStyle name="20% - 强调文字颜色 2 4 4 2" xfId="197"/>
    <cellStyle name="20% - 强调文字颜色 2 4 5" xfId="198"/>
    <cellStyle name="20% - 强调文字颜色 2 4 5 2" xfId="199"/>
    <cellStyle name="20% - 强调文字颜色 2 4 6" xfId="200"/>
    <cellStyle name="20% - 强调文字颜色 2 4 7" xfId="201"/>
    <cellStyle name="20% - 强调文字颜色 2 4 8" xfId="8869"/>
    <cellStyle name="20% - 强调文字颜色 2 4 8 2" xfId="9381"/>
    <cellStyle name="20% - 强调文字颜色 2 5" xfId="202"/>
    <cellStyle name="20% - 强调文字颜色 2 5 2" xfId="203"/>
    <cellStyle name="20% - 强调文字颜色 2 5 2 2" xfId="204"/>
    <cellStyle name="20% - 强调文字颜色 2 5 2 2 2" xfId="205"/>
    <cellStyle name="20% - 强调文字颜色 2 5 2 3" xfId="206"/>
    <cellStyle name="20% - 强调文字颜色 2 5 2 4" xfId="207"/>
    <cellStyle name="20% - 强调文字颜色 2 5 3" xfId="208"/>
    <cellStyle name="20% - 强调文字颜色 2 5 3 2" xfId="209"/>
    <cellStyle name="20% - 强调文字颜色 2 5 4" xfId="210"/>
    <cellStyle name="20% - 强调文字颜色 2 5 4 2" xfId="211"/>
    <cellStyle name="20% - 强调文字颜色 2 5 5" xfId="212"/>
    <cellStyle name="20% - 强调文字颜色 2 5 6" xfId="213"/>
    <cellStyle name="20% - 强调文字颜色 2 6" xfId="214"/>
    <cellStyle name="20% - 强调文字颜色 2 6 2" xfId="215"/>
    <cellStyle name="20% - 强调文字颜色 2 6 2 2" xfId="216"/>
    <cellStyle name="20% - 强调文字颜色 2 6 2 2 2" xfId="217"/>
    <cellStyle name="20% - 强调文字颜色 2 6 2 3" xfId="218"/>
    <cellStyle name="20% - 强调文字颜色 2 6 2 4" xfId="219"/>
    <cellStyle name="20% - 强调文字颜色 2 6 3" xfId="220"/>
    <cellStyle name="20% - 强调文字颜色 2 6 3 2" xfId="221"/>
    <cellStyle name="20% - 强调文字颜色 2 6 4" xfId="222"/>
    <cellStyle name="20% - 强调文字颜色 2 6 4 2" xfId="223"/>
    <cellStyle name="20% - 强调文字颜色 2 6 5" xfId="224"/>
    <cellStyle name="20% - 强调文字颜色 2 6 6" xfId="225"/>
    <cellStyle name="20% - 强调文字颜色 2 7" xfId="226"/>
    <cellStyle name="20% - 强调文字颜色 2 7 2" xfId="227"/>
    <cellStyle name="20% - 强调文字颜色 2 7 2 2" xfId="228"/>
    <cellStyle name="20% - 强调文字颜色 2 7 2 2 2" xfId="229"/>
    <cellStyle name="20% - 强调文字颜色 2 7 2 3" xfId="230"/>
    <cellStyle name="20% - 强调文字颜色 2 7 2 4" xfId="231"/>
    <cellStyle name="20% - 强调文字颜色 2 7 3" xfId="232"/>
    <cellStyle name="20% - 强调文字颜色 2 7 3 2" xfId="233"/>
    <cellStyle name="20% - 强调文字颜色 2 7 4" xfId="234"/>
    <cellStyle name="20% - 强调文字颜色 2 7 4 2" xfId="235"/>
    <cellStyle name="20% - 强调文字颜色 2 7 5" xfId="236"/>
    <cellStyle name="20% - 强调文字颜色 2 7 6" xfId="237"/>
    <cellStyle name="20% - 强调文字颜色 3 2" xfId="238"/>
    <cellStyle name="20% - 强调文字颜色 3 2 2" xfId="239"/>
    <cellStyle name="20% - 强调文字颜色 3 2 2 2" xfId="240"/>
    <cellStyle name="20% - 强调文字颜色 3 2 2 2 2" xfId="241"/>
    <cellStyle name="20% - 强调文字颜色 3 2 2 2 2 2" xfId="242"/>
    <cellStyle name="20% - 强调文字颜色 3 2 2 2 3" xfId="243"/>
    <cellStyle name="20% - 强调文字颜色 3 2 2 2 4" xfId="244"/>
    <cellStyle name="20% - 强调文字颜色 3 2 2 3" xfId="245"/>
    <cellStyle name="20% - 强调文字颜色 3 2 2 3 2" xfId="246"/>
    <cellStyle name="20% - 强调文字颜色 3 2 2 4" xfId="247"/>
    <cellStyle name="20% - 强调文字颜色 3 2 2 4 2" xfId="248"/>
    <cellStyle name="20% - 强调文字颜色 3 2 2 5" xfId="249"/>
    <cellStyle name="20% - 强调文字颜色 3 2 2 6" xfId="250"/>
    <cellStyle name="20% - 强调文字颜色 3 2 2 7" xfId="8627"/>
    <cellStyle name="20% - 强调文字颜色 3 2 2 7 2" xfId="9310"/>
    <cellStyle name="20% - 强调文字颜色 3 2 3" xfId="251"/>
    <cellStyle name="20% - 强调文字颜色 3 2 3 2" xfId="252"/>
    <cellStyle name="20% - 强调文字颜色 3 2 3 2 2" xfId="253"/>
    <cellStyle name="20% - 强调文字颜色 3 2 3 3" xfId="254"/>
    <cellStyle name="20% - 强调文字颜色 3 2 3 4" xfId="255"/>
    <cellStyle name="20% - 强调文字颜色 3 2 4" xfId="256"/>
    <cellStyle name="20% - 强调文字颜色 3 2 4 2" xfId="257"/>
    <cellStyle name="20% - 强调文字颜色 3 2 5" xfId="258"/>
    <cellStyle name="20% - 强调文字颜色 3 2 5 2" xfId="259"/>
    <cellStyle name="20% - 强调文字颜色 3 2 6" xfId="260"/>
    <cellStyle name="20% - 强调文字颜色 3 2 7" xfId="261"/>
    <cellStyle name="20% - 强调文字颜色 3 2 8" xfId="8867"/>
    <cellStyle name="20% - 强调文字颜色 3 2 8 2" xfId="9379"/>
    <cellStyle name="20% - 强调文字颜色 3 3" xfId="262"/>
    <cellStyle name="20% - 强调文字颜色 3 3 2" xfId="263"/>
    <cellStyle name="20% - 强调文字颜色 3 3 2 2" xfId="264"/>
    <cellStyle name="20% - 强调文字颜色 3 3 2 2 2" xfId="265"/>
    <cellStyle name="20% - 强调文字颜色 3 3 2 2 2 2" xfId="266"/>
    <cellStyle name="20% - 强调文字颜色 3 3 2 2 3" xfId="267"/>
    <cellStyle name="20% - 强调文字颜色 3 3 2 2 4" xfId="268"/>
    <cellStyle name="20% - 强调文字颜色 3 3 2 3" xfId="269"/>
    <cellStyle name="20% - 强调文字颜色 3 3 2 3 2" xfId="270"/>
    <cellStyle name="20% - 强调文字颜色 3 3 2 4" xfId="271"/>
    <cellStyle name="20% - 强调文字颜色 3 3 2 4 2" xfId="272"/>
    <cellStyle name="20% - 强调文字颜色 3 3 2 5" xfId="273"/>
    <cellStyle name="20% - 强调文字颜色 3 3 2 6" xfId="274"/>
    <cellStyle name="20% - 强调文字颜色 3 3 2 7" xfId="8629"/>
    <cellStyle name="20% - 强调文字颜色 3 3 2 7 2" xfId="9312"/>
    <cellStyle name="20% - 强调文字颜色 3 3 3" xfId="275"/>
    <cellStyle name="20% - 强调文字颜色 3 3 3 2" xfId="276"/>
    <cellStyle name="20% - 强调文字颜色 3 3 3 2 2" xfId="277"/>
    <cellStyle name="20% - 强调文字颜色 3 3 3 3" xfId="278"/>
    <cellStyle name="20% - 强调文字颜色 3 3 3 4" xfId="279"/>
    <cellStyle name="20% - 强调文字颜色 3 3 4" xfId="280"/>
    <cellStyle name="20% - 强调文字颜色 3 3 4 2" xfId="281"/>
    <cellStyle name="20% - 强调文字颜色 3 3 5" xfId="282"/>
    <cellStyle name="20% - 强调文字颜色 3 3 5 2" xfId="283"/>
    <cellStyle name="20% - 强调文字颜色 3 3 6" xfId="284"/>
    <cellStyle name="20% - 强调文字颜色 3 3 7" xfId="285"/>
    <cellStyle name="20% - 强调文字颜色 3 3 8" xfId="8628"/>
    <cellStyle name="20% - 强调文字颜色 3 3 8 2" xfId="9311"/>
    <cellStyle name="20% - 强调文字颜色 3 4" xfId="286"/>
    <cellStyle name="20% - 强调文字颜色 3 4 2" xfId="287"/>
    <cellStyle name="20% - 强调文字颜色 3 4 2 2" xfId="288"/>
    <cellStyle name="20% - 强调文字颜色 3 4 2 2 2" xfId="289"/>
    <cellStyle name="20% - 强调文字颜色 3 4 2 2 2 2" xfId="290"/>
    <cellStyle name="20% - 强调文字颜色 3 4 2 2 3" xfId="291"/>
    <cellStyle name="20% - 强调文字颜色 3 4 2 2 4" xfId="292"/>
    <cellStyle name="20% - 强调文字颜色 3 4 2 3" xfId="293"/>
    <cellStyle name="20% - 强调文字颜色 3 4 2 3 2" xfId="294"/>
    <cellStyle name="20% - 强调文字颜色 3 4 2 4" xfId="295"/>
    <cellStyle name="20% - 强调文字颜色 3 4 2 4 2" xfId="296"/>
    <cellStyle name="20% - 强调文字颜色 3 4 2 5" xfId="297"/>
    <cellStyle name="20% - 强调文字颜色 3 4 2 6" xfId="298"/>
    <cellStyle name="20% - 强调文字颜色 3 4 2 7" xfId="8631"/>
    <cellStyle name="20% - 强调文字颜色 3 4 2 7 2" xfId="9314"/>
    <cellStyle name="20% - 强调文字颜色 3 4 3" xfId="299"/>
    <cellStyle name="20% - 强调文字颜色 3 4 3 2" xfId="300"/>
    <cellStyle name="20% - 强调文字颜色 3 4 3 2 2" xfId="301"/>
    <cellStyle name="20% - 强调文字颜色 3 4 3 3" xfId="302"/>
    <cellStyle name="20% - 强调文字颜色 3 4 3 4" xfId="303"/>
    <cellStyle name="20% - 强调文字颜色 3 4 4" xfId="304"/>
    <cellStyle name="20% - 强调文字颜色 3 4 4 2" xfId="305"/>
    <cellStyle name="20% - 强调文字颜色 3 4 5" xfId="306"/>
    <cellStyle name="20% - 强调文字颜色 3 4 5 2" xfId="307"/>
    <cellStyle name="20% - 强调文字颜色 3 4 6" xfId="308"/>
    <cellStyle name="20% - 强调文字颜色 3 4 7" xfId="309"/>
    <cellStyle name="20% - 强调文字颜色 3 4 8" xfId="8630"/>
    <cellStyle name="20% - 强调文字颜色 3 4 8 2" xfId="9313"/>
    <cellStyle name="20% - 强调文字颜色 3 5" xfId="310"/>
    <cellStyle name="20% - 强调文字颜色 3 5 2" xfId="311"/>
    <cellStyle name="20% - 强调文字颜色 3 5 2 2" xfId="312"/>
    <cellStyle name="20% - 强调文字颜色 3 5 2 2 2" xfId="313"/>
    <cellStyle name="20% - 强调文字颜色 3 5 2 3" xfId="314"/>
    <cellStyle name="20% - 强调文字颜色 3 5 2 4" xfId="315"/>
    <cellStyle name="20% - 强调文字颜色 3 5 3" xfId="316"/>
    <cellStyle name="20% - 强调文字颜色 3 5 3 2" xfId="317"/>
    <cellStyle name="20% - 强调文字颜色 3 5 4" xfId="318"/>
    <cellStyle name="20% - 强调文字颜色 3 5 4 2" xfId="319"/>
    <cellStyle name="20% - 强调文字颜色 3 5 5" xfId="320"/>
    <cellStyle name="20% - 强调文字颜色 3 5 6" xfId="321"/>
    <cellStyle name="20% - 强调文字颜色 3 6" xfId="322"/>
    <cellStyle name="20% - 强调文字颜色 3 6 2" xfId="323"/>
    <cellStyle name="20% - 强调文字颜色 3 6 2 2" xfId="324"/>
    <cellStyle name="20% - 强调文字颜色 3 6 2 2 2" xfId="325"/>
    <cellStyle name="20% - 强调文字颜色 3 6 2 3" xfId="326"/>
    <cellStyle name="20% - 强调文字颜色 3 6 2 4" xfId="327"/>
    <cellStyle name="20% - 强调文字颜色 3 6 3" xfId="328"/>
    <cellStyle name="20% - 强调文字颜色 3 6 3 2" xfId="329"/>
    <cellStyle name="20% - 强调文字颜色 3 6 4" xfId="330"/>
    <cellStyle name="20% - 强调文字颜色 3 6 4 2" xfId="331"/>
    <cellStyle name="20% - 强调文字颜色 3 6 5" xfId="332"/>
    <cellStyle name="20% - 强调文字颜色 3 6 6" xfId="333"/>
    <cellStyle name="20% - 强调文字颜色 3 7" xfId="334"/>
    <cellStyle name="20% - 强调文字颜色 3 7 2" xfId="335"/>
    <cellStyle name="20% - 强调文字颜色 3 7 2 2" xfId="336"/>
    <cellStyle name="20% - 强调文字颜色 3 7 2 2 2" xfId="337"/>
    <cellStyle name="20% - 强调文字颜色 3 7 2 3" xfId="338"/>
    <cellStyle name="20% - 强调文字颜色 3 7 2 4" xfId="339"/>
    <cellStyle name="20% - 强调文字颜色 3 7 3" xfId="340"/>
    <cellStyle name="20% - 强调文字颜色 3 7 3 2" xfId="341"/>
    <cellStyle name="20% - 强调文字颜色 3 7 4" xfId="342"/>
    <cellStyle name="20% - 强调文字颜色 3 7 4 2" xfId="343"/>
    <cellStyle name="20% - 强调文字颜色 3 7 5" xfId="344"/>
    <cellStyle name="20% - 强调文字颜色 3 7 6" xfId="345"/>
    <cellStyle name="20% - 强调文字颜色 4 2" xfId="346"/>
    <cellStyle name="20% - 强调文字颜色 4 2 2" xfId="347"/>
    <cellStyle name="20% - 强调文字颜色 4 2 2 2" xfId="348"/>
    <cellStyle name="20% - 强调文字颜色 4 2 2 2 2" xfId="349"/>
    <cellStyle name="20% - 强调文字颜色 4 2 2 2 2 2" xfId="350"/>
    <cellStyle name="20% - 强调文字颜色 4 2 2 2 3" xfId="351"/>
    <cellStyle name="20% - 强调文字颜色 4 2 2 2 4" xfId="352"/>
    <cellStyle name="20% - 强调文字颜色 4 2 2 3" xfId="353"/>
    <cellStyle name="20% - 强调文字颜色 4 2 2 3 2" xfId="354"/>
    <cellStyle name="20% - 强调文字颜色 4 2 2 4" xfId="355"/>
    <cellStyle name="20% - 强调文字颜色 4 2 2 4 2" xfId="356"/>
    <cellStyle name="20% - 强调文字颜色 4 2 2 5" xfId="357"/>
    <cellStyle name="20% - 强调文字颜色 4 2 2 6" xfId="358"/>
    <cellStyle name="20% - 强调文字颜色 4 2 2 7" xfId="8633"/>
    <cellStyle name="20% - 强调文字颜色 4 2 2 7 2" xfId="9316"/>
    <cellStyle name="20% - 强调文字颜色 4 2 3" xfId="359"/>
    <cellStyle name="20% - 强调文字颜色 4 2 3 2" xfId="360"/>
    <cellStyle name="20% - 强调文字颜色 4 2 3 2 2" xfId="361"/>
    <cellStyle name="20% - 强调文字颜色 4 2 3 3" xfId="362"/>
    <cellStyle name="20% - 强调文字颜色 4 2 3 4" xfId="363"/>
    <cellStyle name="20% - 强调文字颜色 4 2 4" xfId="364"/>
    <cellStyle name="20% - 强调文字颜色 4 2 4 2" xfId="365"/>
    <cellStyle name="20% - 强调文字颜色 4 2 5" xfId="366"/>
    <cellStyle name="20% - 强调文字颜色 4 2 5 2" xfId="367"/>
    <cellStyle name="20% - 强调文字颜色 4 2 6" xfId="368"/>
    <cellStyle name="20% - 强调文字颜色 4 2 7" xfId="369"/>
    <cellStyle name="20% - 强调文字颜色 4 2 8" xfId="8632"/>
    <cellStyle name="20% - 强调文字颜色 4 2 8 2" xfId="9315"/>
    <cellStyle name="20% - 强调文字颜色 4 3" xfId="370"/>
    <cellStyle name="20% - 强调文字颜色 4 3 2" xfId="371"/>
    <cellStyle name="20% - 强调文字颜色 4 3 2 2" xfId="372"/>
    <cellStyle name="20% - 强调文字颜色 4 3 2 2 2" xfId="373"/>
    <cellStyle name="20% - 强调文字颜色 4 3 2 2 2 2" xfId="374"/>
    <cellStyle name="20% - 强调文字颜色 4 3 2 2 3" xfId="375"/>
    <cellStyle name="20% - 强调文字颜色 4 3 2 2 4" xfId="376"/>
    <cellStyle name="20% - 强调文字颜色 4 3 2 3" xfId="377"/>
    <cellStyle name="20% - 强调文字颜色 4 3 2 3 2" xfId="378"/>
    <cellStyle name="20% - 强调文字颜色 4 3 2 4" xfId="379"/>
    <cellStyle name="20% - 强调文字颜色 4 3 2 4 2" xfId="380"/>
    <cellStyle name="20% - 强调文字颜色 4 3 2 5" xfId="381"/>
    <cellStyle name="20% - 强调文字颜色 4 3 2 6" xfId="382"/>
    <cellStyle name="20% - 强调文字颜色 4 3 2 7" xfId="8635"/>
    <cellStyle name="20% - 强调文字颜色 4 3 2 7 2" xfId="9318"/>
    <cellStyle name="20% - 强调文字颜色 4 3 3" xfId="383"/>
    <cellStyle name="20% - 强调文字颜色 4 3 3 2" xfId="384"/>
    <cellStyle name="20% - 强调文字颜色 4 3 3 2 2" xfId="385"/>
    <cellStyle name="20% - 强调文字颜色 4 3 3 3" xfId="386"/>
    <cellStyle name="20% - 强调文字颜色 4 3 3 4" xfId="387"/>
    <cellStyle name="20% - 强调文字颜色 4 3 4" xfId="388"/>
    <cellStyle name="20% - 强调文字颜色 4 3 4 2" xfId="389"/>
    <cellStyle name="20% - 强调文字颜色 4 3 5" xfId="390"/>
    <cellStyle name="20% - 强调文字颜色 4 3 5 2" xfId="391"/>
    <cellStyle name="20% - 强调文字颜色 4 3 6" xfId="392"/>
    <cellStyle name="20% - 强调文字颜色 4 3 7" xfId="393"/>
    <cellStyle name="20% - 强调文字颜色 4 3 8" xfId="8634"/>
    <cellStyle name="20% - 强调文字颜色 4 3 8 2" xfId="9317"/>
    <cellStyle name="20% - 强调文字颜色 4 4" xfId="394"/>
    <cellStyle name="20% - 强调文字颜色 4 4 2" xfId="395"/>
    <cellStyle name="20% - 强调文字颜色 4 4 2 2" xfId="396"/>
    <cellStyle name="20% - 强调文字颜色 4 4 2 2 2" xfId="397"/>
    <cellStyle name="20% - 强调文字颜色 4 4 2 2 2 2" xfId="398"/>
    <cellStyle name="20% - 强调文字颜色 4 4 2 2 3" xfId="399"/>
    <cellStyle name="20% - 强调文字颜色 4 4 2 2 4" xfId="400"/>
    <cellStyle name="20% - 强调文字颜色 4 4 2 3" xfId="401"/>
    <cellStyle name="20% - 强调文字颜色 4 4 2 3 2" xfId="402"/>
    <cellStyle name="20% - 强调文字颜色 4 4 2 4" xfId="403"/>
    <cellStyle name="20% - 强调文字颜色 4 4 2 4 2" xfId="404"/>
    <cellStyle name="20% - 强调文字颜色 4 4 2 5" xfId="405"/>
    <cellStyle name="20% - 强调文字颜色 4 4 2 6" xfId="406"/>
    <cellStyle name="20% - 强调文字颜色 4 4 2 7" xfId="8637"/>
    <cellStyle name="20% - 强调文字颜色 4 4 2 7 2" xfId="9320"/>
    <cellStyle name="20% - 强调文字颜色 4 4 3" xfId="407"/>
    <cellStyle name="20% - 强调文字颜色 4 4 3 2" xfId="408"/>
    <cellStyle name="20% - 强调文字颜色 4 4 3 2 2" xfId="409"/>
    <cellStyle name="20% - 强调文字颜色 4 4 3 3" xfId="410"/>
    <cellStyle name="20% - 强调文字颜色 4 4 3 4" xfId="411"/>
    <cellStyle name="20% - 强调文字颜色 4 4 4" xfId="412"/>
    <cellStyle name="20% - 强调文字颜色 4 4 4 2" xfId="413"/>
    <cellStyle name="20% - 强调文字颜色 4 4 5" xfId="414"/>
    <cellStyle name="20% - 强调文字颜色 4 4 5 2" xfId="415"/>
    <cellStyle name="20% - 强调文字颜色 4 4 6" xfId="416"/>
    <cellStyle name="20% - 强调文字颜色 4 4 7" xfId="417"/>
    <cellStyle name="20% - 强调文字颜色 4 4 8" xfId="8636"/>
    <cellStyle name="20% - 强调文字颜色 4 4 8 2" xfId="9319"/>
    <cellStyle name="20% - 强调文字颜色 4 5" xfId="418"/>
    <cellStyle name="20% - 强调文字颜色 4 5 2" xfId="419"/>
    <cellStyle name="20% - 强调文字颜色 4 5 2 2" xfId="420"/>
    <cellStyle name="20% - 强调文字颜色 4 5 2 2 2" xfId="421"/>
    <cellStyle name="20% - 强调文字颜色 4 5 2 3" xfId="422"/>
    <cellStyle name="20% - 强调文字颜色 4 5 2 4" xfId="423"/>
    <cellStyle name="20% - 强调文字颜色 4 5 3" xfId="424"/>
    <cellStyle name="20% - 强调文字颜色 4 5 3 2" xfId="425"/>
    <cellStyle name="20% - 强调文字颜色 4 5 4" xfId="426"/>
    <cellStyle name="20% - 强调文字颜色 4 5 4 2" xfId="427"/>
    <cellStyle name="20% - 强调文字颜色 4 5 5" xfId="428"/>
    <cellStyle name="20% - 强调文字颜色 4 5 6" xfId="429"/>
    <cellStyle name="20% - 强调文字颜色 4 6" xfId="430"/>
    <cellStyle name="20% - 强调文字颜色 4 6 2" xfId="431"/>
    <cellStyle name="20% - 强调文字颜色 4 6 2 2" xfId="432"/>
    <cellStyle name="20% - 强调文字颜色 4 6 2 2 2" xfId="433"/>
    <cellStyle name="20% - 强调文字颜色 4 6 2 3" xfId="434"/>
    <cellStyle name="20% - 强调文字颜色 4 6 2 4" xfId="435"/>
    <cellStyle name="20% - 强调文字颜色 4 6 3" xfId="436"/>
    <cellStyle name="20% - 强调文字颜色 4 6 3 2" xfId="437"/>
    <cellStyle name="20% - 强调文字颜色 4 6 4" xfId="438"/>
    <cellStyle name="20% - 强调文字颜色 4 6 4 2" xfId="439"/>
    <cellStyle name="20% - 强调文字颜色 4 6 5" xfId="440"/>
    <cellStyle name="20% - 强调文字颜色 4 6 6" xfId="441"/>
    <cellStyle name="20% - 强调文字颜色 4 7" xfId="442"/>
    <cellStyle name="20% - 强调文字颜色 4 7 2" xfId="443"/>
    <cellStyle name="20% - 强调文字颜色 4 7 2 2" xfId="444"/>
    <cellStyle name="20% - 强调文字颜色 4 7 2 2 2" xfId="445"/>
    <cellStyle name="20% - 强调文字颜色 4 7 2 3" xfId="446"/>
    <cellStyle name="20% - 强调文字颜色 4 7 2 4" xfId="447"/>
    <cellStyle name="20% - 强调文字颜色 4 7 3" xfId="448"/>
    <cellStyle name="20% - 强调文字颜色 4 7 3 2" xfId="449"/>
    <cellStyle name="20% - 强调文字颜色 4 7 4" xfId="450"/>
    <cellStyle name="20% - 强调文字颜色 4 7 4 2" xfId="451"/>
    <cellStyle name="20% - 强调文字颜色 4 7 5" xfId="452"/>
    <cellStyle name="20% - 强调文字颜色 4 7 6" xfId="453"/>
    <cellStyle name="20% - 强调文字颜色 5 2" xfId="454"/>
    <cellStyle name="20% - 强调文字颜色 5 2 2" xfId="455"/>
    <cellStyle name="20% - 强调文字颜色 5 2 2 2" xfId="456"/>
    <cellStyle name="20% - 强调文字颜色 5 2 2 2 2" xfId="457"/>
    <cellStyle name="20% - 强调文字颜色 5 2 2 2 2 2" xfId="458"/>
    <cellStyle name="20% - 强调文字颜色 5 2 2 2 3" xfId="459"/>
    <cellStyle name="20% - 强调文字颜色 5 2 2 2 4" xfId="460"/>
    <cellStyle name="20% - 强调文字颜色 5 2 2 3" xfId="461"/>
    <cellStyle name="20% - 强调文字颜色 5 2 2 3 2" xfId="462"/>
    <cellStyle name="20% - 强调文字颜色 5 2 2 4" xfId="463"/>
    <cellStyle name="20% - 强调文字颜色 5 2 2 4 2" xfId="464"/>
    <cellStyle name="20% - 强调文字颜色 5 2 2 5" xfId="465"/>
    <cellStyle name="20% - 强调文字颜色 5 2 2 6" xfId="466"/>
    <cellStyle name="20% - 强调文字颜色 5 2 2 7" xfId="8639"/>
    <cellStyle name="20% - 强调文字颜色 5 2 2 7 2" xfId="9322"/>
    <cellStyle name="20% - 强调文字颜色 5 2 3" xfId="467"/>
    <cellStyle name="20% - 强调文字颜色 5 2 3 2" xfId="468"/>
    <cellStyle name="20% - 强调文字颜色 5 2 3 2 2" xfId="469"/>
    <cellStyle name="20% - 强调文字颜色 5 2 3 3" xfId="470"/>
    <cellStyle name="20% - 强调文字颜色 5 2 3 4" xfId="471"/>
    <cellStyle name="20% - 强调文字颜色 5 2 4" xfId="472"/>
    <cellStyle name="20% - 强调文字颜色 5 2 4 2" xfId="473"/>
    <cellStyle name="20% - 强调文字颜色 5 2 5" xfId="474"/>
    <cellStyle name="20% - 强调文字颜色 5 2 5 2" xfId="475"/>
    <cellStyle name="20% - 强调文字颜色 5 2 6" xfId="476"/>
    <cellStyle name="20% - 强调文字颜色 5 2 7" xfId="477"/>
    <cellStyle name="20% - 强调文字颜色 5 2 8" xfId="8638"/>
    <cellStyle name="20% - 强调文字颜色 5 2 8 2" xfId="9321"/>
    <cellStyle name="20% - 强调文字颜色 5 3" xfId="478"/>
    <cellStyle name="20% - 强调文字颜色 5 3 2" xfId="479"/>
    <cellStyle name="20% - 强调文字颜色 5 3 2 2" xfId="480"/>
    <cellStyle name="20% - 强调文字颜色 5 3 2 2 2" xfId="481"/>
    <cellStyle name="20% - 强调文字颜色 5 3 2 2 2 2" xfId="482"/>
    <cellStyle name="20% - 强调文字颜色 5 3 2 2 3" xfId="483"/>
    <cellStyle name="20% - 强调文字颜色 5 3 2 2 4" xfId="484"/>
    <cellStyle name="20% - 强调文字颜色 5 3 2 3" xfId="485"/>
    <cellStyle name="20% - 强调文字颜色 5 3 2 3 2" xfId="486"/>
    <cellStyle name="20% - 强调文字颜色 5 3 2 4" xfId="487"/>
    <cellStyle name="20% - 强调文字颜色 5 3 2 4 2" xfId="488"/>
    <cellStyle name="20% - 强调文字颜色 5 3 2 5" xfId="489"/>
    <cellStyle name="20% - 强调文字颜色 5 3 2 6" xfId="490"/>
    <cellStyle name="20% - 强调文字颜色 5 3 2 7" xfId="8641"/>
    <cellStyle name="20% - 强调文字颜色 5 3 2 7 2" xfId="9324"/>
    <cellStyle name="20% - 强调文字颜色 5 3 3" xfId="491"/>
    <cellStyle name="20% - 强调文字颜色 5 3 3 2" xfId="492"/>
    <cellStyle name="20% - 强调文字颜色 5 3 3 2 2" xfId="493"/>
    <cellStyle name="20% - 强调文字颜色 5 3 3 3" xfId="494"/>
    <cellStyle name="20% - 强调文字颜色 5 3 3 4" xfId="495"/>
    <cellStyle name="20% - 强调文字颜色 5 3 4" xfId="496"/>
    <cellStyle name="20% - 强调文字颜色 5 3 4 2" xfId="497"/>
    <cellStyle name="20% - 强调文字颜色 5 3 5" xfId="498"/>
    <cellStyle name="20% - 强调文字颜色 5 3 5 2" xfId="499"/>
    <cellStyle name="20% - 强调文字颜色 5 3 6" xfId="500"/>
    <cellStyle name="20% - 强调文字颜色 5 3 7" xfId="501"/>
    <cellStyle name="20% - 强调文字颜色 5 3 8" xfId="8640"/>
    <cellStyle name="20% - 强调文字颜色 5 3 8 2" xfId="9323"/>
    <cellStyle name="20% - 强调文字颜色 5 4" xfId="502"/>
    <cellStyle name="20% - 强调文字颜色 5 4 2" xfId="503"/>
    <cellStyle name="20% - 强调文字颜色 5 4 2 2" xfId="504"/>
    <cellStyle name="20% - 强调文字颜色 5 4 2 2 2" xfId="505"/>
    <cellStyle name="20% - 强调文字颜色 5 4 2 2 2 2" xfId="506"/>
    <cellStyle name="20% - 强调文字颜色 5 4 2 2 3" xfId="507"/>
    <cellStyle name="20% - 强调文字颜色 5 4 2 2 4" xfId="508"/>
    <cellStyle name="20% - 强调文字颜色 5 4 2 3" xfId="509"/>
    <cellStyle name="20% - 强调文字颜色 5 4 2 3 2" xfId="510"/>
    <cellStyle name="20% - 强调文字颜色 5 4 2 4" xfId="511"/>
    <cellStyle name="20% - 强调文字颜色 5 4 2 4 2" xfId="512"/>
    <cellStyle name="20% - 强调文字颜色 5 4 2 5" xfId="513"/>
    <cellStyle name="20% - 强调文字颜色 5 4 2 6" xfId="514"/>
    <cellStyle name="20% - 强调文字颜色 5 4 2 7" xfId="8643"/>
    <cellStyle name="20% - 强调文字颜色 5 4 2 7 2" xfId="9326"/>
    <cellStyle name="20% - 强调文字颜色 5 4 3" xfId="515"/>
    <cellStyle name="20% - 强调文字颜色 5 4 3 2" xfId="516"/>
    <cellStyle name="20% - 强调文字颜色 5 4 3 2 2" xfId="517"/>
    <cellStyle name="20% - 强调文字颜色 5 4 3 3" xfId="518"/>
    <cellStyle name="20% - 强调文字颜色 5 4 3 4" xfId="519"/>
    <cellStyle name="20% - 强调文字颜色 5 4 4" xfId="520"/>
    <cellStyle name="20% - 强调文字颜色 5 4 4 2" xfId="521"/>
    <cellStyle name="20% - 强调文字颜色 5 4 5" xfId="522"/>
    <cellStyle name="20% - 强调文字颜色 5 4 5 2" xfId="523"/>
    <cellStyle name="20% - 强调文字颜色 5 4 6" xfId="524"/>
    <cellStyle name="20% - 强调文字颜色 5 4 7" xfId="525"/>
    <cellStyle name="20% - 强调文字颜色 5 4 8" xfId="8642"/>
    <cellStyle name="20% - 强调文字颜色 5 4 8 2" xfId="9325"/>
    <cellStyle name="20% - 强调文字颜色 5 5" xfId="526"/>
    <cellStyle name="20% - 强调文字颜色 5 5 2" xfId="527"/>
    <cellStyle name="20% - 强调文字颜色 5 5 2 2" xfId="528"/>
    <cellStyle name="20% - 强调文字颜色 5 5 2 2 2" xfId="529"/>
    <cellStyle name="20% - 强调文字颜色 5 5 2 3" xfId="530"/>
    <cellStyle name="20% - 强调文字颜色 5 5 2 4" xfId="531"/>
    <cellStyle name="20% - 强调文字颜色 5 5 3" xfId="532"/>
    <cellStyle name="20% - 强调文字颜色 5 5 3 2" xfId="533"/>
    <cellStyle name="20% - 强调文字颜色 5 5 4" xfId="534"/>
    <cellStyle name="20% - 强调文字颜色 5 5 4 2" xfId="535"/>
    <cellStyle name="20% - 强调文字颜色 5 5 5" xfId="536"/>
    <cellStyle name="20% - 强调文字颜色 5 5 6" xfId="537"/>
    <cellStyle name="20% - 强调文字颜色 5 6" xfId="538"/>
    <cellStyle name="20% - 强调文字颜色 5 6 2" xfId="539"/>
    <cellStyle name="20% - 强调文字颜色 5 6 2 2" xfId="540"/>
    <cellStyle name="20% - 强调文字颜色 5 6 2 2 2" xfId="541"/>
    <cellStyle name="20% - 强调文字颜色 5 6 2 3" xfId="542"/>
    <cellStyle name="20% - 强调文字颜色 5 6 2 4" xfId="543"/>
    <cellStyle name="20% - 强调文字颜色 5 6 3" xfId="544"/>
    <cellStyle name="20% - 强调文字颜色 5 6 3 2" xfId="545"/>
    <cellStyle name="20% - 强调文字颜色 5 6 4" xfId="546"/>
    <cellStyle name="20% - 强调文字颜色 5 6 4 2" xfId="547"/>
    <cellStyle name="20% - 强调文字颜色 5 6 5" xfId="548"/>
    <cellStyle name="20% - 强调文字颜色 5 6 6" xfId="549"/>
    <cellStyle name="20% - 强调文字颜色 5 7" xfId="550"/>
    <cellStyle name="20% - 强调文字颜色 5 7 2" xfId="551"/>
    <cellStyle name="20% - 强调文字颜色 5 7 2 2" xfId="552"/>
    <cellStyle name="20% - 强调文字颜色 5 7 2 2 2" xfId="553"/>
    <cellStyle name="20% - 强调文字颜色 5 7 2 3" xfId="554"/>
    <cellStyle name="20% - 强调文字颜色 5 7 2 4" xfId="555"/>
    <cellStyle name="20% - 强调文字颜色 5 7 3" xfId="556"/>
    <cellStyle name="20% - 强调文字颜色 5 7 3 2" xfId="557"/>
    <cellStyle name="20% - 强调文字颜色 5 7 4" xfId="558"/>
    <cellStyle name="20% - 强调文字颜色 5 7 4 2" xfId="559"/>
    <cellStyle name="20% - 强调文字颜色 5 7 5" xfId="560"/>
    <cellStyle name="20% - 强调文字颜色 5 7 6" xfId="561"/>
    <cellStyle name="20% - 强调文字颜色 6 2" xfId="562"/>
    <cellStyle name="20% - 强调文字颜色 6 2 2" xfId="563"/>
    <cellStyle name="20% - 强调文字颜色 6 2 2 2" xfId="564"/>
    <cellStyle name="20% - 强调文字颜色 6 2 2 2 2" xfId="565"/>
    <cellStyle name="20% - 强调文字颜色 6 2 2 2 2 2" xfId="566"/>
    <cellStyle name="20% - 强调文字颜色 6 2 2 2 3" xfId="567"/>
    <cellStyle name="20% - 强调文字颜色 6 2 2 2 4" xfId="568"/>
    <cellStyle name="20% - 强调文字颜色 6 2 2 3" xfId="569"/>
    <cellStyle name="20% - 强调文字颜色 6 2 2 3 2" xfId="570"/>
    <cellStyle name="20% - 强调文字颜色 6 2 2 4" xfId="571"/>
    <cellStyle name="20% - 强调文字颜色 6 2 2 4 2" xfId="572"/>
    <cellStyle name="20% - 强调文字颜色 6 2 2 5" xfId="573"/>
    <cellStyle name="20% - 强调文字颜色 6 2 2 6" xfId="574"/>
    <cellStyle name="20% - 强调文字颜色 6 2 2 7" xfId="8645"/>
    <cellStyle name="20% - 强调文字颜色 6 2 2 7 2" xfId="9328"/>
    <cellStyle name="20% - 强调文字颜色 6 2 3" xfId="575"/>
    <cellStyle name="20% - 强调文字颜色 6 2 3 2" xfId="576"/>
    <cellStyle name="20% - 强调文字颜色 6 2 3 2 2" xfId="577"/>
    <cellStyle name="20% - 强调文字颜色 6 2 3 3" xfId="578"/>
    <cellStyle name="20% - 强调文字颜色 6 2 3 4" xfId="579"/>
    <cellStyle name="20% - 强调文字颜色 6 2 4" xfId="580"/>
    <cellStyle name="20% - 强调文字颜色 6 2 4 2" xfId="581"/>
    <cellStyle name="20% - 强调文字颜色 6 2 5" xfId="582"/>
    <cellStyle name="20% - 强调文字颜色 6 2 5 2" xfId="583"/>
    <cellStyle name="20% - 强调文字颜色 6 2 6" xfId="584"/>
    <cellStyle name="20% - 强调文字颜色 6 2 7" xfId="585"/>
    <cellStyle name="20% - 强调文字颜色 6 2 8" xfId="8644"/>
    <cellStyle name="20% - 强调文字颜色 6 2 8 2" xfId="9327"/>
    <cellStyle name="20% - 强调文字颜色 6 3" xfId="586"/>
    <cellStyle name="20% - 强调文字颜色 6 3 2" xfId="587"/>
    <cellStyle name="20% - 强调文字颜色 6 3 2 2" xfId="588"/>
    <cellStyle name="20% - 强调文字颜色 6 3 2 2 2" xfId="589"/>
    <cellStyle name="20% - 强调文字颜色 6 3 2 2 2 2" xfId="590"/>
    <cellStyle name="20% - 强调文字颜色 6 3 2 2 3" xfId="591"/>
    <cellStyle name="20% - 强调文字颜色 6 3 2 2 4" xfId="592"/>
    <cellStyle name="20% - 强调文字颜色 6 3 2 3" xfId="593"/>
    <cellStyle name="20% - 强调文字颜色 6 3 2 3 2" xfId="594"/>
    <cellStyle name="20% - 强调文字颜色 6 3 2 4" xfId="595"/>
    <cellStyle name="20% - 强调文字颜色 6 3 2 4 2" xfId="596"/>
    <cellStyle name="20% - 强调文字颜色 6 3 2 5" xfId="597"/>
    <cellStyle name="20% - 强调文字颜色 6 3 2 6" xfId="598"/>
    <cellStyle name="20% - 强调文字颜色 6 3 2 7" xfId="8647"/>
    <cellStyle name="20% - 强调文字颜色 6 3 2 7 2" xfId="9330"/>
    <cellStyle name="20% - 强调文字颜色 6 3 3" xfId="599"/>
    <cellStyle name="20% - 强调文字颜色 6 3 3 2" xfId="600"/>
    <cellStyle name="20% - 强调文字颜色 6 3 3 2 2" xfId="601"/>
    <cellStyle name="20% - 强调文字颜色 6 3 3 3" xfId="602"/>
    <cellStyle name="20% - 强调文字颜色 6 3 3 4" xfId="603"/>
    <cellStyle name="20% - 强调文字颜色 6 3 4" xfId="604"/>
    <cellStyle name="20% - 强调文字颜色 6 3 4 2" xfId="605"/>
    <cellStyle name="20% - 强调文字颜色 6 3 5" xfId="606"/>
    <cellStyle name="20% - 强调文字颜色 6 3 5 2" xfId="607"/>
    <cellStyle name="20% - 强调文字颜色 6 3 6" xfId="608"/>
    <cellStyle name="20% - 强调文字颜色 6 3 7" xfId="609"/>
    <cellStyle name="20% - 强调文字颜色 6 3 8" xfId="8646"/>
    <cellStyle name="20% - 强调文字颜色 6 3 8 2" xfId="9329"/>
    <cellStyle name="20% - 强调文字颜色 6 4" xfId="610"/>
    <cellStyle name="20% - 强调文字颜色 6 4 2" xfId="611"/>
    <cellStyle name="20% - 强调文字颜色 6 4 2 2" xfId="612"/>
    <cellStyle name="20% - 强调文字颜色 6 4 2 2 2" xfId="613"/>
    <cellStyle name="20% - 强调文字颜色 6 4 2 2 2 2" xfId="614"/>
    <cellStyle name="20% - 强调文字颜色 6 4 2 2 3" xfId="615"/>
    <cellStyle name="20% - 强调文字颜色 6 4 2 2 4" xfId="616"/>
    <cellStyle name="20% - 强调文字颜色 6 4 2 3" xfId="617"/>
    <cellStyle name="20% - 强调文字颜色 6 4 2 3 2" xfId="618"/>
    <cellStyle name="20% - 强调文字颜色 6 4 2 4" xfId="619"/>
    <cellStyle name="20% - 强调文字颜色 6 4 2 4 2" xfId="620"/>
    <cellStyle name="20% - 强调文字颜色 6 4 2 5" xfId="621"/>
    <cellStyle name="20% - 强调文字颜色 6 4 2 6" xfId="622"/>
    <cellStyle name="20% - 强调文字颜色 6 4 2 7" xfId="8649"/>
    <cellStyle name="20% - 强调文字颜色 6 4 2 7 2" xfId="9332"/>
    <cellStyle name="20% - 强调文字颜色 6 4 3" xfId="623"/>
    <cellStyle name="20% - 强调文字颜色 6 4 3 2" xfId="624"/>
    <cellStyle name="20% - 强调文字颜色 6 4 3 2 2" xfId="625"/>
    <cellStyle name="20% - 强调文字颜色 6 4 3 3" xfId="626"/>
    <cellStyle name="20% - 强调文字颜色 6 4 3 4" xfId="627"/>
    <cellStyle name="20% - 强调文字颜色 6 4 4" xfId="628"/>
    <cellStyle name="20% - 强调文字颜色 6 4 4 2" xfId="629"/>
    <cellStyle name="20% - 强调文字颜色 6 4 5" xfId="630"/>
    <cellStyle name="20% - 强调文字颜色 6 4 5 2" xfId="631"/>
    <cellStyle name="20% - 强调文字颜色 6 4 6" xfId="632"/>
    <cellStyle name="20% - 强调文字颜色 6 4 7" xfId="633"/>
    <cellStyle name="20% - 强调文字颜色 6 4 8" xfId="8648"/>
    <cellStyle name="20% - 强调文字颜色 6 4 8 2" xfId="9331"/>
    <cellStyle name="20% - 强调文字颜色 6 5" xfId="634"/>
    <cellStyle name="20% - 强调文字颜色 6 5 2" xfId="635"/>
    <cellStyle name="20% - 强调文字颜色 6 5 2 2" xfId="636"/>
    <cellStyle name="20% - 强调文字颜色 6 5 2 2 2" xfId="637"/>
    <cellStyle name="20% - 强调文字颜色 6 5 2 3" xfId="638"/>
    <cellStyle name="20% - 强调文字颜色 6 5 2 4" xfId="639"/>
    <cellStyle name="20% - 强调文字颜色 6 5 3" xfId="640"/>
    <cellStyle name="20% - 强调文字颜色 6 5 3 2" xfId="641"/>
    <cellStyle name="20% - 强调文字颜色 6 5 4" xfId="642"/>
    <cellStyle name="20% - 强调文字颜色 6 5 4 2" xfId="643"/>
    <cellStyle name="20% - 强调文字颜色 6 5 5" xfId="644"/>
    <cellStyle name="20% - 强调文字颜色 6 5 6" xfId="645"/>
    <cellStyle name="20% - 强调文字颜色 6 6" xfId="646"/>
    <cellStyle name="20% - 强调文字颜色 6 6 2" xfId="647"/>
    <cellStyle name="20% - 强调文字颜色 6 6 2 2" xfId="648"/>
    <cellStyle name="20% - 强调文字颜色 6 6 2 2 2" xfId="649"/>
    <cellStyle name="20% - 强调文字颜色 6 6 2 3" xfId="650"/>
    <cellStyle name="20% - 强调文字颜色 6 6 2 4" xfId="651"/>
    <cellStyle name="20% - 强调文字颜色 6 6 3" xfId="652"/>
    <cellStyle name="20% - 强调文字颜色 6 6 3 2" xfId="653"/>
    <cellStyle name="20% - 强调文字颜色 6 6 4" xfId="654"/>
    <cellStyle name="20% - 强调文字颜色 6 6 4 2" xfId="655"/>
    <cellStyle name="20% - 强调文字颜色 6 6 5" xfId="656"/>
    <cellStyle name="20% - 强调文字颜色 6 6 6" xfId="657"/>
    <cellStyle name="20% - 强调文字颜色 6 7" xfId="658"/>
    <cellStyle name="20% - 强调文字颜色 6 7 2" xfId="659"/>
    <cellStyle name="20% - 强调文字颜色 6 7 2 2" xfId="660"/>
    <cellStyle name="20% - 强调文字颜色 6 7 2 2 2" xfId="661"/>
    <cellStyle name="20% - 强调文字颜色 6 7 2 3" xfId="662"/>
    <cellStyle name="20% - 强调文字颜色 6 7 2 4" xfId="663"/>
    <cellStyle name="20% - 强调文字颜色 6 7 3" xfId="664"/>
    <cellStyle name="20% - 强调文字颜色 6 7 3 2" xfId="665"/>
    <cellStyle name="20% - 强调文字颜色 6 7 4" xfId="666"/>
    <cellStyle name="20% - 强调文字颜色 6 7 4 2" xfId="667"/>
    <cellStyle name="20% - 强调文字颜色 6 7 5" xfId="668"/>
    <cellStyle name="20% - 强调文字颜色 6 7 6" xfId="669"/>
    <cellStyle name="20% - 着色 1" xfId="670"/>
    <cellStyle name="20% - 着色 1 10" xfId="671"/>
    <cellStyle name="20% - 着色 1 2" xfId="672"/>
    <cellStyle name="20% - 着色 1 2 2" xfId="673"/>
    <cellStyle name="20% - 着色 1 2 2 2" xfId="674"/>
    <cellStyle name="20% - 着色 1 2 2 2 2" xfId="675"/>
    <cellStyle name="20% - 着色 1 2 2 2 2 2" xfId="676"/>
    <cellStyle name="20% - 着色 1 2 2 2 3" xfId="677"/>
    <cellStyle name="20% - 着色 1 2 2 2 4" xfId="678"/>
    <cellStyle name="20% - 着色 1 2 2 3" xfId="679"/>
    <cellStyle name="20% - 着色 1 2 2 3 2" xfId="680"/>
    <cellStyle name="20% - 着色 1 2 2 4" xfId="681"/>
    <cellStyle name="20% - 着色 1 2 2 4 2" xfId="682"/>
    <cellStyle name="20% - 着色 1 2 2 5" xfId="683"/>
    <cellStyle name="20% - 着色 1 2 2 6" xfId="684"/>
    <cellStyle name="20% - 着色 1 2 3" xfId="685"/>
    <cellStyle name="20% - 着色 1 2 3 2" xfId="686"/>
    <cellStyle name="20% - 着色 1 2 3 2 2" xfId="687"/>
    <cellStyle name="20% - 着色 1 2 3 3" xfId="688"/>
    <cellStyle name="20% - 着色 1 2 3 4" xfId="689"/>
    <cellStyle name="20% - 着色 1 2 4" xfId="690"/>
    <cellStyle name="20% - 着色 1 2 4 2" xfId="691"/>
    <cellStyle name="20% - 着色 1 2 5" xfId="692"/>
    <cellStyle name="20% - 着色 1 2 5 2" xfId="693"/>
    <cellStyle name="20% - 着色 1 2 6" xfId="694"/>
    <cellStyle name="20% - 着色 1 2 7" xfId="695"/>
    <cellStyle name="20% - 着色 1 3" xfId="696"/>
    <cellStyle name="20% - 着色 1 3 2" xfId="697"/>
    <cellStyle name="20% - 着色 1 3 2 2" xfId="698"/>
    <cellStyle name="20% - 着色 1 3 2 2 2" xfId="699"/>
    <cellStyle name="20% - 着色 1 3 2 3" xfId="700"/>
    <cellStyle name="20% - 着色 1 3 2 4" xfId="701"/>
    <cellStyle name="20% - 着色 1 3 3" xfId="702"/>
    <cellStyle name="20% - 着色 1 3 3 2" xfId="703"/>
    <cellStyle name="20% - 着色 1 3 4" xfId="704"/>
    <cellStyle name="20% - 着色 1 3 4 2" xfId="705"/>
    <cellStyle name="20% - 着色 1 3 5" xfId="706"/>
    <cellStyle name="20% - 着色 1 3 6" xfId="707"/>
    <cellStyle name="20% - 着色 1 4" xfId="708"/>
    <cellStyle name="20% - 着色 1 4 2" xfId="709"/>
    <cellStyle name="20% - 着色 1 4 2 2" xfId="710"/>
    <cellStyle name="20% - 着色 1 4 2 2 2" xfId="711"/>
    <cellStyle name="20% - 着色 1 4 2 3" xfId="712"/>
    <cellStyle name="20% - 着色 1 4 2 4" xfId="713"/>
    <cellStyle name="20% - 着色 1 4 3" xfId="714"/>
    <cellStyle name="20% - 着色 1 4 3 2" xfId="715"/>
    <cellStyle name="20% - 着色 1 4 4" xfId="716"/>
    <cellStyle name="20% - 着色 1 4 4 2" xfId="717"/>
    <cellStyle name="20% - 着色 1 4 5" xfId="718"/>
    <cellStyle name="20% - 着色 1 4 6" xfId="719"/>
    <cellStyle name="20% - 着色 1 5" xfId="720"/>
    <cellStyle name="20% - 着色 1 5 2" xfId="721"/>
    <cellStyle name="20% - 着色 1 5 2 2" xfId="722"/>
    <cellStyle name="20% - 着色 1 5 3" xfId="723"/>
    <cellStyle name="20% - 着色 1 5 4" xfId="724"/>
    <cellStyle name="20% - 着色 1 6" xfId="725"/>
    <cellStyle name="20% - 着色 1 6 2" xfId="726"/>
    <cellStyle name="20% - 着色 1 7" xfId="727"/>
    <cellStyle name="20% - 着色 1 7 2" xfId="728"/>
    <cellStyle name="20% - 着色 1 8" xfId="729"/>
    <cellStyle name="20% - 着色 1 8 2" xfId="730"/>
    <cellStyle name="20% - 着色 1 9" xfId="731"/>
    <cellStyle name="20% - 着色 2" xfId="732"/>
    <cellStyle name="20% - 着色 2 10" xfId="733"/>
    <cellStyle name="20% - 着色 2 2" xfId="734"/>
    <cellStyle name="20% - 着色 2 2 2" xfId="735"/>
    <cellStyle name="20% - 着色 2 2 2 2" xfId="736"/>
    <cellStyle name="20% - 着色 2 2 2 2 2" xfId="737"/>
    <cellStyle name="20% - 着色 2 2 2 2 2 2" xfId="738"/>
    <cellStyle name="20% - 着色 2 2 2 2 3" xfId="739"/>
    <cellStyle name="20% - 着色 2 2 2 2 4" xfId="740"/>
    <cellStyle name="20% - 着色 2 2 2 3" xfId="741"/>
    <cellStyle name="20% - 着色 2 2 2 3 2" xfId="742"/>
    <cellStyle name="20% - 着色 2 2 2 4" xfId="743"/>
    <cellStyle name="20% - 着色 2 2 2 4 2" xfId="744"/>
    <cellStyle name="20% - 着色 2 2 2 5" xfId="745"/>
    <cellStyle name="20% - 着色 2 2 2 6" xfId="746"/>
    <cellStyle name="20% - 着色 2 2 3" xfId="747"/>
    <cellStyle name="20% - 着色 2 2 3 2" xfId="748"/>
    <cellStyle name="20% - 着色 2 2 3 2 2" xfId="749"/>
    <cellStyle name="20% - 着色 2 2 3 3" xfId="750"/>
    <cellStyle name="20% - 着色 2 2 3 4" xfId="751"/>
    <cellStyle name="20% - 着色 2 2 4" xfId="752"/>
    <cellStyle name="20% - 着色 2 2 4 2" xfId="753"/>
    <cellStyle name="20% - 着色 2 2 5" xfId="754"/>
    <cellStyle name="20% - 着色 2 2 5 2" xfId="755"/>
    <cellStyle name="20% - 着色 2 2 6" xfId="756"/>
    <cellStyle name="20% - 着色 2 2 7" xfId="757"/>
    <cellStyle name="20% - 着色 2 3" xfId="758"/>
    <cellStyle name="20% - 着色 2 3 2" xfId="759"/>
    <cellStyle name="20% - 着色 2 3 2 2" xfId="760"/>
    <cellStyle name="20% - 着色 2 3 2 2 2" xfId="761"/>
    <cellStyle name="20% - 着色 2 3 2 3" xfId="762"/>
    <cellStyle name="20% - 着色 2 3 2 4" xfId="763"/>
    <cellStyle name="20% - 着色 2 3 3" xfId="764"/>
    <cellStyle name="20% - 着色 2 3 3 2" xfId="765"/>
    <cellStyle name="20% - 着色 2 3 4" xfId="766"/>
    <cellStyle name="20% - 着色 2 3 4 2" xfId="767"/>
    <cellStyle name="20% - 着色 2 3 5" xfId="768"/>
    <cellStyle name="20% - 着色 2 3 6" xfId="769"/>
    <cellStyle name="20% - 着色 2 4" xfId="770"/>
    <cellStyle name="20% - 着色 2 4 2" xfId="771"/>
    <cellStyle name="20% - 着色 2 4 2 2" xfId="772"/>
    <cellStyle name="20% - 着色 2 4 2 2 2" xfId="773"/>
    <cellStyle name="20% - 着色 2 4 2 3" xfId="774"/>
    <cellStyle name="20% - 着色 2 4 2 4" xfId="775"/>
    <cellStyle name="20% - 着色 2 4 3" xfId="776"/>
    <cellStyle name="20% - 着色 2 4 3 2" xfId="777"/>
    <cellStyle name="20% - 着色 2 4 4" xfId="778"/>
    <cellStyle name="20% - 着色 2 4 4 2" xfId="779"/>
    <cellStyle name="20% - 着色 2 4 5" xfId="780"/>
    <cellStyle name="20% - 着色 2 4 6" xfId="781"/>
    <cellStyle name="20% - 着色 2 5" xfId="782"/>
    <cellStyle name="20% - 着色 2 5 2" xfId="783"/>
    <cellStyle name="20% - 着色 2 5 2 2" xfId="784"/>
    <cellStyle name="20% - 着色 2 5 3" xfId="785"/>
    <cellStyle name="20% - 着色 2 5 4" xfId="786"/>
    <cellStyle name="20% - 着色 2 6" xfId="787"/>
    <cellStyle name="20% - 着色 2 6 2" xfId="788"/>
    <cellStyle name="20% - 着色 2 7" xfId="789"/>
    <cellStyle name="20% - 着色 2 7 2" xfId="790"/>
    <cellStyle name="20% - 着色 2 8" xfId="791"/>
    <cellStyle name="20% - 着色 2 8 2" xfId="792"/>
    <cellStyle name="20% - 着色 2 9" xfId="793"/>
    <cellStyle name="20% - 着色 3" xfId="794"/>
    <cellStyle name="20% - 着色 3 10" xfId="795"/>
    <cellStyle name="20% - 着色 3 2" xfId="796"/>
    <cellStyle name="20% - 着色 3 2 2" xfId="797"/>
    <cellStyle name="20% - 着色 3 2 2 2" xfId="798"/>
    <cellStyle name="20% - 着色 3 2 2 2 2" xfId="799"/>
    <cellStyle name="20% - 着色 3 2 2 2 2 2" xfId="800"/>
    <cellStyle name="20% - 着色 3 2 2 2 3" xfId="801"/>
    <cellStyle name="20% - 着色 3 2 2 2 4" xfId="802"/>
    <cellStyle name="20% - 着色 3 2 2 3" xfId="803"/>
    <cellStyle name="20% - 着色 3 2 2 3 2" xfId="804"/>
    <cellStyle name="20% - 着色 3 2 2 4" xfId="805"/>
    <cellStyle name="20% - 着色 3 2 2 4 2" xfId="806"/>
    <cellStyle name="20% - 着色 3 2 2 5" xfId="807"/>
    <cellStyle name="20% - 着色 3 2 2 6" xfId="808"/>
    <cellStyle name="20% - 着色 3 2 3" xfId="809"/>
    <cellStyle name="20% - 着色 3 2 3 2" xfId="810"/>
    <cellStyle name="20% - 着色 3 2 3 2 2" xfId="811"/>
    <cellStyle name="20% - 着色 3 2 3 3" xfId="812"/>
    <cellStyle name="20% - 着色 3 2 3 4" xfId="813"/>
    <cellStyle name="20% - 着色 3 2 4" xfId="814"/>
    <cellStyle name="20% - 着色 3 2 4 2" xfId="815"/>
    <cellStyle name="20% - 着色 3 2 5" xfId="816"/>
    <cellStyle name="20% - 着色 3 2 5 2" xfId="817"/>
    <cellStyle name="20% - 着色 3 2 6" xfId="818"/>
    <cellStyle name="20% - 着色 3 2 7" xfId="819"/>
    <cellStyle name="20% - 着色 3 3" xfId="820"/>
    <cellStyle name="20% - 着色 3 3 2" xfId="821"/>
    <cellStyle name="20% - 着色 3 3 2 2" xfId="822"/>
    <cellStyle name="20% - 着色 3 3 2 2 2" xfId="823"/>
    <cellStyle name="20% - 着色 3 3 2 3" xfId="824"/>
    <cellStyle name="20% - 着色 3 3 2 4" xfId="825"/>
    <cellStyle name="20% - 着色 3 3 3" xfId="826"/>
    <cellStyle name="20% - 着色 3 3 3 2" xfId="827"/>
    <cellStyle name="20% - 着色 3 3 4" xfId="828"/>
    <cellStyle name="20% - 着色 3 3 4 2" xfId="829"/>
    <cellStyle name="20% - 着色 3 3 5" xfId="830"/>
    <cellStyle name="20% - 着色 3 3 6" xfId="831"/>
    <cellStyle name="20% - 着色 3 4" xfId="832"/>
    <cellStyle name="20% - 着色 3 4 2" xfId="833"/>
    <cellStyle name="20% - 着色 3 4 2 2" xfId="834"/>
    <cellStyle name="20% - 着色 3 4 2 2 2" xfId="835"/>
    <cellStyle name="20% - 着色 3 4 2 3" xfId="836"/>
    <cellStyle name="20% - 着色 3 4 2 4" xfId="837"/>
    <cellStyle name="20% - 着色 3 4 3" xfId="838"/>
    <cellStyle name="20% - 着色 3 4 3 2" xfId="839"/>
    <cellStyle name="20% - 着色 3 4 4" xfId="840"/>
    <cellStyle name="20% - 着色 3 4 4 2" xfId="841"/>
    <cellStyle name="20% - 着色 3 4 5" xfId="842"/>
    <cellStyle name="20% - 着色 3 4 6" xfId="843"/>
    <cellStyle name="20% - 着色 3 5" xfId="844"/>
    <cellStyle name="20% - 着色 3 5 2" xfId="845"/>
    <cellStyle name="20% - 着色 3 5 2 2" xfId="846"/>
    <cellStyle name="20% - 着色 3 5 3" xfId="847"/>
    <cellStyle name="20% - 着色 3 5 4" xfId="848"/>
    <cellStyle name="20% - 着色 3 6" xfId="849"/>
    <cellStyle name="20% - 着色 3 6 2" xfId="850"/>
    <cellStyle name="20% - 着色 3 7" xfId="851"/>
    <cellStyle name="20% - 着色 3 7 2" xfId="852"/>
    <cellStyle name="20% - 着色 3 8" xfId="853"/>
    <cellStyle name="20% - 着色 3 8 2" xfId="854"/>
    <cellStyle name="20% - 着色 3 9" xfId="855"/>
    <cellStyle name="20% - 着色 4" xfId="856"/>
    <cellStyle name="20% - 着色 4 10" xfId="857"/>
    <cellStyle name="20% - 着色 4 2" xfId="858"/>
    <cellStyle name="20% - 着色 4 2 2" xfId="859"/>
    <cellStyle name="20% - 着色 4 2 2 2" xfId="860"/>
    <cellStyle name="20% - 着色 4 2 2 2 2" xfId="861"/>
    <cellStyle name="20% - 着色 4 2 2 2 2 2" xfId="862"/>
    <cellStyle name="20% - 着色 4 2 2 2 3" xfId="863"/>
    <cellStyle name="20% - 着色 4 2 2 2 4" xfId="864"/>
    <cellStyle name="20% - 着色 4 2 2 3" xfId="865"/>
    <cellStyle name="20% - 着色 4 2 2 3 2" xfId="866"/>
    <cellStyle name="20% - 着色 4 2 2 4" xfId="867"/>
    <cellStyle name="20% - 着色 4 2 2 4 2" xfId="868"/>
    <cellStyle name="20% - 着色 4 2 2 5" xfId="869"/>
    <cellStyle name="20% - 着色 4 2 2 6" xfId="870"/>
    <cellStyle name="20% - 着色 4 2 3" xfId="871"/>
    <cellStyle name="20% - 着色 4 2 3 2" xfId="872"/>
    <cellStyle name="20% - 着色 4 2 3 2 2" xfId="873"/>
    <cellStyle name="20% - 着色 4 2 3 3" xfId="874"/>
    <cellStyle name="20% - 着色 4 2 3 4" xfId="875"/>
    <cellStyle name="20% - 着色 4 2 4" xfId="876"/>
    <cellStyle name="20% - 着色 4 2 4 2" xfId="877"/>
    <cellStyle name="20% - 着色 4 2 5" xfId="878"/>
    <cellStyle name="20% - 着色 4 2 5 2" xfId="879"/>
    <cellStyle name="20% - 着色 4 2 6" xfId="880"/>
    <cellStyle name="20% - 着色 4 2 7" xfId="881"/>
    <cellStyle name="20% - 着色 4 3" xfId="882"/>
    <cellStyle name="20% - 着色 4 3 2" xfId="883"/>
    <cellStyle name="20% - 着色 4 3 2 2" xfId="884"/>
    <cellStyle name="20% - 着色 4 3 2 2 2" xfId="885"/>
    <cellStyle name="20% - 着色 4 3 2 3" xfId="886"/>
    <cellStyle name="20% - 着色 4 3 2 4" xfId="887"/>
    <cellStyle name="20% - 着色 4 3 3" xfId="888"/>
    <cellStyle name="20% - 着色 4 3 3 2" xfId="889"/>
    <cellStyle name="20% - 着色 4 3 4" xfId="890"/>
    <cellStyle name="20% - 着色 4 3 4 2" xfId="891"/>
    <cellStyle name="20% - 着色 4 3 5" xfId="892"/>
    <cellStyle name="20% - 着色 4 3 6" xfId="893"/>
    <cellStyle name="20% - 着色 4 4" xfId="894"/>
    <cellStyle name="20% - 着色 4 4 2" xfId="895"/>
    <cellStyle name="20% - 着色 4 4 2 2" xfId="896"/>
    <cellStyle name="20% - 着色 4 4 2 2 2" xfId="897"/>
    <cellStyle name="20% - 着色 4 4 2 3" xfId="898"/>
    <cellStyle name="20% - 着色 4 4 2 4" xfId="899"/>
    <cellStyle name="20% - 着色 4 4 3" xfId="900"/>
    <cellStyle name="20% - 着色 4 4 3 2" xfId="901"/>
    <cellStyle name="20% - 着色 4 4 4" xfId="902"/>
    <cellStyle name="20% - 着色 4 4 4 2" xfId="903"/>
    <cellStyle name="20% - 着色 4 4 5" xfId="904"/>
    <cellStyle name="20% - 着色 4 4 6" xfId="905"/>
    <cellStyle name="20% - 着色 4 5" xfId="906"/>
    <cellStyle name="20% - 着色 4 5 2" xfId="907"/>
    <cellStyle name="20% - 着色 4 5 2 2" xfId="908"/>
    <cellStyle name="20% - 着色 4 5 3" xfId="909"/>
    <cellStyle name="20% - 着色 4 5 4" xfId="910"/>
    <cellStyle name="20% - 着色 4 6" xfId="911"/>
    <cellStyle name="20% - 着色 4 6 2" xfId="912"/>
    <cellStyle name="20% - 着色 4 7" xfId="913"/>
    <cellStyle name="20% - 着色 4 7 2" xfId="914"/>
    <cellStyle name="20% - 着色 4 8" xfId="915"/>
    <cellStyle name="20% - 着色 4 8 2" xfId="916"/>
    <cellStyle name="20% - 着色 4 9" xfId="917"/>
    <cellStyle name="20% - 着色 5" xfId="918"/>
    <cellStyle name="20% - 着色 5 10" xfId="919"/>
    <cellStyle name="20% - 着色 5 2" xfId="920"/>
    <cellStyle name="20% - 着色 5 2 2" xfId="921"/>
    <cellStyle name="20% - 着色 5 2 2 2" xfId="922"/>
    <cellStyle name="20% - 着色 5 2 2 2 2" xfId="923"/>
    <cellStyle name="20% - 着色 5 2 2 2 2 2" xfId="924"/>
    <cellStyle name="20% - 着色 5 2 2 2 3" xfId="925"/>
    <cellStyle name="20% - 着色 5 2 2 2 4" xfId="926"/>
    <cellStyle name="20% - 着色 5 2 2 3" xfId="927"/>
    <cellStyle name="20% - 着色 5 2 2 3 2" xfId="928"/>
    <cellStyle name="20% - 着色 5 2 2 4" xfId="929"/>
    <cellStyle name="20% - 着色 5 2 2 4 2" xfId="930"/>
    <cellStyle name="20% - 着色 5 2 2 5" xfId="931"/>
    <cellStyle name="20% - 着色 5 2 2 6" xfId="932"/>
    <cellStyle name="20% - 着色 5 2 3" xfId="933"/>
    <cellStyle name="20% - 着色 5 2 3 2" xfId="934"/>
    <cellStyle name="20% - 着色 5 2 3 2 2" xfId="935"/>
    <cellStyle name="20% - 着色 5 2 3 3" xfId="936"/>
    <cellStyle name="20% - 着色 5 2 3 4" xfId="937"/>
    <cellStyle name="20% - 着色 5 2 4" xfId="938"/>
    <cellStyle name="20% - 着色 5 2 4 2" xfId="939"/>
    <cellStyle name="20% - 着色 5 2 5" xfId="940"/>
    <cellStyle name="20% - 着色 5 2 5 2" xfId="941"/>
    <cellStyle name="20% - 着色 5 2 6" xfId="942"/>
    <cellStyle name="20% - 着色 5 2 7" xfId="943"/>
    <cellStyle name="20% - 着色 5 3" xfId="944"/>
    <cellStyle name="20% - 着色 5 3 2" xfId="945"/>
    <cellStyle name="20% - 着色 5 3 2 2" xfId="946"/>
    <cellStyle name="20% - 着色 5 3 2 2 2" xfId="947"/>
    <cellStyle name="20% - 着色 5 3 2 3" xfId="948"/>
    <cellStyle name="20% - 着色 5 3 2 4" xfId="949"/>
    <cellStyle name="20% - 着色 5 3 3" xfId="950"/>
    <cellStyle name="20% - 着色 5 3 3 2" xfId="951"/>
    <cellStyle name="20% - 着色 5 3 4" xfId="952"/>
    <cellStyle name="20% - 着色 5 3 4 2" xfId="953"/>
    <cellStyle name="20% - 着色 5 3 5" xfId="954"/>
    <cellStyle name="20% - 着色 5 3 6" xfId="955"/>
    <cellStyle name="20% - 着色 5 4" xfId="956"/>
    <cellStyle name="20% - 着色 5 4 2" xfId="957"/>
    <cellStyle name="20% - 着色 5 4 2 2" xfId="958"/>
    <cellStyle name="20% - 着色 5 4 2 2 2" xfId="959"/>
    <cellStyle name="20% - 着色 5 4 2 3" xfId="960"/>
    <cellStyle name="20% - 着色 5 4 2 4" xfId="961"/>
    <cellStyle name="20% - 着色 5 4 3" xfId="962"/>
    <cellStyle name="20% - 着色 5 4 3 2" xfId="963"/>
    <cellStyle name="20% - 着色 5 4 4" xfId="964"/>
    <cellStyle name="20% - 着色 5 4 4 2" xfId="965"/>
    <cellStyle name="20% - 着色 5 4 5" xfId="966"/>
    <cellStyle name="20% - 着色 5 4 6" xfId="967"/>
    <cellStyle name="20% - 着色 5 5" xfId="968"/>
    <cellStyle name="20% - 着色 5 5 2" xfId="969"/>
    <cellStyle name="20% - 着色 5 5 2 2" xfId="970"/>
    <cellStyle name="20% - 着色 5 5 3" xfId="971"/>
    <cellStyle name="20% - 着色 5 5 4" xfId="972"/>
    <cellStyle name="20% - 着色 5 6" xfId="973"/>
    <cellStyle name="20% - 着色 5 6 2" xfId="974"/>
    <cellStyle name="20% - 着色 5 7" xfId="975"/>
    <cellStyle name="20% - 着色 5 7 2" xfId="976"/>
    <cellStyle name="20% - 着色 5 8" xfId="977"/>
    <cellStyle name="20% - 着色 5 8 2" xfId="978"/>
    <cellStyle name="20% - 着色 5 9" xfId="979"/>
    <cellStyle name="20% - 着色 6" xfId="980"/>
    <cellStyle name="20% - 着色 6 10" xfId="981"/>
    <cellStyle name="20% - 着色 6 2" xfId="982"/>
    <cellStyle name="20% - 着色 6 2 2" xfId="983"/>
    <cellStyle name="20% - 着色 6 2 2 2" xfId="984"/>
    <cellStyle name="20% - 着色 6 2 2 2 2" xfId="985"/>
    <cellStyle name="20% - 着色 6 2 2 2 2 2" xfId="986"/>
    <cellStyle name="20% - 着色 6 2 2 2 3" xfId="987"/>
    <cellStyle name="20% - 着色 6 2 2 2 4" xfId="988"/>
    <cellStyle name="20% - 着色 6 2 2 3" xfId="989"/>
    <cellStyle name="20% - 着色 6 2 2 3 2" xfId="990"/>
    <cellStyle name="20% - 着色 6 2 2 4" xfId="991"/>
    <cellStyle name="20% - 着色 6 2 2 4 2" xfId="992"/>
    <cellStyle name="20% - 着色 6 2 2 5" xfId="993"/>
    <cellStyle name="20% - 着色 6 2 2 6" xfId="994"/>
    <cellStyle name="20% - 着色 6 2 3" xfId="995"/>
    <cellStyle name="20% - 着色 6 2 3 2" xfId="996"/>
    <cellStyle name="20% - 着色 6 2 3 2 2" xfId="997"/>
    <cellStyle name="20% - 着色 6 2 3 3" xfId="998"/>
    <cellStyle name="20% - 着色 6 2 3 4" xfId="999"/>
    <cellStyle name="20% - 着色 6 2 4" xfId="1000"/>
    <cellStyle name="20% - 着色 6 2 4 2" xfId="1001"/>
    <cellStyle name="20% - 着色 6 2 5" xfId="1002"/>
    <cellStyle name="20% - 着色 6 2 5 2" xfId="1003"/>
    <cellStyle name="20% - 着色 6 2 6" xfId="1004"/>
    <cellStyle name="20% - 着色 6 2 7" xfId="1005"/>
    <cellStyle name="20% - 着色 6 3" xfId="1006"/>
    <cellStyle name="20% - 着色 6 3 2" xfId="1007"/>
    <cellStyle name="20% - 着色 6 3 2 2" xfId="1008"/>
    <cellStyle name="20% - 着色 6 3 2 2 2" xfId="1009"/>
    <cellStyle name="20% - 着色 6 3 2 3" xfId="1010"/>
    <cellStyle name="20% - 着色 6 3 2 4" xfId="1011"/>
    <cellStyle name="20% - 着色 6 3 3" xfId="1012"/>
    <cellStyle name="20% - 着色 6 3 3 2" xfId="1013"/>
    <cellStyle name="20% - 着色 6 3 4" xfId="1014"/>
    <cellStyle name="20% - 着色 6 3 4 2" xfId="1015"/>
    <cellStyle name="20% - 着色 6 3 5" xfId="1016"/>
    <cellStyle name="20% - 着色 6 3 6" xfId="1017"/>
    <cellStyle name="20% - 着色 6 4" xfId="1018"/>
    <cellStyle name="20% - 着色 6 4 2" xfId="1019"/>
    <cellStyle name="20% - 着色 6 4 2 2" xfId="1020"/>
    <cellStyle name="20% - 着色 6 4 2 2 2" xfId="1021"/>
    <cellStyle name="20% - 着色 6 4 2 3" xfId="1022"/>
    <cellStyle name="20% - 着色 6 4 2 4" xfId="1023"/>
    <cellStyle name="20% - 着色 6 4 3" xfId="1024"/>
    <cellStyle name="20% - 着色 6 4 3 2" xfId="1025"/>
    <cellStyle name="20% - 着色 6 4 4" xfId="1026"/>
    <cellStyle name="20% - 着色 6 4 4 2" xfId="1027"/>
    <cellStyle name="20% - 着色 6 4 5" xfId="1028"/>
    <cellStyle name="20% - 着色 6 4 6" xfId="1029"/>
    <cellStyle name="20% - 着色 6 5" xfId="1030"/>
    <cellStyle name="20% - 着色 6 5 2" xfId="1031"/>
    <cellStyle name="20% - 着色 6 5 2 2" xfId="1032"/>
    <cellStyle name="20% - 着色 6 5 3" xfId="1033"/>
    <cellStyle name="20% - 着色 6 5 4" xfId="1034"/>
    <cellStyle name="20% - 着色 6 6" xfId="1035"/>
    <cellStyle name="20% - 着色 6 6 2" xfId="1036"/>
    <cellStyle name="20% - 着色 6 7" xfId="1037"/>
    <cellStyle name="20% - 着色 6 7 2" xfId="1038"/>
    <cellStyle name="20% - 着色 6 8" xfId="1039"/>
    <cellStyle name="20% - 着色 6 8 2" xfId="1040"/>
    <cellStyle name="20% - 着色 6 9" xfId="1041"/>
    <cellStyle name="40% - 强调文字颜色 1 2" xfId="1042"/>
    <cellStyle name="40% - 强调文字颜色 1 2 2" xfId="1043"/>
    <cellStyle name="40% - 强调文字颜色 1 2 2 2" xfId="1044"/>
    <cellStyle name="40% - 强调文字颜色 1 2 2 2 2" xfId="1045"/>
    <cellStyle name="40% - 强调文字颜色 1 2 2 2 2 2" xfId="1046"/>
    <cellStyle name="40% - 强调文字颜色 1 2 2 2 3" xfId="1047"/>
    <cellStyle name="40% - 强调文字颜色 1 2 2 2 4" xfId="1048"/>
    <cellStyle name="40% - 强调文字颜色 1 2 2 3" xfId="1049"/>
    <cellStyle name="40% - 强调文字颜色 1 2 2 3 2" xfId="1050"/>
    <cellStyle name="40% - 强调文字颜色 1 2 2 4" xfId="1051"/>
    <cellStyle name="40% - 强调文字颜色 1 2 2 4 2" xfId="1052"/>
    <cellStyle name="40% - 强调文字颜色 1 2 2 5" xfId="1053"/>
    <cellStyle name="40% - 强调文字颜色 1 2 2 6" xfId="1054"/>
    <cellStyle name="40% - 强调文字颜色 1 2 2 7" xfId="8651"/>
    <cellStyle name="40% - 强调文字颜色 1 2 2 7 2" xfId="9334"/>
    <cellStyle name="40% - 强调文字颜色 1 2 3" xfId="1055"/>
    <cellStyle name="40% - 强调文字颜色 1 2 3 2" xfId="1056"/>
    <cellStyle name="40% - 强调文字颜色 1 2 3 2 2" xfId="1057"/>
    <cellStyle name="40% - 强调文字颜色 1 2 3 3" xfId="1058"/>
    <cellStyle name="40% - 强调文字颜色 1 2 3 4" xfId="1059"/>
    <cellStyle name="40% - 强调文字颜色 1 2 4" xfId="1060"/>
    <cellStyle name="40% - 强调文字颜色 1 2 4 2" xfId="1061"/>
    <cellStyle name="40% - 强调文字颜色 1 2 5" xfId="1062"/>
    <cellStyle name="40% - 强调文字颜色 1 2 5 2" xfId="1063"/>
    <cellStyle name="40% - 强调文字颜色 1 2 6" xfId="1064"/>
    <cellStyle name="40% - 强调文字颜色 1 2 7" xfId="1065"/>
    <cellStyle name="40% - 强调文字颜色 1 2 8" xfId="8650"/>
    <cellStyle name="40% - 强调文字颜色 1 2 8 2" xfId="9333"/>
    <cellStyle name="40% - 强调文字颜色 1 3" xfId="1066"/>
    <cellStyle name="40% - 强调文字颜色 1 3 2" xfId="1067"/>
    <cellStyle name="40% - 强调文字颜色 1 3 2 2" xfId="1068"/>
    <cellStyle name="40% - 强调文字颜色 1 3 2 2 2" xfId="1069"/>
    <cellStyle name="40% - 强调文字颜色 1 3 2 2 2 2" xfId="1070"/>
    <cellStyle name="40% - 强调文字颜色 1 3 2 2 3" xfId="1071"/>
    <cellStyle name="40% - 强调文字颜色 1 3 2 2 4" xfId="1072"/>
    <cellStyle name="40% - 强调文字颜色 1 3 2 3" xfId="1073"/>
    <cellStyle name="40% - 强调文字颜色 1 3 2 3 2" xfId="1074"/>
    <cellStyle name="40% - 强调文字颜色 1 3 2 4" xfId="1075"/>
    <cellStyle name="40% - 强调文字颜色 1 3 2 4 2" xfId="1076"/>
    <cellStyle name="40% - 强调文字颜色 1 3 2 5" xfId="1077"/>
    <cellStyle name="40% - 强调文字颜色 1 3 2 6" xfId="1078"/>
    <cellStyle name="40% - 强调文字颜色 1 3 2 7" xfId="8653"/>
    <cellStyle name="40% - 强调文字颜色 1 3 2 7 2" xfId="9336"/>
    <cellStyle name="40% - 强调文字颜色 1 3 3" xfId="1079"/>
    <cellStyle name="40% - 强调文字颜色 1 3 3 2" xfId="1080"/>
    <cellStyle name="40% - 强调文字颜色 1 3 3 2 2" xfId="1081"/>
    <cellStyle name="40% - 强调文字颜色 1 3 3 3" xfId="1082"/>
    <cellStyle name="40% - 强调文字颜色 1 3 3 4" xfId="1083"/>
    <cellStyle name="40% - 强调文字颜色 1 3 4" xfId="1084"/>
    <cellStyle name="40% - 强调文字颜色 1 3 4 2" xfId="1085"/>
    <cellStyle name="40% - 强调文字颜色 1 3 5" xfId="1086"/>
    <cellStyle name="40% - 强调文字颜色 1 3 5 2" xfId="1087"/>
    <cellStyle name="40% - 强调文字颜色 1 3 6" xfId="1088"/>
    <cellStyle name="40% - 强调文字颜色 1 3 7" xfId="1089"/>
    <cellStyle name="40% - 强调文字颜色 1 3 8" xfId="8652"/>
    <cellStyle name="40% - 强调文字颜色 1 3 8 2" xfId="9335"/>
    <cellStyle name="40% - 强调文字颜色 1 4" xfId="1090"/>
    <cellStyle name="40% - 强调文字颜色 1 4 2" xfId="1091"/>
    <cellStyle name="40% - 强调文字颜色 1 4 2 2" xfId="1092"/>
    <cellStyle name="40% - 强调文字颜色 1 4 2 2 2" xfId="1093"/>
    <cellStyle name="40% - 强调文字颜色 1 4 2 2 2 2" xfId="1094"/>
    <cellStyle name="40% - 强调文字颜色 1 4 2 2 3" xfId="1095"/>
    <cellStyle name="40% - 强调文字颜色 1 4 2 2 4" xfId="1096"/>
    <cellStyle name="40% - 强调文字颜色 1 4 2 3" xfId="1097"/>
    <cellStyle name="40% - 强调文字颜色 1 4 2 3 2" xfId="1098"/>
    <cellStyle name="40% - 强调文字颜色 1 4 2 4" xfId="1099"/>
    <cellStyle name="40% - 强调文字颜色 1 4 2 4 2" xfId="1100"/>
    <cellStyle name="40% - 强调文字颜色 1 4 2 5" xfId="1101"/>
    <cellStyle name="40% - 强调文字颜色 1 4 2 6" xfId="1102"/>
    <cellStyle name="40% - 强调文字颜色 1 4 2 7" xfId="8655"/>
    <cellStyle name="40% - 强调文字颜色 1 4 2 7 2" xfId="9338"/>
    <cellStyle name="40% - 强调文字颜色 1 4 3" xfId="1103"/>
    <cellStyle name="40% - 强调文字颜色 1 4 3 2" xfId="1104"/>
    <cellStyle name="40% - 强调文字颜色 1 4 3 2 2" xfId="1105"/>
    <cellStyle name="40% - 强调文字颜色 1 4 3 3" xfId="1106"/>
    <cellStyle name="40% - 强调文字颜色 1 4 3 4" xfId="1107"/>
    <cellStyle name="40% - 强调文字颜色 1 4 4" xfId="1108"/>
    <cellStyle name="40% - 强调文字颜色 1 4 4 2" xfId="1109"/>
    <cellStyle name="40% - 强调文字颜色 1 4 5" xfId="1110"/>
    <cellStyle name="40% - 强调文字颜色 1 4 5 2" xfId="1111"/>
    <cellStyle name="40% - 强调文字颜色 1 4 6" xfId="1112"/>
    <cellStyle name="40% - 强调文字颜色 1 4 7" xfId="1113"/>
    <cellStyle name="40% - 强调文字颜色 1 4 8" xfId="8654"/>
    <cellStyle name="40% - 强调文字颜色 1 4 8 2" xfId="9337"/>
    <cellStyle name="40% - 强调文字颜色 1 5" xfId="1114"/>
    <cellStyle name="40% - 强调文字颜色 1 5 2" xfId="1115"/>
    <cellStyle name="40% - 强调文字颜色 1 5 2 2" xfId="1116"/>
    <cellStyle name="40% - 强调文字颜色 1 5 2 2 2" xfId="1117"/>
    <cellStyle name="40% - 强调文字颜色 1 5 2 3" xfId="1118"/>
    <cellStyle name="40% - 强调文字颜色 1 5 2 4" xfId="1119"/>
    <cellStyle name="40% - 强调文字颜色 1 5 3" xfId="1120"/>
    <cellStyle name="40% - 强调文字颜色 1 5 3 2" xfId="1121"/>
    <cellStyle name="40% - 强调文字颜色 1 5 4" xfId="1122"/>
    <cellStyle name="40% - 强调文字颜色 1 5 4 2" xfId="1123"/>
    <cellStyle name="40% - 强调文字颜色 1 5 5" xfId="1124"/>
    <cellStyle name="40% - 强调文字颜色 1 5 6" xfId="1125"/>
    <cellStyle name="40% - 强调文字颜色 1 6" xfId="1126"/>
    <cellStyle name="40% - 强调文字颜色 1 6 2" xfId="1127"/>
    <cellStyle name="40% - 强调文字颜色 1 6 2 2" xfId="1128"/>
    <cellStyle name="40% - 强调文字颜色 1 6 2 2 2" xfId="1129"/>
    <cellStyle name="40% - 强调文字颜色 1 6 2 3" xfId="1130"/>
    <cellStyle name="40% - 强调文字颜色 1 6 2 4" xfId="1131"/>
    <cellStyle name="40% - 强调文字颜色 1 6 3" xfId="1132"/>
    <cellStyle name="40% - 强调文字颜色 1 6 3 2" xfId="1133"/>
    <cellStyle name="40% - 强调文字颜色 1 6 4" xfId="1134"/>
    <cellStyle name="40% - 强调文字颜色 1 6 4 2" xfId="1135"/>
    <cellStyle name="40% - 强调文字颜色 1 6 5" xfId="1136"/>
    <cellStyle name="40% - 强调文字颜色 1 6 6" xfId="1137"/>
    <cellStyle name="40% - 强调文字颜色 1 7" xfId="1138"/>
    <cellStyle name="40% - 强调文字颜色 1 7 2" xfId="1139"/>
    <cellStyle name="40% - 强调文字颜色 1 7 2 2" xfId="1140"/>
    <cellStyle name="40% - 强调文字颜色 1 7 2 2 2" xfId="1141"/>
    <cellStyle name="40% - 强调文字颜色 1 7 2 3" xfId="1142"/>
    <cellStyle name="40% - 强调文字颜色 1 7 2 4" xfId="1143"/>
    <cellStyle name="40% - 强调文字颜色 1 7 3" xfId="1144"/>
    <cellStyle name="40% - 强调文字颜色 1 7 3 2" xfId="1145"/>
    <cellStyle name="40% - 强调文字颜色 1 7 4" xfId="1146"/>
    <cellStyle name="40% - 强调文字颜色 1 7 4 2" xfId="1147"/>
    <cellStyle name="40% - 强调文字颜色 1 7 5" xfId="1148"/>
    <cellStyle name="40% - 强调文字颜色 1 7 6" xfId="1149"/>
    <cellStyle name="40% - 强调文字颜色 2 2" xfId="1150"/>
    <cellStyle name="40% - 强调文字颜色 2 2 2" xfId="1151"/>
    <cellStyle name="40% - 强调文字颜色 2 2 2 2" xfId="1152"/>
    <cellStyle name="40% - 强调文字颜色 2 2 2 2 2" xfId="1153"/>
    <cellStyle name="40% - 强调文字颜色 2 2 2 2 2 2" xfId="1154"/>
    <cellStyle name="40% - 强调文字颜色 2 2 2 2 3" xfId="1155"/>
    <cellStyle name="40% - 强调文字颜色 2 2 2 2 4" xfId="1156"/>
    <cellStyle name="40% - 强调文字颜色 2 2 2 3" xfId="1157"/>
    <cellStyle name="40% - 强调文字颜色 2 2 2 3 2" xfId="1158"/>
    <cellStyle name="40% - 强调文字颜色 2 2 2 4" xfId="1159"/>
    <cellStyle name="40% - 强调文字颜色 2 2 2 4 2" xfId="1160"/>
    <cellStyle name="40% - 强调文字颜色 2 2 2 5" xfId="1161"/>
    <cellStyle name="40% - 强调文字颜色 2 2 2 6" xfId="1162"/>
    <cellStyle name="40% - 强调文字颜色 2 2 2 7" xfId="8657"/>
    <cellStyle name="40% - 强调文字颜色 2 2 2 7 2" xfId="9340"/>
    <cellStyle name="40% - 强调文字颜色 2 2 3" xfId="1163"/>
    <cellStyle name="40% - 强调文字颜色 2 2 3 2" xfId="1164"/>
    <cellStyle name="40% - 强调文字颜色 2 2 3 2 2" xfId="1165"/>
    <cellStyle name="40% - 强调文字颜色 2 2 3 3" xfId="1166"/>
    <cellStyle name="40% - 强调文字颜色 2 2 3 4" xfId="1167"/>
    <cellStyle name="40% - 强调文字颜色 2 2 4" xfId="1168"/>
    <cellStyle name="40% - 强调文字颜色 2 2 4 2" xfId="1169"/>
    <cellStyle name="40% - 强调文字颜色 2 2 5" xfId="1170"/>
    <cellStyle name="40% - 强调文字颜色 2 2 5 2" xfId="1171"/>
    <cellStyle name="40% - 强调文字颜色 2 2 6" xfId="1172"/>
    <cellStyle name="40% - 强调文字颜色 2 2 7" xfId="1173"/>
    <cellStyle name="40% - 强调文字颜色 2 2 8" xfId="8656"/>
    <cellStyle name="40% - 强调文字颜色 2 2 8 2" xfId="9339"/>
    <cellStyle name="40% - 强调文字颜色 2 3" xfId="1174"/>
    <cellStyle name="40% - 强调文字颜色 2 3 2" xfId="1175"/>
    <cellStyle name="40% - 强调文字颜色 2 3 2 2" xfId="1176"/>
    <cellStyle name="40% - 强调文字颜色 2 3 2 2 2" xfId="1177"/>
    <cellStyle name="40% - 强调文字颜色 2 3 2 2 2 2" xfId="1178"/>
    <cellStyle name="40% - 强调文字颜色 2 3 2 2 3" xfId="1179"/>
    <cellStyle name="40% - 强调文字颜色 2 3 2 2 4" xfId="1180"/>
    <cellStyle name="40% - 强调文字颜色 2 3 2 3" xfId="1181"/>
    <cellStyle name="40% - 强调文字颜色 2 3 2 3 2" xfId="1182"/>
    <cellStyle name="40% - 强调文字颜色 2 3 2 4" xfId="1183"/>
    <cellStyle name="40% - 强调文字颜色 2 3 2 4 2" xfId="1184"/>
    <cellStyle name="40% - 强调文字颜色 2 3 2 5" xfId="1185"/>
    <cellStyle name="40% - 强调文字颜色 2 3 2 6" xfId="1186"/>
    <cellStyle name="40% - 强调文字颜色 2 3 2 7" xfId="8659"/>
    <cellStyle name="40% - 强调文字颜色 2 3 2 7 2" xfId="9342"/>
    <cellStyle name="40% - 强调文字颜色 2 3 3" xfId="1187"/>
    <cellStyle name="40% - 强调文字颜色 2 3 3 2" xfId="1188"/>
    <cellStyle name="40% - 强调文字颜色 2 3 3 2 2" xfId="1189"/>
    <cellStyle name="40% - 强调文字颜色 2 3 3 3" xfId="1190"/>
    <cellStyle name="40% - 强调文字颜色 2 3 3 4" xfId="1191"/>
    <cellStyle name="40% - 强调文字颜色 2 3 4" xfId="1192"/>
    <cellStyle name="40% - 强调文字颜色 2 3 4 2" xfId="1193"/>
    <cellStyle name="40% - 强调文字颜色 2 3 5" xfId="1194"/>
    <cellStyle name="40% - 强调文字颜色 2 3 5 2" xfId="1195"/>
    <cellStyle name="40% - 强调文字颜色 2 3 6" xfId="1196"/>
    <cellStyle name="40% - 强调文字颜色 2 3 7" xfId="1197"/>
    <cellStyle name="40% - 强调文字颜色 2 3 8" xfId="8658"/>
    <cellStyle name="40% - 强调文字颜色 2 3 8 2" xfId="9341"/>
    <cellStyle name="40% - 强调文字颜色 2 4" xfId="1198"/>
    <cellStyle name="40% - 强调文字颜色 2 4 2" xfId="1199"/>
    <cellStyle name="40% - 强调文字颜色 2 4 2 2" xfId="1200"/>
    <cellStyle name="40% - 强调文字颜色 2 4 2 2 2" xfId="1201"/>
    <cellStyle name="40% - 强调文字颜色 2 4 2 2 2 2" xfId="1202"/>
    <cellStyle name="40% - 强调文字颜色 2 4 2 2 3" xfId="1203"/>
    <cellStyle name="40% - 强调文字颜色 2 4 2 2 4" xfId="1204"/>
    <cellStyle name="40% - 强调文字颜色 2 4 2 3" xfId="1205"/>
    <cellStyle name="40% - 强调文字颜色 2 4 2 3 2" xfId="1206"/>
    <cellStyle name="40% - 强调文字颜色 2 4 2 4" xfId="1207"/>
    <cellStyle name="40% - 强调文字颜色 2 4 2 4 2" xfId="1208"/>
    <cellStyle name="40% - 强调文字颜色 2 4 2 5" xfId="1209"/>
    <cellStyle name="40% - 强调文字颜色 2 4 2 6" xfId="1210"/>
    <cellStyle name="40% - 强调文字颜色 2 4 2 7" xfId="8661"/>
    <cellStyle name="40% - 强调文字颜色 2 4 2 7 2" xfId="9344"/>
    <cellStyle name="40% - 强调文字颜色 2 4 3" xfId="1211"/>
    <cellStyle name="40% - 强调文字颜色 2 4 3 2" xfId="1212"/>
    <cellStyle name="40% - 强调文字颜色 2 4 3 2 2" xfId="1213"/>
    <cellStyle name="40% - 强调文字颜色 2 4 3 3" xfId="1214"/>
    <cellStyle name="40% - 强调文字颜色 2 4 3 4" xfId="1215"/>
    <cellStyle name="40% - 强调文字颜色 2 4 4" xfId="1216"/>
    <cellStyle name="40% - 强调文字颜色 2 4 4 2" xfId="1217"/>
    <cellStyle name="40% - 强调文字颜色 2 4 5" xfId="1218"/>
    <cellStyle name="40% - 强调文字颜色 2 4 5 2" xfId="1219"/>
    <cellStyle name="40% - 强调文字颜色 2 4 6" xfId="1220"/>
    <cellStyle name="40% - 强调文字颜色 2 4 7" xfId="1221"/>
    <cellStyle name="40% - 强调文字颜色 2 4 8" xfId="8660"/>
    <cellStyle name="40% - 强调文字颜色 2 4 8 2" xfId="9343"/>
    <cellStyle name="40% - 强调文字颜色 2 5" xfId="1222"/>
    <cellStyle name="40% - 强调文字颜色 2 5 2" xfId="1223"/>
    <cellStyle name="40% - 强调文字颜色 2 5 2 2" xfId="1224"/>
    <cellStyle name="40% - 强调文字颜色 2 5 2 2 2" xfId="1225"/>
    <cellStyle name="40% - 强调文字颜色 2 5 2 3" xfId="1226"/>
    <cellStyle name="40% - 强调文字颜色 2 5 2 4" xfId="1227"/>
    <cellStyle name="40% - 强调文字颜色 2 5 3" xfId="1228"/>
    <cellStyle name="40% - 强调文字颜色 2 5 3 2" xfId="1229"/>
    <cellStyle name="40% - 强调文字颜色 2 5 4" xfId="1230"/>
    <cellStyle name="40% - 强调文字颜色 2 5 4 2" xfId="1231"/>
    <cellStyle name="40% - 强调文字颜色 2 5 5" xfId="1232"/>
    <cellStyle name="40% - 强调文字颜色 2 5 6" xfId="1233"/>
    <cellStyle name="40% - 强调文字颜色 2 6" xfId="1234"/>
    <cellStyle name="40% - 强调文字颜色 2 6 2" xfId="1235"/>
    <cellStyle name="40% - 强调文字颜色 2 6 2 2" xfId="1236"/>
    <cellStyle name="40% - 强调文字颜色 2 6 2 2 2" xfId="1237"/>
    <cellStyle name="40% - 强调文字颜色 2 6 2 3" xfId="1238"/>
    <cellStyle name="40% - 强调文字颜色 2 6 2 4" xfId="1239"/>
    <cellStyle name="40% - 强调文字颜色 2 6 3" xfId="1240"/>
    <cellStyle name="40% - 强调文字颜色 2 6 3 2" xfId="1241"/>
    <cellStyle name="40% - 强调文字颜色 2 6 4" xfId="1242"/>
    <cellStyle name="40% - 强调文字颜色 2 6 4 2" xfId="1243"/>
    <cellStyle name="40% - 强调文字颜色 2 6 5" xfId="1244"/>
    <cellStyle name="40% - 强调文字颜色 2 6 6" xfId="1245"/>
    <cellStyle name="40% - 强调文字颜色 2 7" xfId="1246"/>
    <cellStyle name="40% - 强调文字颜色 2 7 2" xfId="1247"/>
    <cellStyle name="40% - 强调文字颜色 2 7 2 2" xfId="1248"/>
    <cellStyle name="40% - 强调文字颜色 2 7 2 2 2" xfId="1249"/>
    <cellStyle name="40% - 强调文字颜色 2 7 2 3" xfId="1250"/>
    <cellStyle name="40% - 强调文字颜色 2 7 2 4" xfId="1251"/>
    <cellStyle name="40% - 强调文字颜色 2 7 3" xfId="1252"/>
    <cellStyle name="40% - 强调文字颜色 2 7 3 2" xfId="1253"/>
    <cellStyle name="40% - 强调文字颜色 2 7 4" xfId="1254"/>
    <cellStyle name="40% - 强调文字颜色 2 7 4 2" xfId="1255"/>
    <cellStyle name="40% - 强调文字颜色 2 7 5" xfId="1256"/>
    <cellStyle name="40% - 强调文字颜色 2 7 6" xfId="1257"/>
    <cellStyle name="40% - 强调文字颜色 3 2" xfId="1258"/>
    <cellStyle name="40% - 强调文字颜色 3 2 2" xfId="1259"/>
    <cellStyle name="40% - 强调文字颜色 3 2 2 2" xfId="1260"/>
    <cellStyle name="40% - 强调文字颜色 3 2 2 2 2" xfId="1261"/>
    <cellStyle name="40% - 强调文字颜色 3 2 2 2 2 2" xfId="1262"/>
    <cellStyle name="40% - 强调文字颜色 3 2 2 2 3" xfId="1263"/>
    <cellStyle name="40% - 强调文字颜色 3 2 2 2 4" xfId="1264"/>
    <cellStyle name="40% - 强调文字颜色 3 2 2 3" xfId="1265"/>
    <cellStyle name="40% - 强调文字颜色 3 2 2 3 2" xfId="1266"/>
    <cellStyle name="40% - 强调文字颜色 3 2 2 4" xfId="1267"/>
    <cellStyle name="40% - 强调文字颜色 3 2 2 4 2" xfId="1268"/>
    <cellStyle name="40% - 强调文字颜色 3 2 2 5" xfId="1269"/>
    <cellStyle name="40% - 强调文字颜色 3 2 2 6" xfId="1270"/>
    <cellStyle name="40% - 强调文字颜色 3 2 2 7" xfId="8663"/>
    <cellStyle name="40% - 强调文字颜色 3 2 2 7 2" xfId="9346"/>
    <cellStyle name="40% - 强调文字颜色 3 2 3" xfId="1271"/>
    <cellStyle name="40% - 强调文字颜色 3 2 3 2" xfId="1272"/>
    <cellStyle name="40% - 强调文字颜色 3 2 3 2 2" xfId="1273"/>
    <cellStyle name="40% - 强调文字颜色 3 2 3 3" xfId="1274"/>
    <cellStyle name="40% - 强调文字颜色 3 2 3 4" xfId="1275"/>
    <cellStyle name="40% - 强调文字颜色 3 2 4" xfId="1276"/>
    <cellStyle name="40% - 强调文字颜色 3 2 4 2" xfId="1277"/>
    <cellStyle name="40% - 强调文字颜色 3 2 5" xfId="1278"/>
    <cellStyle name="40% - 强调文字颜色 3 2 5 2" xfId="1279"/>
    <cellStyle name="40% - 强调文字颜色 3 2 6" xfId="1280"/>
    <cellStyle name="40% - 强调文字颜色 3 2 7" xfId="1281"/>
    <cellStyle name="40% - 强调文字颜色 3 2 8" xfId="8662"/>
    <cellStyle name="40% - 强调文字颜色 3 2 8 2" xfId="9345"/>
    <cellStyle name="40% - 强调文字颜色 3 3" xfId="1282"/>
    <cellStyle name="40% - 强调文字颜色 3 3 2" xfId="1283"/>
    <cellStyle name="40% - 强调文字颜色 3 3 2 2" xfId="1284"/>
    <cellStyle name="40% - 强调文字颜色 3 3 2 2 2" xfId="1285"/>
    <cellStyle name="40% - 强调文字颜色 3 3 2 2 2 2" xfId="1286"/>
    <cellStyle name="40% - 强调文字颜色 3 3 2 2 3" xfId="1287"/>
    <cellStyle name="40% - 强调文字颜色 3 3 2 2 4" xfId="1288"/>
    <cellStyle name="40% - 强调文字颜色 3 3 2 3" xfId="1289"/>
    <cellStyle name="40% - 强调文字颜色 3 3 2 3 2" xfId="1290"/>
    <cellStyle name="40% - 强调文字颜色 3 3 2 4" xfId="1291"/>
    <cellStyle name="40% - 强调文字颜色 3 3 2 4 2" xfId="1292"/>
    <cellStyle name="40% - 强调文字颜色 3 3 2 5" xfId="1293"/>
    <cellStyle name="40% - 强调文字颜色 3 3 2 6" xfId="1294"/>
    <cellStyle name="40% - 强调文字颜色 3 3 2 7" xfId="8665"/>
    <cellStyle name="40% - 强调文字颜色 3 3 2 7 2" xfId="9348"/>
    <cellStyle name="40% - 强调文字颜色 3 3 3" xfId="1295"/>
    <cellStyle name="40% - 强调文字颜色 3 3 3 2" xfId="1296"/>
    <cellStyle name="40% - 强调文字颜色 3 3 3 2 2" xfId="1297"/>
    <cellStyle name="40% - 强调文字颜色 3 3 3 3" xfId="1298"/>
    <cellStyle name="40% - 强调文字颜色 3 3 3 4" xfId="1299"/>
    <cellStyle name="40% - 强调文字颜色 3 3 4" xfId="1300"/>
    <cellStyle name="40% - 强调文字颜色 3 3 4 2" xfId="1301"/>
    <cellStyle name="40% - 强调文字颜色 3 3 5" xfId="1302"/>
    <cellStyle name="40% - 强调文字颜色 3 3 5 2" xfId="1303"/>
    <cellStyle name="40% - 强调文字颜色 3 3 6" xfId="1304"/>
    <cellStyle name="40% - 强调文字颜色 3 3 7" xfId="1305"/>
    <cellStyle name="40% - 强调文字颜色 3 3 8" xfId="8664"/>
    <cellStyle name="40% - 强调文字颜色 3 3 8 2" xfId="9347"/>
    <cellStyle name="40% - 强调文字颜色 3 4" xfId="1306"/>
    <cellStyle name="40% - 强调文字颜色 3 4 2" xfId="1307"/>
    <cellStyle name="40% - 强调文字颜色 3 4 2 2" xfId="1308"/>
    <cellStyle name="40% - 强调文字颜色 3 4 2 2 2" xfId="1309"/>
    <cellStyle name="40% - 强调文字颜色 3 4 2 2 2 2" xfId="1310"/>
    <cellStyle name="40% - 强调文字颜色 3 4 2 2 3" xfId="1311"/>
    <cellStyle name="40% - 强调文字颜色 3 4 2 2 4" xfId="1312"/>
    <cellStyle name="40% - 强调文字颜色 3 4 2 3" xfId="1313"/>
    <cellStyle name="40% - 强调文字颜色 3 4 2 3 2" xfId="1314"/>
    <cellStyle name="40% - 强调文字颜色 3 4 2 4" xfId="1315"/>
    <cellStyle name="40% - 强调文字颜色 3 4 2 4 2" xfId="1316"/>
    <cellStyle name="40% - 强调文字颜色 3 4 2 5" xfId="1317"/>
    <cellStyle name="40% - 强调文字颜色 3 4 2 6" xfId="1318"/>
    <cellStyle name="40% - 强调文字颜色 3 4 2 7" xfId="8667"/>
    <cellStyle name="40% - 强调文字颜色 3 4 2 7 2" xfId="9350"/>
    <cellStyle name="40% - 强调文字颜色 3 4 3" xfId="1319"/>
    <cellStyle name="40% - 强调文字颜色 3 4 3 2" xfId="1320"/>
    <cellStyle name="40% - 强调文字颜色 3 4 3 2 2" xfId="1321"/>
    <cellStyle name="40% - 强调文字颜色 3 4 3 3" xfId="1322"/>
    <cellStyle name="40% - 强调文字颜色 3 4 3 4" xfId="1323"/>
    <cellStyle name="40% - 强调文字颜色 3 4 4" xfId="1324"/>
    <cellStyle name="40% - 强调文字颜色 3 4 4 2" xfId="1325"/>
    <cellStyle name="40% - 强调文字颜色 3 4 5" xfId="1326"/>
    <cellStyle name="40% - 强调文字颜色 3 4 5 2" xfId="1327"/>
    <cellStyle name="40% - 强调文字颜色 3 4 6" xfId="1328"/>
    <cellStyle name="40% - 强调文字颜色 3 4 7" xfId="1329"/>
    <cellStyle name="40% - 强调文字颜色 3 4 8" xfId="8666"/>
    <cellStyle name="40% - 强调文字颜色 3 4 8 2" xfId="9349"/>
    <cellStyle name="40% - 强调文字颜色 3 5" xfId="1330"/>
    <cellStyle name="40% - 强调文字颜色 3 5 2" xfId="1331"/>
    <cellStyle name="40% - 强调文字颜色 3 5 2 2" xfId="1332"/>
    <cellStyle name="40% - 强调文字颜色 3 5 2 2 2" xfId="1333"/>
    <cellStyle name="40% - 强调文字颜色 3 5 2 3" xfId="1334"/>
    <cellStyle name="40% - 强调文字颜色 3 5 2 4" xfId="1335"/>
    <cellStyle name="40% - 强调文字颜色 3 5 3" xfId="1336"/>
    <cellStyle name="40% - 强调文字颜色 3 5 3 2" xfId="1337"/>
    <cellStyle name="40% - 强调文字颜色 3 5 4" xfId="1338"/>
    <cellStyle name="40% - 强调文字颜色 3 5 4 2" xfId="1339"/>
    <cellStyle name="40% - 强调文字颜色 3 5 5" xfId="1340"/>
    <cellStyle name="40% - 强调文字颜色 3 5 6" xfId="1341"/>
    <cellStyle name="40% - 强调文字颜色 3 6" xfId="1342"/>
    <cellStyle name="40% - 强调文字颜色 3 6 2" xfId="1343"/>
    <cellStyle name="40% - 强调文字颜色 3 6 2 2" xfId="1344"/>
    <cellStyle name="40% - 强调文字颜色 3 6 2 2 2" xfId="1345"/>
    <cellStyle name="40% - 强调文字颜色 3 6 2 3" xfId="1346"/>
    <cellStyle name="40% - 强调文字颜色 3 6 2 4" xfId="1347"/>
    <cellStyle name="40% - 强调文字颜色 3 6 3" xfId="1348"/>
    <cellStyle name="40% - 强调文字颜色 3 6 3 2" xfId="1349"/>
    <cellStyle name="40% - 强调文字颜色 3 6 4" xfId="1350"/>
    <cellStyle name="40% - 强调文字颜色 3 6 4 2" xfId="1351"/>
    <cellStyle name="40% - 强调文字颜色 3 6 5" xfId="1352"/>
    <cellStyle name="40% - 强调文字颜色 3 6 6" xfId="1353"/>
    <cellStyle name="40% - 强调文字颜色 3 7" xfId="1354"/>
    <cellStyle name="40% - 强调文字颜色 3 7 2" xfId="1355"/>
    <cellStyle name="40% - 强调文字颜色 3 7 2 2" xfId="1356"/>
    <cellStyle name="40% - 强调文字颜色 3 7 2 2 2" xfId="1357"/>
    <cellStyle name="40% - 强调文字颜色 3 7 2 3" xfId="1358"/>
    <cellStyle name="40% - 强调文字颜色 3 7 2 4" xfId="1359"/>
    <cellStyle name="40% - 强调文字颜色 3 7 3" xfId="1360"/>
    <cellStyle name="40% - 强调文字颜色 3 7 3 2" xfId="1361"/>
    <cellStyle name="40% - 强调文字颜色 3 7 4" xfId="1362"/>
    <cellStyle name="40% - 强调文字颜色 3 7 4 2" xfId="1363"/>
    <cellStyle name="40% - 强调文字颜色 3 7 5" xfId="1364"/>
    <cellStyle name="40% - 强调文字颜色 3 7 6" xfId="1365"/>
    <cellStyle name="40% - 强调文字颜色 4 2" xfId="1366"/>
    <cellStyle name="40% - 强调文字颜色 4 2 2" xfId="1367"/>
    <cellStyle name="40% - 强调文字颜色 4 2 2 2" xfId="1368"/>
    <cellStyle name="40% - 强调文字颜色 4 2 2 2 2" xfId="1369"/>
    <cellStyle name="40% - 强调文字颜色 4 2 2 2 2 2" xfId="1370"/>
    <cellStyle name="40% - 强调文字颜色 4 2 2 2 3" xfId="1371"/>
    <cellStyle name="40% - 强调文字颜色 4 2 2 2 4" xfId="1372"/>
    <cellStyle name="40% - 强调文字颜色 4 2 2 3" xfId="1373"/>
    <cellStyle name="40% - 强调文字颜色 4 2 2 3 2" xfId="1374"/>
    <cellStyle name="40% - 强调文字颜色 4 2 2 4" xfId="1375"/>
    <cellStyle name="40% - 强调文字颜色 4 2 2 4 2" xfId="1376"/>
    <cellStyle name="40% - 强调文字颜色 4 2 2 5" xfId="1377"/>
    <cellStyle name="40% - 强调文字颜色 4 2 2 6" xfId="1378"/>
    <cellStyle name="40% - 强调文字颜色 4 2 2 7" xfId="8880"/>
    <cellStyle name="40% - 强调文字颜色 4 2 2 7 2" xfId="9392"/>
    <cellStyle name="40% - 强调文字颜色 4 2 3" xfId="1379"/>
    <cellStyle name="40% - 强调文字颜色 4 2 3 2" xfId="1380"/>
    <cellStyle name="40% - 强调文字颜色 4 2 3 2 2" xfId="1381"/>
    <cellStyle name="40% - 强调文字颜色 4 2 3 3" xfId="1382"/>
    <cellStyle name="40% - 强调文字颜色 4 2 3 4" xfId="1383"/>
    <cellStyle name="40% - 强调文字颜色 4 2 4" xfId="1384"/>
    <cellStyle name="40% - 强调文字颜色 4 2 4 2" xfId="1385"/>
    <cellStyle name="40% - 强调文字颜色 4 2 5" xfId="1386"/>
    <cellStyle name="40% - 强调文字颜色 4 2 5 2" xfId="1387"/>
    <cellStyle name="40% - 强调文字颜色 4 2 6" xfId="1388"/>
    <cellStyle name="40% - 强调文字颜色 4 2 7" xfId="1389"/>
    <cellStyle name="40% - 强调文字颜色 4 2 8" xfId="8881"/>
    <cellStyle name="40% - 强调文字颜色 4 2 8 2" xfId="9393"/>
    <cellStyle name="40% - 强调文字颜色 4 3" xfId="1390"/>
    <cellStyle name="40% - 强调文字颜色 4 3 2" xfId="1391"/>
    <cellStyle name="40% - 强调文字颜色 4 3 2 2" xfId="1392"/>
    <cellStyle name="40% - 强调文字颜色 4 3 2 2 2" xfId="1393"/>
    <cellStyle name="40% - 强调文字颜色 4 3 2 2 2 2" xfId="1394"/>
    <cellStyle name="40% - 强调文字颜色 4 3 2 2 3" xfId="1395"/>
    <cellStyle name="40% - 强调文字颜色 4 3 2 2 4" xfId="1396"/>
    <cellStyle name="40% - 强调文字颜色 4 3 2 3" xfId="1397"/>
    <cellStyle name="40% - 强调文字颜色 4 3 2 3 2" xfId="1398"/>
    <cellStyle name="40% - 强调文字颜色 4 3 2 4" xfId="1399"/>
    <cellStyle name="40% - 强调文字颜色 4 3 2 4 2" xfId="1400"/>
    <cellStyle name="40% - 强调文字颜色 4 3 2 5" xfId="1401"/>
    <cellStyle name="40% - 强调文字颜色 4 3 2 6" xfId="1402"/>
    <cellStyle name="40% - 强调文字颜色 4 3 2 7" xfId="8669"/>
    <cellStyle name="40% - 强调文字颜色 4 3 2 7 2" xfId="9352"/>
    <cellStyle name="40% - 强调文字颜色 4 3 3" xfId="1403"/>
    <cellStyle name="40% - 强调文字颜色 4 3 3 2" xfId="1404"/>
    <cellStyle name="40% - 强调文字颜色 4 3 3 2 2" xfId="1405"/>
    <cellStyle name="40% - 强调文字颜色 4 3 3 3" xfId="1406"/>
    <cellStyle name="40% - 强调文字颜色 4 3 3 4" xfId="1407"/>
    <cellStyle name="40% - 强调文字颜色 4 3 4" xfId="1408"/>
    <cellStyle name="40% - 强调文字颜色 4 3 4 2" xfId="1409"/>
    <cellStyle name="40% - 强调文字颜色 4 3 5" xfId="1410"/>
    <cellStyle name="40% - 强调文字颜色 4 3 5 2" xfId="1411"/>
    <cellStyle name="40% - 强调文字颜色 4 3 6" xfId="1412"/>
    <cellStyle name="40% - 强调文字颜色 4 3 7" xfId="1413"/>
    <cellStyle name="40% - 强调文字颜色 4 3 8" xfId="8668"/>
    <cellStyle name="40% - 强调文字颜色 4 3 8 2" xfId="9351"/>
    <cellStyle name="40% - 强调文字颜色 4 4" xfId="1414"/>
    <cellStyle name="40% - 强调文字颜色 4 4 2" xfId="1415"/>
    <cellStyle name="40% - 强调文字颜色 4 4 2 2" xfId="1416"/>
    <cellStyle name="40% - 强调文字颜色 4 4 2 2 2" xfId="1417"/>
    <cellStyle name="40% - 强调文字颜色 4 4 2 2 2 2" xfId="1418"/>
    <cellStyle name="40% - 强调文字颜色 4 4 2 2 3" xfId="1419"/>
    <cellStyle name="40% - 强调文字颜色 4 4 2 2 4" xfId="1420"/>
    <cellStyle name="40% - 强调文字颜色 4 4 2 3" xfId="1421"/>
    <cellStyle name="40% - 强调文字颜色 4 4 2 3 2" xfId="1422"/>
    <cellStyle name="40% - 强调文字颜色 4 4 2 4" xfId="1423"/>
    <cellStyle name="40% - 强调文字颜色 4 4 2 4 2" xfId="1424"/>
    <cellStyle name="40% - 强调文字颜色 4 4 2 5" xfId="1425"/>
    <cellStyle name="40% - 强调文字颜色 4 4 2 6" xfId="1426"/>
    <cellStyle name="40% - 强调文字颜色 4 4 2 7" xfId="8671"/>
    <cellStyle name="40% - 强调文字颜色 4 4 2 7 2" xfId="9354"/>
    <cellStyle name="40% - 强调文字颜色 4 4 3" xfId="1427"/>
    <cellStyle name="40% - 强调文字颜色 4 4 3 2" xfId="1428"/>
    <cellStyle name="40% - 强调文字颜色 4 4 3 2 2" xfId="1429"/>
    <cellStyle name="40% - 强调文字颜色 4 4 3 3" xfId="1430"/>
    <cellStyle name="40% - 强调文字颜色 4 4 3 4" xfId="1431"/>
    <cellStyle name="40% - 强调文字颜色 4 4 4" xfId="1432"/>
    <cellStyle name="40% - 强调文字颜色 4 4 4 2" xfId="1433"/>
    <cellStyle name="40% - 强调文字颜色 4 4 5" xfId="1434"/>
    <cellStyle name="40% - 强调文字颜色 4 4 5 2" xfId="1435"/>
    <cellStyle name="40% - 强调文字颜色 4 4 6" xfId="1436"/>
    <cellStyle name="40% - 强调文字颜色 4 4 7" xfId="1437"/>
    <cellStyle name="40% - 强调文字颜色 4 4 8" xfId="8670"/>
    <cellStyle name="40% - 强调文字颜色 4 4 8 2" xfId="9353"/>
    <cellStyle name="40% - 强调文字颜色 4 5" xfId="1438"/>
    <cellStyle name="40% - 强调文字颜色 4 5 2" xfId="1439"/>
    <cellStyle name="40% - 强调文字颜色 4 5 2 2" xfId="1440"/>
    <cellStyle name="40% - 强调文字颜色 4 5 2 2 2" xfId="1441"/>
    <cellStyle name="40% - 强调文字颜色 4 5 2 3" xfId="1442"/>
    <cellStyle name="40% - 强调文字颜色 4 5 2 4" xfId="1443"/>
    <cellStyle name="40% - 强调文字颜色 4 5 3" xfId="1444"/>
    <cellStyle name="40% - 强调文字颜色 4 5 3 2" xfId="1445"/>
    <cellStyle name="40% - 强调文字颜色 4 5 4" xfId="1446"/>
    <cellStyle name="40% - 强调文字颜色 4 5 4 2" xfId="1447"/>
    <cellStyle name="40% - 强调文字颜色 4 5 5" xfId="1448"/>
    <cellStyle name="40% - 强调文字颜色 4 5 6" xfId="1449"/>
    <cellStyle name="40% - 强调文字颜色 4 6" xfId="1450"/>
    <cellStyle name="40% - 强调文字颜色 4 6 2" xfId="1451"/>
    <cellStyle name="40% - 强调文字颜色 4 6 2 2" xfId="1452"/>
    <cellStyle name="40% - 强调文字颜色 4 6 2 2 2" xfId="1453"/>
    <cellStyle name="40% - 强调文字颜色 4 6 2 3" xfId="1454"/>
    <cellStyle name="40% - 强调文字颜色 4 6 2 4" xfId="1455"/>
    <cellStyle name="40% - 强调文字颜色 4 6 3" xfId="1456"/>
    <cellStyle name="40% - 强调文字颜色 4 6 3 2" xfId="1457"/>
    <cellStyle name="40% - 强调文字颜色 4 6 4" xfId="1458"/>
    <cellStyle name="40% - 强调文字颜色 4 6 4 2" xfId="1459"/>
    <cellStyle name="40% - 强调文字颜色 4 6 5" xfId="1460"/>
    <cellStyle name="40% - 强调文字颜色 4 6 6" xfId="1461"/>
    <cellStyle name="40% - 强调文字颜色 4 7" xfId="1462"/>
    <cellStyle name="40% - 强调文字颜色 4 7 2" xfId="1463"/>
    <cellStyle name="40% - 强调文字颜色 4 7 2 2" xfId="1464"/>
    <cellStyle name="40% - 强调文字颜色 4 7 2 2 2" xfId="1465"/>
    <cellStyle name="40% - 强调文字颜色 4 7 2 3" xfId="1466"/>
    <cellStyle name="40% - 强调文字颜色 4 7 2 4" xfId="1467"/>
    <cellStyle name="40% - 强调文字颜色 4 7 3" xfId="1468"/>
    <cellStyle name="40% - 强调文字颜色 4 7 3 2" xfId="1469"/>
    <cellStyle name="40% - 强调文字颜色 4 7 4" xfId="1470"/>
    <cellStyle name="40% - 强调文字颜色 4 7 4 2" xfId="1471"/>
    <cellStyle name="40% - 强调文字颜色 4 7 5" xfId="1472"/>
    <cellStyle name="40% - 强调文字颜色 4 7 6" xfId="1473"/>
    <cellStyle name="40% - 强调文字颜色 5 2" xfId="1474"/>
    <cellStyle name="40% - 强调文字颜色 5 2 2" xfId="1475"/>
    <cellStyle name="40% - 强调文字颜色 5 2 2 2" xfId="1476"/>
    <cellStyle name="40% - 强调文字颜色 5 2 2 2 2" xfId="1477"/>
    <cellStyle name="40% - 强调文字颜色 5 2 2 2 2 2" xfId="1478"/>
    <cellStyle name="40% - 强调文字颜色 5 2 2 2 3" xfId="1479"/>
    <cellStyle name="40% - 强调文字颜色 5 2 2 2 4" xfId="1480"/>
    <cellStyle name="40% - 强调文字颜色 5 2 2 3" xfId="1481"/>
    <cellStyle name="40% - 强调文字颜色 5 2 2 3 2" xfId="1482"/>
    <cellStyle name="40% - 强调文字颜色 5 2 2 4" xfId="1483"/>
    <cellStyle name="40% - 强调文字颜色 5 2 2 4 2" xfId="1484"/>
    <cellStyle name="40% - 强调文字颜色 5 2 2 5" xfId="1485"/>
    <cellStyle name="40% - 强调文字颜色 5 2 2 6" xfId="1486"/>
    <cellStyle name="40% - 强调文字颜色 5 2 2 7" xfId="8673"/>
    <cellStyle name="40% - 强调文字颜色 5 2 2 7 2" xfId="9356"/>
    <cellStyle name="40% - 强调文字颜色 5 2 3" xfId="1487"/>
    <cellStyle name="40% - 强调文字颜色 5 2 3 2" xfId="1488"/>
    <cellStyle name="40% - 强调文字颜色 5 2 3 2 2" xfId="1489"/>
    <cellStyle name="40% - 强调文字颜色 5 2 3 3" xfId="1490"/>
    <cellStyle name="40% - 强调文字颜色 5 2 3 4" xfId="1491"/>
    <cellStyle name="40% - 强调文字颜色 5 2 4" xfId="1492"/>
    <cellStyle name="40% - 强调文字颜色 5 2 4 2" xfId="1493"/>
    <cellStyle name="40% - 强调文字颜色 5 2 5" xfId="1494"/>
    <cellStyle name="40% - 强调文字颜色 5 2 5 2" xfId="1495"/>
    <cellStyle name="40% - 强调文字颜色 5 2 6" xfId="1496"/>
    <cellStyle name="40% - 强调文字颜色 5 2 7" xfId="1497"/>
    <cellStyle name="40% - 强调文字颜色 5 2 8" xfId="8672"/>
    <cellStyle name="40% - 强调文字颜色 5 2 8 2" xfId="9355"/>
    <cellStyle name="40% - 强调文字颜色 5 3" xfId="1498"/>
    <cellStyle name="40% - 强调文字颜色 5 3 2" xfId="1499"/>
    <cellStyle name="40% - 强调文字颜色 5 3 2 2" xfId="1500"/>
    <cellStyle name="40% - 强调文字颜色 5 3 2 2 2" xfId="1501"/>
    <cellStyle name="40% - 强调文字颜色 5 3 2 2 2 2" xfId="1502"/>
    <cellStyle name="40% - 强调文字颜色 5 3 2 2 3" xfId="1503"/>
    <cellStyle name="40% - 强调文字颜色 5 3 2 2 4" xfId="1504"/>
    <cellStyle name="40% - 强调文字颜色 5 3 2 3" xfId="1505"/>
    <cellStyle name="40% - 强调文字颜色 5 3 2 3 2" xfId="1506"/>
    <cellStyle name="40% - 强调文字颜色 5 3 2 4" xfId="1507"/>
    <cellStyle name="40% - 强调文字颜色 5 3 2 4 2" xfId="1508"/>
    <cellStyle name="40% - 强调文字颜色 5 3 2 5" xfId="1509"/>
    <cellStyle name="40% - 强调文字颜色 5 3 2 6" xfId="1510"/>
    <cellStyle name="40% - 强调文字颜色 5 3 2 7" xfId="8675"/>
    <cellStyle name="40% - 强调文字颜色 5 3 2 7 2" xfId="9358"/>
    <cellStyle name="40% - 强调文字颜色 5 3 3" xfId="1511"/>
    <cellStyle name="40% - 强调文字颜色 5 3 3 2" xfId="1512"/>
    <cellStyle name="40% - 强调文字颜色 5 3 3 2 2" xfId="1513"/>
    <cellStyle name="40% - 强调文字颜色 5 3 3 3" xfId="1514"/>
    <cellStyle name="40% - 强调文字颜色 5 3 3 4" xfId="1515"/>
    <cellStyle name="40% - 强调文字颜色 5 3 4" xfId="1516"/>
    <cellStyle name="40% - 强调文字颜色 5 3 4 2" xfId="1517"/>
    <cellStyle name="40% - 强调文字颜色 5 3 5" xfId="1518"/>
    <cellStyle name="40% - 强调文字颜色 5 3 5 2" xfId="1519"/>
    <cellStyle name="40% - 强调文字颜色 5 3 6" xfId="1520"/>
    <cellStyle name="40% - 强调文字颜色 5 3 7" xfId="1521"/>
    <cellStyle name="40% - 强调文字颜色 5 3 8" xfId="8674"/>
    <cellStyle name="40% - 强调文字颜色 5 3 8 2" xfId="9357"/>
    <cellStyle name="40% - 强调文字颜色 5 4" xfId="1522"/>
    <cellStyle name="40% - 强调文字颜色 5 4 2" xfId="1523"/>
    <cellStyle name="40% - 强调文字颜色 5 4 2 2" xfId="1524"/>
    <cellStyle name="40% - 强调文字颜色 5 4 2 2 2" xfId="1525"/>
    <cellStyle name="40% - 强调文字颜色 5 4 2 2 2 2" xfId="1526"/>
    <cellStyle name="40% - 强调文字颜色 5 4 2 2 3" xfId="1527"/>
    <cellStyle name="40% - 强调文字颜色 5 4 2 2 4" xfId="1528"/>
    <cellStyle name="40% - 强调文字颜色 5 4 2 3" xfId="1529"/>
    <cellStyle name="40% - 强调文字颜色 5 4 2 3 2" xfId="1530"/>
    <cellStyle name="40% - 强调文字颜色 5 4 2 4" xfId="1531"/>
    <cellStyle name="40% - 强调文字颜色 5 4 2 4 2" xfId="1532"/>
    <cellStyle name="40% - 强调文字颜色 5 4 2 5" xfId="1533"/>
    <cellStyle name="40% - 强调文字颜色 5 4 2 6" xfId="1534"/>
    <cellStyle name="40% - 强调文字颜色 5 4 2 7" xfId="8677"/>
    <cellStyle name="40% - 强调文字颜色 5 4 2 7 2" xfId="9360"/>
    <cellStyle name="40% - 强调文字颜色 5 4 3" xfId="1535"/>
    <cellStyle name="40% - 强调文字颜色 5 4 3 2" xfId="1536"/>
    <cellStyle name="40% - 强调文字颜色 5 4 3 2 2" xfId="1537"/>
    <cellStyle name="40% - 强调文字颜色 5 4 3 3" xfId="1538"/>
    <cellStyle name="40% - 强调文字颜色 5 4 3 4" xfId="1539"/>
    <cellStyle name="40% - 强调文字颜色 5 4 4" xfId="1540"/>
    <cellStyle name="40% - 强调文字颜色 5 4 4 2" xfId="1541"/>
    <cellStyle name="40% - 强调文字颜色 5 4 5" xfId="1542"/>
    <cellStyle name="40% - 强调文字颜色 5 4 5 2" xfId="1543"/>
    <cellStyle name="40% - 强调文字颜色 5 4 6" xfId="1544"/>
    <cellStyle name="40% - 强调文字颜色 5 4 7" xfId="1545"/>
    <cellStyle name="40% - 强调文字颜色 5 4 8" xfId="8676"/>
    <cellStyle name="40% - 强调文字颜色 5 4 8 2" xfId="9359"/>
    <cellStyle name="40% - 强调文字颜色 5 5" xfId="1546"/>
    <cellStyle name="40% - 强调文字颜色 5 5 2" xfId="1547"/>
    <cellStyle name="40% - 强调文字颜色 5 5 2 2" xfId="1548"/>
    <cellStyle name="40% - 强调文字颜色 5 5 2 2 2" xfId="1549"/>
    <cellStyle name="40% - 强调文字颜色 5 5 2 3" xfId="1550"/>
    <cellStyle name="40% - 强调文字颜色 5 5 2 4" xfId="1551"/>
    <cellStyle name="40% - 强调文字颜色 5 5 3" xfId="1552"/>
    <cellStyle name="40% - 强调文字颜色 5 5 3 2" xfId="1553"/>
    <cellStyle name="40% - 强调文字颜色 5 5 4" xfId="1554"/>
    <cellStyle name="40% - 强调文字颜色 5 5 4 2" xfId="1555"/>
    <cellStyle name="40% - 强调文字颜色 5 5 5" xfId="1556"/>
    <cellStyle name="40% - 强调文字颜色 5 5 6" xfId="1557"/>
    <cellStyle name="40% - 强调文字颜色 5 6" xfId="1558"/>
    <cellStyle name="40% - 强调文字颜色 5 6 2" xfId="1559"/>
    <cellStyle name="40% - 强调文字颜色 5 6 2 2" xfId="1560"/>
    <cellStyle name="40% - 强调文字颜色 5 6 2 2 2" xfId="1561"/>
    <cellStyle name="40% - 强调文字颜色 5 6 2 3" xfId="1562"/>
    <cellStyle name="40% - 强调文字颜色 5 6 2 4" xfId="1563"/>
    <cellStyle name="40% - 强调文字颜色 5 6 3" xfId="1564"/>
    <cellStyle name="40% - 强调文字颜色 5 6 3 2" xfId="1565"/>
    <cellStyle name="40% - 强调文字颜色 5 6 4" xfId="1566"/>
    <cellStyle name="40% - 强调文字颜色 5 6 4 2" xfId="1567"/>
    <cellStyle name="40% - 强调文字颜色 5 6 5" xfId="1568"/>
    <cellStyle name="40% - 强调文字颜色 5 6 6" xfId="1569"/>
    <cellStyle name="40% - 强调文字颜色 5 7" xfId="1570"/>
    <cellStyle name="40% - 强调文字颜色 5 7 2" xfId="1571"/>
    <cellStyle name="40% - 强调文字颜色 5 7 2 2" xfId="1572"/>
    <cellStyle name="40% - 强调文字颜色 5 7 2 2 2" xfId="1573"/>
    <cellStyle name="40% - 强调文字颜色 5 7 2 3" xfId="1574"/>
    <cellStyle name="40% - 强调文字颜色 5 7 2 4" xfId="1575"/>
    <cellStyle name="40% - 强调文字颜色 5 7 3" xfId="1576"/>
    <cellStyle name="40% - 强调文字颜色 5 7 3 2" xfId="1577"/>
    <cellStyle name="40% - 强调文字颜色 5 7 4" xfId="1578"/>
    <cellStyle name="40% - 强调文字颜色 5 7 4 2" xfId="1579"/>
    <cellStyle name="40% - 强调文字颜色 5 7 5" xfId="1580"/>
    <cellStyle name="40% - 强调文字颜色 5 7 6" xfId="1581"/>
    <cellStyle name="40% - 强调文字颜色 6 2" xfId="1582"/>
    <cellStyle name="40% - 强调文字颜色 6 2 2" xfId="1583"/>
    <cellStyle name="40% - 强调文字颜色 6 2 2 2" xfId="1584"/>
    <cellStyle name="40% - 强调文字颜色 6 2 2 2 2" xfId="1585"/>
    <cellStyle name="40% - 强调文字颜色 6 2 2 2 2 2" xfId="1586"/>
    <cellStyle name="40% - 强调文字颜色 6 2 2 2 3" xfId="1587"/>
    <cellStyle name="40% - 强调文字颜色 6 2 2 2 4" xfId="1588"/>
    <cellStyle name="40% - 强调文字颜色 6 2 2 3" xfId="1589"/>
    <cellStyle name="40% - 强调文字颜色 6 2 2 3 2" xfId="1590"/>
    <cellStyle name="40% - 强调文字颜色 6 2 2 4" xfId="1591"/>
    <cellStyle name="40% - 强调文字颜色 6 2 2 4 2" xfId="1592"/>
    <cellStyle name="40% - 强调文字颜色 6 2 2 5" xfId="1593"/>
    <cellStyle name="40% - 强调文字颜色 6 2 2 6" xfId="1594"/>
    <cellStyle name="40% - 强调文字颜色 6 2 2 7" xfId="8679"/>
    <cellStyle name="40% - 强调文字颜色 6 2 2 7 2" xfId="9362"/>
    <cellStyle name="40% - 强调文字颜色 6 2 3" xfId="1595"/>
    <cellStyle name="40% - 强调文字颜色 6 2 3 2" xfId="1596"/>
    <cellStyle name="40% - 强调文字颜色 6 2 3 2 2" xfId="1597"/>
    <cellStyle name="40% - 强调文字颜色 6 2 3 3" xfId="1598"/>
    <cellStyle name="40% - 强调文字颜色 6 2 3 4" xfId="1599"/>
    <cellStyle name="40% - 强调文字颜色 6 2 4" xfId="1600"/>
    <cellStyle name="40% - 强调文字颜色 6 2 4 2" xfId="1601"/>
    <cellStyle name="40% - 强调文字颜色 6 2 5" xfId="1602"/>
    <cellStyle name="40% - 强调文字颜色 6 2 5 2" xfId="1603"/>
    <cellStyle name="40% - 强调文字颜色 6 2 6" xfId="1604"/>
    <cellStyle name="40% - 强调文字颜色 6 2 7" xfId="1605"/>
    <cellStyle name="40% - 强调文字颜色 6 2 8" xfId="8678"/>
    <cellStyle name="40% - 强调文字颜色 6 2 8 2" xfId="9361"/>
    <cellStyle name="40% - 强调文字颜色 6 3" xfId="1606"/>
    <cellStyle name="40% - 强调文字颜色 6 3 2" xfId="1607"/>
    <cellStyle name="40% - 强调文字颜色 6 3 2 2" xfId="1608"/>
    <cellStyle name="40% - 强调文字颜色 6 3 2 2 2" xfId="1609"/>
    <cellStyle name="40% - 强调文字颜色 6 3 2 2 2 2" xfId="1610"/>
    <cellStyle name="40% - 强调文字颜色 6 3 2 2 3" xfId="1611"/>
    <cellStyle name="40% - 强调文字颜色 6 3 2 2 4" xfId="1612"/>
    <cellStyle name="40% - 强调文字颜色 6 3 2 3" xfId="1613"/>
    <cellStyle name="40% - 强调文字颜色 6 3 2 3 2" xfId="1614"/>
    <cellStyle name="40% - 强调文字颜色 6 3 2 4" xfId="1615"/>
    <cellStyle name="40% - 强调文字颜色 6 3 2 4 2" xfId="1616"/>
    <cellStyle name="40% - 强调文字颜色 6 3 2 5" xfId="1617"/>
    <cellStyle name="40% - 强调文字颜色 6 3 2 6" xfId="1618"/>
    <cellStyle name="40% - 强调文字颜色 6 3 2 7" xfId="8681"/>
    <cellStyle name="40% - 强调文字颜色 6 3 2 7 2" xfId="9364"/>
    <cellStyle name="40% - 强调文字颜色 6 3 3" xfId="1619"/>
    <cellStyle name="40% - 强调文字颜色 6 3 3 2" xfId="1620"/>
    <cellStyle name="40% - 强调文字颜色 6 3 3 2 2" xfId="1621"/>
    <cellStyle name="40% - 强调文字颜色 6 3 3 3" xfId="1622"/>
    <cellStyle name="40% - 强调文字颜色 6 3 3 4" xfId="1623"/>
    <cellStyle name="40% - 强调文字颜色 6 3 4" xfId="1624"/>
    <cellStyle name="40% - 强调文字颜色 6 3 4 2" xfId="1625"/>
    <cellStyle name="40% - 强调文字颜色 6 3 5" xfId="1626"/>
    <cellStyle name="40% - 强调文字颜色 6 3 5 2" xfId="1627"/>
    <cellStyle name="40% - 强调文字颜色 6 3 6" xfId="1628"/>
    <cellStyle name="40% - 强调文字颜色 6 3 7" xfId="1629"/>
    <cellStyle name="40% - 强调文字颜色 6 3 8" xfId="8680"/>
    <cellStyle name="40% - 强调文字颜色 6 3 8 2" xfId="9363"/>
    <cellStyle name="40% - 强调文字颜色 6 4" xfId="1630"/>
    <cellStyle name="40% - 强调文字颜色 6 4 2" xfId="1631"/>
    <cellStyle name="40% - 强调文字颜色 6 4 2 2" xfId="1632"/>
    <cellStyle name="40% - 强调文字颜色 6 4 2 2 2" xfId="1633"/>
    <cellStyle name="40% - 强调文字颜色 6 4 2 2 2 2" xfId="1634"/>
    <cellStyle name="40% - 强调文字颜色 6 4 2 2 3" xfId="1635"/>
    <cellStyle name="40% - 强调文字颜色 6 4 2 2 4" xfId="1636"/>
    <cellStyle name="40% - 强调文字颜色 6 4 2 3" xfId="1637"/>
    <cellStyle name="40% - 强调文字颜色 6 4 2 3 2" xfId="1638"/>
    <cellStyle name="40% - 强调文字颜色 6 4 2 4" xfId="1639"/>
    <cellStyle name="40% - 强调文字颜色 6 4 2 4 2" xfId="1640"/>
    <cellStyle name="40% - 强调文字颜色 6 4 2 5" xfId="1641"/>
    <cellStyle name="40% - 强调文字颜色 6 4 2 6" xfId="1642"/>
    <cellStyle name="40% - 强调文字颜色 6 4 2 7" xfId="8683"/>
    <cellStyle name="40% - 强调文字颜色 6 4 2 7 2" xfId="9366"/>
    <cellStyle name="40% - 强调文字颜色 6 4 3" xfId="1643"/>
    <cellStyle name="40% - 强调文字颜色 6 4 3 2" xfId="1644"/>
    <cellStyle name="40% - 强调文字颜色 6 4 3 2 2" xfId="1645"/>
    <cellStyle name="40% - 强调文字颜色 6 4 3 3" xfId="1646"/>
    <cellStyle name="40% - 强调文字颜色 6 4 3 4" xfId="1647"/>
    <cellStyle name="40% - 强调文字颜色 6 4 4" xfId="1648"/>
    <cellStyle name="40% - 强调文字颜色 6 4 4 2" xfId="1649"/>
    <cellStyle name="40% - 强调文字颜色 6 4 5" xfId="1650"/>
    <cellStyle name="40% - 强调文字颜色 6 4 5 2" xfId="1651"/>
    <cellStyle name="40% - 强调文字颜色 6 4 6" xfId="1652"/>
    <cellStyle name="40% - 强调文字颜色 6 4 7" xfId="1653"/>
    <cellStyle name="40% - 强调文字颜色 6 4 8" xfId="8682"/>
    <cellStyle name="40% - 强调文字颜色 6 4 8 2" xfId="9365"/>
    <cellStyle name="40% - 强调文字颜色 6 5" xfId="1654"/>
    <cellStyle name="40% - 强调文字颜色 6 5 2" xfId="1655"/>
    <cellStyle name="40% - 强调文字颜色 6 5 2 2" xfId="1656"/>
    <cellStyle name="40% - 强调文字颜色 6 5 2 2 2" xfId="1657"/>
    <cellStyle name="40% - 强调文字颜色 6 5 2 3" xfId="1658"/>
    <cellStyle name="40% - 强调文字颜色 6 5 2 4" xfId="1659"/>
    <cellStyle name="40% - 强调文字颜色 6 5 3" xfId="1660"/>
    <cellStyle name="40% - 强调文字颜色 6 5 3 2" xfId="1661"/>
    <cellStyle name="40% - 强调文字颜色 6 5 4" xfId="1662"/>
    <cellStyle name="40% - 强调文字颜色 6 5 4 2" xfId="1663"/>
    <cellStyle name="40% - 强调文字颜色 6 5 5" xfId="1664"/>
    <cellStyle name="40% - 强调文字颜色 6 5 6" xfId="1665"/>
    <cellStyle name="40% - 强调文字颜色 6 6" xfId="1666"/>
    <cellStyle name="40% - 强调文字颜色 6 6 2" xfId="1667"/>
    <cellStyle name="40% - 强调文字颜色 6 6 2 2" xfId="1668"/>
    <cellStyle name="40% - 强调文字颜色 6 6 2 2 2" xfId="1669"/>
    <cellStyle name="40% - 强调文字颜色 6 6 2 3" xfId="1670"/>
    <cellStyle name="40% - 强调文字颜色 6 6 2 4" xfId="1671"/>
    <cellStyle name="40% - 强调文字颜色 6 6 3" xfId="1672"/>
    <cellStyle name="40% - 强调文字颜色 6 6 3 2" xfId="1673"/>
    <cellStyle name="40% - 强调文字颜色 6 6 4" xfId="1674"/>
    <cellStyle name="40% - 强调文字颜色 6 6 4 2" xfId="1675"/>
    <cellStyle name="40% - 强调文字颜色 6 6 5" xfId="1676"/>
    <cellStyle name="40% - 强调文字颜色 6 6 6" xfId="1677"/>
    <cellStyle name="40% - 强调文字颜色 6 7" xfId="1678"/>
    <cellStyle name="40% - 强调文字颜色 6 7 2" xfId="1679"/>
    <cellStyle name="40% - 强调文字颜色 6 7 2 2" xfId="1680"/>
    <cellStyle name="40% - 强调文字颜色 6 7 2 2 2" xfId="1681"/>
    <cellStyle name="40% - 强调文字颜色 6 7 2 3" xfId="1682"/>
    <cellStyle name="40% - 强调文字颜色 6 7 2 4" xfId="1683"/>
    <cellStyle name="40% - 强调文字颜色 6 7 3" xfId="1684"/>
    <cellStyle name="40% - 强调文字颜色 6 7 3 2" xfId="1685"/>
    <cellStyle name="40% - 强调文字颜色 6 7 4" xfId="1686"/>
    <cellStyle name="40% - 强调文字颜色 6 7 4 2" xfId="1687"/>
    <cellStyle name="40% - 强调文字颜色 6 7 5" xfId="1688"/>
    <cellStyle name="40% - 强调文字颜色 6 7 6" xfId="1689"/>
    <cellStyle name="40% - 着色 1" xfId="1690"/>
    <cellStyle name="40% - 着色 1 10" xfId="1691"/>
    <cellStyle name="40% - 着色 1 2" xfId="1692"/>
    <cellStyle name="40% - 着色 1 2 2" xfId="1693"/>
    <cellStyle name="40% - 着色 1 2 2 2" xfId="1694"/>
    <cellStyle name="40% - 着色 1 2 2 2 2" xfId="1695"/>
    <cellStyle name="40% - 着色 1 2 2 2 2 2" xfId="1696"/>
    <cellStyle name="40% - 着色 1 2 2 2 3" xfId="1697"/>
    <cellStyle name="40% - 着色 1 2 2 2 4" xfId="1698"/>
    <cellStyle name="40% - 着色 1 2 2 3" xfId="1699"/>
    <cellStyle name="40% - 着色 1 2 2 3 2" xfId="1700"/>
    <cellStyle name="40% - 着色 1 2 2 4" xfId="1701"/>
    <cellStyle name="40% - 着色 1 2 2 4 2" xfId="1702"/>
    <cellStyle name="40% - 着色 1 2 2 5" xfId="1703"/>
    <cellStyle name="40% - 着色 1 2 2 6" xfId="1704"/>
    <cellStyle name="40% - 着色 1 2 3" xfId="1705"/>
    <cellStyle name="40% - 着色 1 2 3 2" xfId="1706"/>
    <cellStyle name="40% - 着色 1 2 3 2 2" xfId="1707"/>
    <cellStyle name="40% - 着色 1 2 3 3" xfId="1708"/>
    <cellStyle name="40% - 着色 1 2 3 4" xfId="1709"/>
    <cellStyle name="40% - 着色 1 2 4" xfId="1710"/>
    <cellStyle name="40% - 着色 1 2 4 2" xfId="1711"/>
    <cellStyle name="40% - 着色 1 2 5" xfId="1712"/>
    <cellStyle name="40% - 着色 1 2 5 2" xfId="1713"/>
    <cellStyle name="40% - 着色 1 2 6" xfId="1714"/>
    <cellStyle name="40% - 着色 1 2 7" xfId="1715"/>
    <cellStyle name="40% - 着色 1 3" xfId="1716"/>
    <cellStyle name="40% - 着色 1 3 2" xfId="1717"/>
    <cellStyle name="40% - 着色 1 3 2 2" xfId="1718"/>
    <cellStyle name="40% - 着色 1 3 2 2 2" xfId="1719"/>
    <cellStyle name="40% - 着色 1 3 2 3" xfId="1720"/>
    <cellStyle name="40% - 着色 1 3 2 4" xfId="1721"/>
    <cellStyle name="40% - 着色 1 3 3" xfId="1722"/>
    <cellStyle name="40% - 着色 1 3 3 2" xfId="1723"/>
    <cellStyle name="40% - 着色 1 3 4" xfId="1724"/>
    <cellStyle name="40% - 着色 1 3 4 2" xfId="1725"/>
    <cellStyle name="40% - 着色 1 3 5" xfId="1726"/>
    <cellStyle name="40% - 着色 1 3 6" xfId="1727"/>
    <cellStyle name="40% - 着色 1 4" xfId="1728"/>
    <cellStyle name="40% - 着色 1 4 2" xfId="1729"/>
    <cellStyle name="40% - 着色 1 4 2 2" xfId="1730"/>
    <cellStyle name="40% - 着色 1 4 2 2 2" xfId="1731"/>
    <cellStyle name="40% - 着色 1 4 2 3" xfId="1732"/>
    <cellStyle name="40% - 着色 1 4 2 4" xfId="1733"/>
    <cellStyle name="40% - 着色 1 4 3" xfId="1734"/>
    <cellStyle name="40% - 着色 1 4 3 2" xfId="1735"/>
    <cellStyle name="40% - 着色 1 4 4" xfId="1736"/>
    <cellStyle name="40% - 着色 1 4 4 2" xfId="1737"/>
    <cellStyle name="40% - 着色 1 4 5" xfId="1738"/>
    <cellStyle name="40% - 着色 1 4 6" xfId="1739"/>
    <cellStyle name="40% - 着色 1 5" xfId="1740"/>
    <cellStyle name="40% - 着色 1 5 2" xfId="1741"/>
    <cellStyle name="40% - 着色 1 5 2 2" xfId="1742"/>
    <cellStyle name="40% - 着色 1 5 3" xfId="1743"/>
    <cellStyle name="40% - 着色 1 5 4" xfId="1744"/>
    <cellStyle name="40% - 着色 1 6" xfId="1745"/>
    <cellStyle name="40% - 着色 1 6 2" xfId="1746"/>
    <cellStyle name="40% - 着色 1 7" xfId="1747"/>
    <cellStyle name="40% - 着色 1 7 2" xfId="1748"/>
    <cellStyle name="40% - 着色 1 8" xfId="1749"/>
    <cellStyle name="40% - 着色 1 8 2" xfId="1750"/>
    <cellStyle name="40% - 着色 1 9" xfId="1751"/>
    <cellStyle name="40% - 着色 2" xfId="1752"/>
    <cellStyle name="40% - 着色 2 10" xfId="1753"/>
    <cellStyle name="40% - 着色 2 2" xfId="1754"/>
    <cellStyle name="40% - 着色 2 2 2" xfId="1755"/>
    <cellStyle name="40% - 着色 2 2 2 2" xfId="1756"/>
    <cellStyle name="40% - 着色 2 2 2 2 2" xfId="1757"/>
    <cellStyle name="40% - 着色 2 2 2 2 2 2" xfId="1758"/>
    <cellStyle name="40% - 着色 2 2 2 2 3" xfId="1759"/>
    <cellStyle name="40% - 着色 2 2 2 2 4" xfId="1760"/>
    <cellStyle name="40% - 着色 2 2 2 3" xfId="1761"/>
    <cellStyle name="40% - 着色 2 2 2 3 2" xfId="1762"/>
    <cellStyle name="40% - 着色 2 2 2 4" xfId="1763"/>
    <cellStyle name="40% - 着色 2 2 2 4 2" xfId="1764"/>
    <cellStyle name="40% - 着色 2 2 2 5" xfId="1765"/>
    <cellStyle name="40% - 着色 2 2 2 6" xfId="1766"/>
    <cellStyle name="40% - 着色 2 2 3" xfId="1767"/>
    <cellStyle name="40% - 着色 2 2 3 2" xfId="1768"/>
    <cellStyle name="40% - 着色 2 2 3 2 2" xfId="1769"/>
    <cellStyle name="40% - 着色 2 2 3 3" xfId="1770"/>
    <cellStyle name="40% - 着色 2 2 3 4" xfId="1771"/>
    <cellStyle name="40% - 着色 2 2 4" xfId="1772"/>
    <cellStyle name="40% - 着色 2 2 4 2" xfId="1773"/>
    <cellStyle name="40% - 着色 2 2 5" xfId="1774"/>
    <cellStyle name="40% - 着色 2 2 5 2" xfId="1775"/>
    <cellStyle name="40% - 着色 2 2 6" xfId="1776"/>
    <cellStyle name="40% - 着色 2 2 7" xfId="1777"/>
    <cellStyle name="40% - 着色 2 3" xfId="1778"/>
    <cellStyle name="40% - 着色 2 3 2" xfId="1779"/>
    <cellStyle name="40% - 着色 2 3 2 2" xfId="1780"/>
    <cellStyle name="40% - 着色 2 3 2 2 2" xfId="1781"/>
    <cellStyle name="40% - 着色 2 3 2 3" xfId="1782"/>
    <cellStyle name="40% - 着色 2 3 2 4" xfId="1783"/>
    <cellStyle name="40% - 着色 2 3 3" xfId="1784"/>
    <cellStyle name="40% - 着色 2 3 3 2" xfId="1785"/>
    <cellStyle name="40% - 着色 2 3 4" xfId="1786"/>
    <cellStyle name="40% - 着色 2 3 4 2" xfId="1787"/>
    <cellStyle name="40% - 着色 2 3 5" xfId="1788"/>
    <cellStyle name="40% - 着色 2 3 6" xfId="1789"/>
    <cellStyle name="40% - 着色 2 4" xfId="1790"/>
    <cellStyle name="40% - 着色 2 4 2" xfId="1791"/>
    <cellStyle name="40% - 着色 2 4 2 2" xfId="1792"/>
    <cellStyle name="40% - 着色 2 4 2 2 2" xfId="1793"/>
    <cellStyle name="40% - 着色 2 4 2 3" xfId="1794"/>
    <cellStyle name="40% - 着色 2 4 2 4" xfId="1795"/>
    <cellStyle name="40% - 着色 2 4 3" xfId="1796"/>
    <cellStyle name="40% - 着色 2 4 3 2" xfId="1797"/>
    <cellStyle name="40% - 着色 2 4 4" xfId="1798"/>
    <cellStyle name="40% - 着色 2 4 4 2" xfId="1799"/>
    <cellStyle name="40% - 着色 2 4 5" xfId="1800"/>
    <cellStyle name="40% - 着色 2 4 6" xfId="1801"/>
    <cellStyle name="40% - 着色 2 5" xfId="1802"/>
    <cellStyle name="40% - 着色 2 5 2" xfId="1803"/>
    <cellStyle name="40% - 着色 2 5 2 2" xfId="1804"/>
    <cellStyle name="40% - 着色 2 5 3" xfId="1805"/>
    <cellStyle name="40% - 着色 2 5 4" xfId="1806"/>
    <cellStyle name="40% - 着色 2 6" xfId="1807"/>
    <cellStyle name="40% - 着色 2 6 2" xfId="1808"/>
    <cellStyle name="40% - 着色 2 7" xfId="1809"/>
    <cellStyle name="40% - 着色 2 7 2" xfId="1810"/>
    <cellStyle name="40% - 着色 2 8" xfId="1811"/>
    <cellStyle name="40% - 着色 2 8 2" xfId="1812"/>
    <cellStyle name="40% - 着色 2 9" xfId="1813"/>
    <cellStyle name="40% - 着色 3" xfId="1814"/>
    <cellStyle name="40% - 着色 3 10" xfId="1815"/>
    <cellStyle name="40% - 着色 3 2" xfId="1816"/>
    <cellStyle name="40% - 着色 3 2 2" xfId="1817"/>
    <cellStyle name="40% - 着色 3 2 2 2" xfId="1818"/>
    <cellStyle name="40% - 着色 3 2 2 2 2" xfId="1819"/>
    <cellStyle name="40% - 着色 3 2 2 2 2 2" xfId="1820"/>
    <cellStyle name="40% - 着色 3 2 2 2 3" xfId="1821"/>
    <cellStyle name="40% - 着色 3 2 2 2 4" xfId="1822"/>
    <cellStyle name="40% - 着色 3 2 2 3" xfId="1823"/>
    <cellStyle name="40% - 着色 3 2 2 3 2" xfId="1824"/>
    <cellStyle name="40% - 着色 3 2 2 4" xfId="1825"/>
    <cellStyle name="40% - 着色 3 2 2 4 2" xfId="1826"/>
    <cellStyle name="40% - 着色 3 2 2 5" xfId="1827"/>
    <cellStyle name="40% - 着色 3 2 2 6" xfId="1828"/>
    <cellStyle name="40% - 着色 3 2 3" xfId="1829"/>
    <cellStyle name="40% - 着色 3 2 3 2" xfId="1830"/>
    <cellStyle name="40% - 着色 3 2 3 2 2" xfId="1831"/>
    <cellStyle name="40% - 着色 3 2 3 3" xfId="1832"/>
    <cellStyle name="40% - 着色 3 2 3 4" xfId="1833"/>
    <cellStyle name="40% - 着色 3 2 4" xfId="1834"/>
    <cellStyle name="40% - 着色 3 2 4 2" xfId="1835"/>
    <cellStyle name="40% - 着色 3 2 5" xfId="1836"/>
    <cellStyle name="40% - 着色 3 2 5 2" xfId="1837"/>
    <cellStyle name="40% - 着色 3 2 6" xfId="1838"/>
    <cellStyle name="40% - 着色 3 2 7" xfId="1839"/>
    <cellStyle name="40% - 着色 3 3" xfId="1840"/>
    <cellStyle name="40% - 着色 3 3 2" xfId="1841"/>
    <cellStyle name="40% - 着色 3 3 2 2" xfId="1842"/>
    <cellStyle name="40% - 着色 3 3 2 2 2" xfId="1843"/>
    <cellStyle name="40% - 着色 3 3 2 3" xfId="1844"/>
    <cellStyle name="40% - 着色 3 3 2 4" xfId="1845"/>
    <cellStyle name="40% - 着色 3 3 3" xfId="1846"/>
    <cellStyle name="40% - 着色 3 3 3 2" xfId="1847"/>
    <cellStyle name="40% - 着色 3 3 4" xfId="1848"/>
    <cellStyle name="40% - 着色 3 3 4 2" xfId="1849"/>
    <cellStyle name="40% - 着色 3 3 5" xfId="1850"/>
    <cellStyle name="40% - 着色 3 3 6" xfId="1851"/>
    <cellStyle name="40% - 着色 3 4" xfId="1852"/>
    <cellStyle name="40% - 着色 3 4 2" xfId="1853"/>
    <cellStyle name="40% - 着色 3 4 2 2" xfId="1854"/>
    <cellStyle name="40% - 着色 3 4 2 2 2" xfId="1855"/>
    <cellStyle name="40% - 着色 3 4 2 3" xfId="1856"/>
    <cellStyle name="40% - 着色 3 4 2 4" xfId="1857"/>
    <cellStyle name="40% - 着色 3 4 3" xfId="1858"/>
    <cellStyle name="40% - 着色 3 4 3 2" xfId="1859"/>
    <cellStyle name="40% - 着色 3 4 4" xfId="1860"/>
    <cellStyle name="40% - 着色 3 4 4 2" xfId="1861"/>
    <cellStyle name="40% - 着色 3 4 5" xfId="1862"/>
    <cellStyle name="40% - 着色 3 4 6" xfId="1863"/>
    <cellStyle name="40% - 着色 3 5" xfId="1864"/>
    <cellStyle name="40% - 着色 3 5 2" xfId="1865"/>
    <cellStyle name="40% - 着色 3 5 2 2" xfId="1866"/>
    <cellStyle name="40% - 着色 3 5 3" xfId="1867"/>
    <cellStyle name="40% - 着色 3 5 4" xfId="1868"/>
    <cellStyle name="40% - 着色 3 6" xfId="1869"/>
    <cellStyle name="40% - 着色 3 6 2" xfId="1870"/>
    <cellStyle name="40% - 着色 3 7" xfId="1871"/>
    <cellStyle name="40% - 着色 3 7 2" xfId="1872"/>
    <cellStyle name="40% - 着色 3 8" xfId="1873"/>
    <cellStyle name="40% - 着色 3 8 2" xfId="1874"/>
    <cellStyle name="40% - 着色 3 9" xfId="1875"/>
    <cellStyle name="40% - 着色 4" xfId="1876"/>
    <cellStyle name="40% - 着色 4 10" xfId="1877"/>
    <cellStyle name="40% - 着色 4 2" xfId="1878"/>
    <cellStyle name="40% - 着色 4 2 2" xfId="1879"/>
    <cellStyle name="40% - 着色 4 2 2 2" xfId="1880"/>
    <cellStyle name="40% - 着色 4 2 2 2 2" xfId="1881"/>
    <cellStyle name="40% - 着色 4 2 2 2 2 2" xfId="1882"/>
    <cellStyle name="40% - 着色 4 2 2 2 3" xfId="1883"/>
    <cellStyle name="40% - 着色 4 2 2 2 4" xfId="1884"/>
    <cellStyle name="40% - 着色 4 2 2 3" xfId="1885"/>
    <cellStyle name="40% - 着色 4 2 2 3 2" xfId="1886"/>
    <cellStyle name="40% - 着色 4 2 2 4" xfId="1887"/>
    <cellStyle name="40% - 着色 4 2 2 4 2" xfId="1888"/>
    <cellStyle name="40% - 着色 4 2 2 5" xfId="1889"/>
    <cellStyle name="40% - 着色 4 2 2 6" xfId="1890"/>
    <cellStyle name="40% - 着色 4 2 3" xfId="1891"/>
    <cellStyle name="40% - 着色 4 2 3 2" xfId="1892"/>
    <cellStyle name="40% - 着色 4 2 3 2 2" xfId="1893"/>
    <cellStyle name="40% - 着色 4 2 3 3" xfId="1894"/>
    <cellStyle name="40% - 着色 4 2 3 4" xfId="1895"/>
    <cellStyle name="40% - 着色 4 2 4" xfId="1896"/>
    <cellStyle name="40% - 着色 4 2 4 2" xfId="1897"/>
    <cellStyle name="40% - 着色 4 2 5" xfId="1898"/>
    <cellStyle name="40% - 着色 4 2 5 2" xfId="1899"/>
    <cellStyle name="40% - 着色 4 2 6" xfId="1900"/>
    <cellStyle name="40% - 着色 4 2 7" xfId="1901"/>
    <cellStyle name="40% - 着色 4 3" xfId="1902"/>
    <cellStyle name="40% - 着色 4 3 2" xfId="1903"/>
    <cellStyle name="40% - 着色 4 3 2 2" xfId="1904"/>
    <cellStyle name="40% - 着色 4 3 2 2 2" xfId="1905"/>
    <cellStyle name="40% - 着色 4 3 2 3" xfId="1906"/>
    <cellStyle name="40% - 着色 4 3 2 4" xfId="1907"/>
    <cellStyle name="40% - 着色 4 3 3" xfId="1908"/>
    <cellStyle name="40% - 着色 4 3 3 2" xfId="1909"/>
    <cellStyle name="40% - 着色 4 3 4" xfId="1910"/>
    <cellStyle name="40% - 着色 4 3 4 2" xfId="1911"/>
    <cellStyle name="40% - 着色 4 3 5" xfId="1912"/>
    <cellStyle name="40% - 着色 4 3 6" xfId="1913"/>
    <cellStyle name="40% - 着色 4 4" xfId="1914"/>
    <cellStyle name="40% - 着色 4 4 2" xfId="1915"/>
    <cellStyle name="40% - 着色 4 4 2 2" xfId="1916"/>
    <cellStyle name="40% - 着色 4 4 2 2 2" xfId="1917"/>
    <cellStyle name="40% - 着色 4 4 2 3" xfId="1918"/>
    <cellStyle name="40% - 着色 4 4 2 4" xfId="1919"/>
    <cellStyle name="40% - 着色 4 4 3" xfId="1920"/>
    <cellStyle name="40% - 着色 4 4 3 2" xfId="1921"/>
    <cellStyle name="40% - 着色 4 4 4" xfId="1922"/>
    <cellStyle name="40% - 着色 4 4 4 2" xfId="1923"/>
    <cellStyle name="40% - 着色 4 4 5" xfId="1924"/>
    <cellStyle name="40% - 着色 4 4 6" xfId="1925"/>
    <cellStyle name="40% - 着色 4 5" xfId="1926"/>
    <cellStyle name="40% - 着色 4 5 2" xfId="1927"/>
    <cellStyle name="40% - 着色 4 5 2 2" xfId="1928"/>
    <cellStyle name="40% - 着色 4 5 3" xfId="1929"/>
    <cellStyle name="40% - 着色 4 5 4" xfId="1930"/>
    <cellStyle name="40% - 着色 4 6" xfId="1931"/>
    <cellStyle name="40% - 着色 4 6 2" xfId="1932"/>
    <cellStyle name="40% - 着色 4 7" xfId="1933"/>
    <cellStyle name="40% - 着色 4 7 2" xfId="1934"/>
    <cellStyle name="40% - 着色 4 8" xfId="1935"/>
    <cellStyle name="40% - 着色 4 8 2" xfId="1936"/>
    <cellStyle name="40% - 着色 4 9" xfId="1937"/>
    <cellStyle name="40% - 着色 5" xfId="1938"/>
    <cellStyle name="40% - 着色 5 10" xfId="1939"/>
    <cellStyle name="40% - 着色 5 2" xfId="1940"/>
    <cellStyle name="40% - 着色 5 2 2" xfId="1941"/>
    <cellStyle name="40% - 着色 5 2 2 2" xfId="1942"/>
    <cellStyle name="40% - 着色 5 2 2 2 2" xfId="1943"/>
    <cellStyle name="40% - 着色 5 2 2 2 2 2" xfId="1944"/>
    <cellStyle name="40% - 着色 5 2 2 2 3" xfId="1945"/>
    <cellStyle name="40% - 着色 5 2 2 2 4" xfId="1946"/>
    <cellStyle name="40% - 着色 5 2 2 3" xfId="1947"/>
    <cellStyle name="40% - 着色 5 2 2 3 2" xfId="1948"/>
    <cellStyle name="40% - 着色 5 2 2 4" xfId="1949"/>
    <cellStyle name="40% - 着色 5 2 2 4 2" xfId="1950"/>
    <cellStyle name="40% - 着色 5 2 2 5" xfId="1951"/>
    <cellStyle name="40% - 着色 5 2 2 6" xfId="1952"/>
    <cellStyle name="40% - 着色 5 2 3" xfId="1953"/>
    <cellStyle name="40% - 着色 5 2 3 2" xfId="1954"/>
    <cellStyle name="40% - 着色 5 2 3 2 2" xfId="1955"/>
    <cellStyle name="40% - 着色 5 2 3 3" xfId="1956"/>
    <cellStyle name="40% - 着色 5 2 3 4" xfId="1957"/>
    <cellStyle name="40% - 着色 5 2 4" xfId="1958"/>
    <cellStyle name="40% - 着色 5 2 4 2" xfId="1959"/>
    <cellStyle name="40% - 着色 5 2 5" xfId="1960"/>
    <cellStyle name="40% - 着色 5 2 5 2" xfId="1961"/>
    <cellStyle name="40% - 着色 5 2 6" xfId="1962"/>
    <cellStyle name="40% - 着色 5 2 7" xfId="1963"/>
    <cellStyle name="40% - 着色 5 3" xfId="1964"/>
    <cellStyle name="40% - 着色 5 3 2" xfId="1965"/>
    <cellStyle name="40% - 着色 5 3 2 2" xfId="1966"/>
    <cellStyle name="40% - 着色 5 3 2 2 2" xfId="1967"/>
    <cellStyle name="40% - 着色 5 3 2 3" xfId="1968"/>
    <cellStyle name="40% - 着色 5 3 2 4" xfId="1969"/>
    <cellStyle name="40% - 着色 5 3 3" xfId="1970"/>
    <cellStyle name="40% - 着色 5 3 3 2" xfId="1971"/>
    <cellStyle name="40% - 着色 5 3 4" xfId="1972"/>
    <cellStyle name="40% - 着色 5 3 4 2" xfId="1973"/>
    <cellStyle name="40% - 着色 5 3 5" xfId="1974"/>
    <cellStyle name="40% - 着色 5 3 6" xfId="1975"/>
    <cellStyle name="40% - 着色 5 4" xfId="1976"/>
    <cellStyle name="40% - 着色 5 4 2" xfId="1977"/>
    <cellStyle name="40% - 着色 5 4 2 2" xfId="1978"/>
    <cellStyle name="40% - 着色 5 4 2 2 2" xfId="1979"/>
    <cellStyle name="40% - 着色 5 4 2 3" xfId="1980"/>
    <cellStyle name="40% - 着色 5 4 2 4" xfId="1981"/>
    <cellStyle name="40% - 着色 5 4 3" xfId="1982"/>
    <cellStyle name="40% - 着色 5 4 3 2" xfId="1983"/>
    <cellStyle name="40% - 着色 5 4 4" xfId="1984"/>
    <cellStyle name="40% - 着色 5 4 4 2" xfId="1985"/>
    <cellStyle name="40% - 着色 5 4 5" xfId="1986"/>
    <cellStyle name="40% - 着色 5 4 6" xfId="1987"/>
    <cellStyle name="40% - 着色 5 5" xfId="1988"/>
    <cellStyle name="40% - 着色 5 5 2" xfId="1989"/>
    <cellStyle name="40% - 着色 5 5 2 2" xfId="1990"/>
    <cellStyle name="40% - 着色 5 5 3" xfId="1991"/>
    <cellStyle name="40% - 着色 5 5 4" xfId="1992"/>
    <cellStyle name="40% - 着色 5 6" xfId="1993"/>
    <cellStyle name="40% - 着色 5 6 2" xfId="1994"/>
    <cellStyle name="40% - 着色 5 7" xfId="1995"/>
    <cellStyle name="40% - 着色 5 7 2" xfId="1996"/>
    <cellStyle name="40% - 着色 5 8" xfId="1997"/>
    <cellStyle name="40% - 着色 5 8 2" xfId="1998"/>
    <cellStyle name="40% - 着色 5 9" xfId="1999"/>
    <cellStyle name="40% - 着色 6" xfId="2000"/>
    <cellStyle name="40% - 着色 6 10" xfId="2001"/>
    <cellStyle name="40% - 着色 6 2" xfId="2002"/>
    <cellStyle name="40% - 着色 6 2 2" xfId="2003"/>
    <cellStyle name="40% - 着色 6 2 2 2" xfId="2004"/>
    <cellStyle name="40% - 着色 6 2 2 2 2" xfId="2005"/>
    <cellStyle name="40% - 着色 6 2 2 2 2 2" xfId="2006"/>
    <cellStyle name="40% - 着色 6 2 2 2 3" xfId="2007"/>
    <cellStyle name="40% - 着色 6 2 2 2 4" xfId="2008"/>
    <cellStyle name="40% - 着色 6 2 2 3" xfId="2009"/>
    <cellStyle name="40% - 着色 6 2 2 3 2" xfId="2010"/>
    <cellStyle name="40% - 着色 6 2 2 4" xfId="2011"/>
    <cellStyle name="40% - 着色 6 2 2 4 2" xfId="2012"/>
    <cellStyle name="40% - 着色 6 2 2 5" xfId="2013"/>
    <cellStyle name="40% - 着色 6 2 2 6" xfId="2014"/>
    <cellStyle name="40% - 着色 6 2 3" xfId="2015"/>
    <cellStyle name="40% - 着色 6 2 3 2" xfId="2016"/>
    <cellStyle name="40% - 着色 6 2 3 2 2" xfId="2017"/>
    <cellStyle name="40% - 着色 6 2 3 3" xfId="2018"/>
    <cellStyle name="40% - 着色 6 2 3 4" xfId="2019"/>
    <cellStyle name="40% - 着色 6 2 4" xfId="2020"/>
    <cellStyle name="40% - 着色 6 2 4 2" xfId="2021"/>
    <cellStyle name="40% - 着色 6 2 5" xfId="2022"/>
    <cellStyle name="40% - 着色 6 2 5 2" xfId="2023"/>
    <cellStyle name="40% - 着色 6 2 6" xfId="2024"/>
    <cellStyle name="40% - 着色 6 2 7" xfId="2025"/>
    <cellStyle name="40% - 着色 6 3" xfId="2026"/>
    <cellStyle name="40% - 着色 6 3 2" xfId="2027"/>
    <cellStyle name="40% - 着色 6 3 2 2" xfId="2028"/>
    <cellStyle name="40% - 着色 6 3 2 2 2" xfId="2029"/>
    <cellStyle name="40% - 着色 6 3 2 3" xfId="2030"/>
    <cellStyle name="40% - 着色 6 3 2 4" xfId="2031"/>
    <cellStyle name="40% - 着色 6 3 3" xfId="2032"/>
    <cellStyle name="40% - 着色 6 3 3 2" xfId="2033"/>
    <cellStyle name="40% - 着色 6 3 4" xfId="2034"/>
    <cellStyle name="40% - 着色 6 3 4 2" xfId="2035"/>
    <cellStyle name="40% - 着色 6 3 5" xfId="2036"/>
    <cellStyle name="40% - 着色 6 3 6" xfId="2037"/>
    <cellStyle name="40% - 着色 6 4" xfId="2038"/>
    <cellStyle name="40% - 着色 6 4 2" xfId="2039"/>
    <cellStyle name="40% - 着色 6 4 2 2" xfId="2040"/>
    <cellStyle name="40% - 着色 6 4 2 2 2" xfId="2041"/>
    <cellStyle name="40% - 着色 6 4 2 3" xfId="2042"/>
    <cellStyle name="40% - 着色 6 4 2 4" xfId="2043"/>
    <cellStyle name="40% - 着色 6 4 3" xfId="2044"/>
    <cellStyle name="40% - 着色 6 4 3 2" xfId="2045"/>
    <cellStyle name="40% - 着色 6 4 4" xfId="2046"/>
    <cellStyle name="40% - 着色 6 4 4 2" xfId="2047"/>
    <cellStyle name="40% - 着色 6 4 5" xfId="2048"/>
    <cellStyle name="40% - 着色 6 4 6" xfId="2049"/>
    <cellStyle name="40% - 着色 6 5" xfId="2050"/>
    <cellStyle name="40% - 着色 6 5 2" xfId="2051"/>
    <cellStyle name="40% - 着色 6 5 2 2" xfId="2052"/>
    <cellStyle name="40% - 着色 6 5 3" xfId="2053"/>
    <cellStyle name="40% - 着色 6 5 4" xfId="2054"/>
    <cellStyle name="40% - 着色 6 6" xfId="2055"/>
    <cellStyle name="40% - 着色 6 6 2" xfId="2056"/>
    <cellStyle name="40% - 着色 6 7" xfId="2057"/>
    <cellStyle name="40% - 着色 6 7 2" xfId="2058"/>
    <cellStyle name="40% - 着色 6 8" xfId="2059"/>
    <cellStyle name="40% - 着色 6 8 2" xfId="2060"/>
    <cellStyle name="40% - 着色 6 9" xfId="2061"/>
    <cellStyle name="60% - 强调文字颜色 1 2" xfId="2062"/>
    <cellStyle name="60% - 强调文字颜色 1 2 2" xfId="2063"/>
    <cellStyle name="60% - 强调文字颜色 1 2 2 2" xfId="2064"/>
    <cellStyle name="60% - 强调文字颜色 1 2 2 2 2" xfId="2065"/>
    <cellStyle name="60% - 强调文字颜色 1 2 2 2 2 2" xfId="2066"/>
    <cellStyle name="60% - 强调文字颜色 1 2 2 2 3" xfId="2067"/>
    <cellStyle name="60% - 强调文字颜色 1 2 2 3" xfId="2068"/>
    <cellStyle name="60% - 强调文字颜色 1 2 2 3 2" xfId="2069"/>
    <cellStyle name="60% - 强调文字颜色 1 2 2 4" xfId="2070"/>
    <cellStyle name="60% - 强调文字颜色 1 2 2 4 2" xfId="2071"/>
    <cellStyle name="60% - 强调文字颜色 1 2 2 5" xfId="2072"/>
    <cellStyle name="60% - 强调文字颜色 1 2 2 6" xfId="8685"/>
    <cellStyle name="60% - 强调文字颜色 1 2 3" xfId="2073"/>
    <cellStyle name="60% - 强调文字颜色 1 2 3 2" xfId="2074"/>
    <cellStyle name="60% - 强调文字颜色 1 2 3 2 2" xfId="2075"/>
    <cellStyle name="60% - 强调文字颜色 1 2 3 3" xfId="2076"/>
    <cellStyle name="60% - 强调文字颜色 1 2 4" xfId="2077"/>
    <cellStyle name="60% - 强调文字颜色 1 2 4 2" xfId="2078"/>
    <cellStyle name="60% - 强调文字颜色 1 2 5" xfId="2079"/>
    <cellStyle name="60% - 强调文字颜色 1 2 5 2" xfId="2080"/>
    <cellStyle name="60% - 强调文字颜色 1 2 6" xfId="2081"/>
    <cellStyle name="60% - 强调文字颜色 1 2 7" xfId="8684"/>
    <cellStyle name="60% - 强调文字颜色 1 3" xfId="2082"/>
    <cellStyle name="60% - 强调文字颜色 1 3 2" xfId="2083"/>
    <cellStyle name="60% - 强调文字颜色 1 3 2 2" xfId="2084"/>
    <cellStyle name="60% - 强调文字颜色 1 3 2 2 2" xfId="2085"/>
    <cellStyle name="60% - 强调文字颜色 1 3 2 2 2 2" xfId="2086"/>
    <cellStyle name="60% - 强调文字颜色 1 3 2 2 3" xfId="2087"/>
    <cellStyle name="60% - 强调文字颜色 1 3 2 3" xfId="2088"/>
    <cellStyle name="60% - 强调文字颜色 1 3 2 3 2" xfId="2089"/>
    <cellStyle name="60% - 强调文字颜色 1 3 2 4" xfId="2090"/>
    <cellStyle name="60% - 强调文字颜色 1 3 2 4 2" xfId="2091"/>
    <cellStyle name="60% - 强调文字颜色 1 3 2 5" xfId="2092"/>
    <cellStyle name="60% - 强调文字颜色 1 3 2 6" xfId="8687"/>
    <cellStyle name="60% - 强调文字颜色 1 3 3" xfId="2093"/>
    <cellStyle name="60% - 强调文字颜色 1 3 3 2" xfId="2094"/>
    <cellStyle name="60% - 强调文字颜色 1 3 3 2 2" xfId="2095"/>
    <cellStyle name="60% - 强调文字颜色 1 3 3 3" xfId="2096"/>
    <cellStyle name="60% - 强调文字颜色 1 3 4" xfId="2097"/>
    <cellStyle name="60% - 强调文字颜色 1 3 4 2" xfId="2098"/>
    <cellStyle name="60% - 强调文字颜色 1 3 5" xfId="2099"/>
    <cellStyle name="60% - 强调文字颜色 1 3 5 2" xfId="2100"/>
    <cellStyle name="60% - 强调文字颜色 1 3 6" xfId="2101"/>
    <cellStyle name="60% - 强调文字颜色 1 3 7" xfId="8686"/>
    <cellStyle name="60% - 强调文字颜色 1 4" xfId="2102"/>
    <cellStyle name="60% - 强调文字颜色 1 4 2" xfId="2103"/>
    <cellStyle name="60% - 强调文字颜色 1 4 2 2" xfId="2104"/>
    <cellStyle name="60% - 强调文字颜色 1 4 2 2 2" xfId="2105"/>
    <cellStyle name="60% - 强调文字颜色 1 4 2 2 2 2" xfId="2106"/>
    <cellStyle name="60% - 强调文字颜色 1 4 2 2 3" xfId="2107"/>
    <cellStyle name="60% - 强调文字颜色 1 4 2 3" xfId="2108"/>
    <cellStyle name="60% - 强调文字颜色 1 4 2 3 2" xfId="2109"/>
    <cellStyle name="60% - 强调文字颜色 1 4 2 4" xfId="2110"/>
    <cellStyle name="60% - 强调文字颜色 1 4 2 4 2" xfId="2111"/>
    <cellStyle name="60% - 强调文字颜色 1 4 2 5" xfId="2112"/>
    <cellStyle name="60% - 强调文字颜色 1 4 2 6" xfId="8689"/>
    <cellStyle name="60% - 强调文字颜色 1 4 3" xfId="2113"/>
    <cellStyle name="60% - 强调文字颜色 1 4 3 2" xfId="2114"/>
    <cellStyle name="60% - 强调文字颜色 1 4 3 2 2" xfId="2115"/>
    <cellStyle name="60% - 强调文字颜色 1 4 3 3" xfId="2116"/>
    <cellStyle name="60% - 强调文字颜色 1 4 4" xfId="2117"/>
    <cellStyle name="60% - 强调文字颜色 1 4 4 2" xfId="2118"/>
    <cellStyle name="60% - 强调文字颜色 1 4 5" xfId="2119"/>
    <cellStyle name="60% - 强调文字颜色 1 4 5 2" xfId="2120"/>
    <cellStyle name="60% - 强调文字颜色 1 4 6" xfId="2121"/>
    <cellStyle name="60% - 强调文字颜色 1 4 7" xfId="8688"/>
    <cellStyle name="60% - 强调文字颜色 1 5" xfId="2122"/>
    <cellStyle name="60% - 强调文字颜色 1 5 2" xfId="2123"/>
    <cellStyle name="60% - 强调文字颜色 1 5 2 2" xfId="2124"/>
    <cellStyle name="60% - 强调文字颜色 1 5 2 2 2" xfId="2125"/>
    <cellStyle name="60% - 强调文字颜色 1 5 2 3" xfId="2126"/>
    <cellStyle name="60% - 强调文字颜色 1 5 3" xfId="2127"/>
    <cellStyle name="60% - 强调文字颜色 1 5 3 2" xfId="2128"/>
    <cellStyle name="60% - 强调文字颜色 1 5 4" xfId="2129"/>
    <cellStyle name="60% - 强调文字颜色 1 5 4 2" xfId="2130"/>
    <cellStyle name="60% - 强调文字颜色 1 5 5" xfId="2131"/>
    <cellStyle name="60% - 强调文字颜色 1 6" xfId="2132"/>
    <cellStyle name="60% - 强调文字颜色 1 6 2" xfId="2133"/>
    <cellStyle name="60% - 强调文字颜色 1 6 2 2" xfId="2134"/>
    <cellStyle name="60% - 强调文字颜色 1 6 2 2 2" xfId="2135"/>
    <cellStyle name="60% - 强调文字颜色 1 6 2 3" xfId="2136"/>
    <cellStyle name="60% - 强调文字颜色 1 6 3" xfId="2137"/>
    <cellStyle name="60% - 强调文字颜色 1 6 3 2" xfId="2138"/>
    <cellStyle name="60% - 强调文字颜色 1 6 4" xfId="2139"/>
    <cellStyle name="60% - 强调文字颜色 1 6 4 2" xfId="2140"/>
    <cellStyle name="60% - 强调文字颜色 1 6 5" xfId="2141"/>
    <cellStyle name="60% - 强调文字颜色 1 7" xfId="2142"/>
    <cellStyle name="60% - 强调文字颜色 1 7 2" xfId="2143"/>
    <cellStyle name="60% - 强调文字颜色 1 7 2 2" xfId="2144"/>
    <cellStyle name="60% - 强调文字颜色 1 7 2 2 2" xfId="2145"/>
    <cellStyle name="60% - 强调文字颜色 1 7 2 3" xfId="2146"/>
    <cellStyle name="60% - 强调文字颜色 1 7 3" xfId="2147"/>
    <cellStyle name="60% - 强调文字颜色 1 7 3 2" xfId="2148"/>
    <cellStyle name="60% - 强调文字颜色 1 7 4" xfId="2149"/>
    <cellStyle name="60% - 强调文字颜色 1 7 4 2" xfId="2150"/>
    <cellStyle name="60% - 强调文字颜色 1 7 5" xfId="2151"/>
    <cellStyle name="60% - 强调文字颜色 2 2" xfId="2152"/>
    <cellStyle name="60% - 强调文字颜色 2 2 2" xfId="2153"/>
    <cellStyle name="60% - 强调文字颜色 2 2 2 2" xfId="2154"/>
    <cellStyle name="60% - 强调文字颜色 2 2 2 2 2" xfId="2155"/>
    <cellStyle name="60% - 强调文字颜色 2 2 2 2 2 2" xfId="2156"/>
    <cellStyle name="60% - 强调文字颜色 2 2 2 2 3" xfId="2157"/>
    <cellStyle name="60% - 强调文字颜色 2 2 2 3" xfId="2158"/>
    <cellStyle name="60% - 强调文字颜色 2 2 2 3 2" xfId="2159"/>
    <cellStyle name="60% - 强调文字颜色 2 2 2 4" xfId="2160"/>
    <cellStyle name="60% - 强调文字颜色 2 2 2 4 2" xfId="2161"/>
    <cellStyle name="60% - 强调文字颜色 2 2 2 5" xfId="2162"/>
    <cellStyle name="60% - 强调文字颜色 2 2 2 6" xfId="8691"/>
    <cellStyle name="60% - 强调文字颜色 2 2 3" xfId="2163"/>
    <cellStyle name="60% - 强调文字颜色 2 2 3 2" xfId="2164"/>
    <cellStyle name="60% - 强调文字颜色 2 2 3 2 2" xfId="2165"/>
    <cellStyle name="60% - 强调文字颜色 2 2 3 3" xfId="2166"/>
    <cellStyle name="60% - 强调文字颜色 2 2 4" xfId="2167"/>
    <cellStyle name="60% - 强调文字颜色 2 2 4 2" xfId="2168"/>
    <cellStyle name="60% - 强调文字颜色 2 2 5" xfId="2169"/>
    <cellStyle name="60% - 强调文字颜色 2 2 5 2" xfId="2170"/>
    <cellStyle name="60% - 强调文字颜色 2 2 6" xfId="2171"/>
    <cellStyle name="60% - 强调文字颜色 2 2 7" xfId="8690"/>
    <cellStyle name="60% - 强调文字颜色 2 3" xfId="2172"/>
    <cellStyle name="60% - 强调文字颜色 2 3 2" xfId="2173"/>
    <cellStyle name="60% - 强调文字颜色 2 3 2 2" xfId="2174"/>
    <cellStyle name="60% - 强调文字颜色 2 3 2 2 2" xfId="2175"/>
    <cellStyle name="60% - 强调文字颜色 2 3 2 2 2 2" xfId="2176"/>
    <cellStyle name="60% - 强调文字颜色 2 3 2 2 3" xfId="2177"/>
    <cellStyle name="60% - 强调文字颜色 2 3 2 3" xfId="2178"/>
    <cellStyle name="60% - 强调文字颜色 2 3 2 3 2" xfId="2179"/>
    <cellStyle name="60% - 强调文字颜色 2 3 2 4" xfId="2180"/>
    <cellStyle name="60% - 强调文字颜色 2 3 2 4 2" xfId="2181"/>
    <cellStyle name="60% - 强调文字颜色 2 3 2 5" xfId="2182"/>
    <cellStyle name="60% - 强调文字颜色 2 3 2 6" xfId="8693"/>
    <cellStyle name="60% - 强调文字颜色 2 3 3" xfId="2183"/>
    <cellStyle name="60% - 强调文字颜色 2 3 3 2" xfId="2184"/>
    <cellStyle name="60% - 强调文字颜色 2 3 3 2 2" xfId="2185"/>
    <cellStyle name="60% - 强调文字颜色 2 3 3 3" xfId="2186"/>
    <cellStyle name="60% - 强调文字颜色 2 3 4" xfId="2187"/>
    <cellStyle name="60% - 强调文字颜色 2 3 4 2" xfId="2188"/>
    <cellStyle name="60% - 强调文字颜色 2 3 5" xfId="2189"/>
    <cellStyle name="60% - 强调文字颜色 2 3 5 2" xfId="2190"/>
    <cellStyle name="60% - 强调文字颜色 2 3 6" xfId="2191"/>
    <cellStyle name="60% - 强调文字颜色 2 3 7" xfId="8692"/>
    <cellStyle name="60% - 强调文字颜色 2 4" xfId="2192"/>
    <cellStyle name="60% - 强调文字颜色 2 4 2" xfId="2193"/>
    <cellStyle name="60% - 强调文字颜色 2 4 2 2" xfId="2194"/>
    <cellStyle name="60% - 强调文字颜色 2 4 2 2 2" xfId="2195"/>
    <cellStyle name="60% - 强调文字颜色 2 4 2 2 2 2" xfId="2196"/>
    <cellStyle name="60% - 强调文字颜色 2 4 2 2 3" xfId="2197"/>
    <cellStyle name="60% - 强调文字颜色 2 4 2 3" xfId="2198"/>
    <cellStyle name="60% - 强调文字颜色 2 4 2 3 2" xfId="2199"/>
    <cellStyle name="60% - 强调文字颜色 2 4 2 4" xfId="2200"/>
    <cellStyle name="60% - 强调文字颜色 2 4 2 4 2" xfId="2201"/>
    <cellStyle name="60% - 强调文字颜色 2 4 2 5" xfId="2202"/>
    <cellStyle name="60% - 强调文字颜色 2 4 2 6" xfId="8695"/>
    <cellStyle name="60% - 强调文字颜色 2 4 3" xfId="2203"/>
    <cellStyle name="60% - 强调文字颜色 2 4 3 2" xfId="2204"/>
    <cellStyle name="60% - 强调文字颜色 2 4 3 2 2" xfId="2205"/>
    <cellStyle name="60% - 强调文字颜色 2 4 3 3" xfId="2206"/>
    <cellStyle name="60% - 强调文字颜色 2 4 4" xfId="2207"/>
    <cellStyle name="60% - 强调文字颜色 2 4 4 2" xfId="2208"/>
    <cellStyle name="60% - 强调文字颜色 2 4 5" xfId="2209"/>
    <cellStyle name="60% - 强调文字颜色 2 4 5 2" xfId="2210"/>
    <cellStyle name="60% - 强调文字颜色 2 4 6" xfId="2211"/>
    <cellStyle name="60% - 强调文字颜色 2 4 7" xfId="8694"/>
    <cellStyle name="60% - 强调文字颜色 2 5" xfId="2212"/>
    <cellStyle name="60% - 强调文字颜色 2 5 2" xfId="2213"/>
    <cellStyle name="60% - 强调文字颜色 2 5 2 2" xfId="2214"/>
    <cellStyle name="60% - 强调文字颜色 2 5 2 2 2" xfId="2215"/>
    <cellStyle name="60% - 强调文字颜色 2 5 2 3" xfId="2216"/>
    <cellStyle name="60% - 强调文字颜色 2 5 3" xfId="2217"/>
    <cellStyle name="60% - 强调文字颜色 2 5 3 2" xfId="2218"/>
    <cellStyle name="60% - 强调文字颜色 2 5 4" xfId="2219"/>
    <cellStyle name="60% - 强调文字颜色 2 5 4 2" xfId="2220"/>
    <cellStyle name="60% - 强调文字颜色 2 5 5" xfId="2221"/>
    <cellStyle name="60% - 强调文字颜色 2 6" xfId="2222"/>
    <cellStyle name="60% - 强调文字颜色 2 6 2" xfId="2223"/>
    <cellStyle name="60% - 强调文字颜色 2 6 2 2" xfId="2224"/>
    <cellStyle name="60% - 强调文字颜色 2 6 2 2 2" xfId="2225"/>
    <cellStyle name="60% - 强调文字颜色 2 6 2 3" xfId="2226"/>
    <cellStyle name="60% - 强调文字颜色 2 6 3" xfId="2227"/>
    <cellStyle name="60% - 强调文字颜色 2 6 3 2" xfId="2228"/>
    <cellStyle name="60% - 强调文字颜色 2 6 4" xfId="2229"/>
    <cellStyle name="60% - 强调文字颜色 2 6 4 2" xfId="2230"/>
    <cellStyle name="60% - 强调文字颜色 2 6 5" xfId="2231"/>
    <cellStyle name="60% - 强调文字颜色 2 7" xfId="2232"/>
    <cellStyle name="60% - 强调文字颜色 2 7 2" xfId="2233"/>
    <cellStyle name="60% - 强调文字颜色 2 7 2 2" xfId="2234"/>
    <cellStyle name="60% - 强调文字颜色 2 7 2 2 2" xfId="2235"/>
    <cellStyle name="60% - 强调文字颜色 2 7 2 3" xfId="2236"/>
    <cellStyle name="60% - 强调文字颜色 2 7 3" xfId="2237"/>
    <cellStyle name="60% - 强调文字颜色 2 7 3 2" xfId="2238"/>
    <cellStyle name="60% - 强调文字颜色 2 7 4" xfId="2239"/>
    <cellStyle name="60% - 强调文字颜色 2 7 4 2" xfId="2240"/>
    <cellStyle name="60% - 强调文字颜色 2 7 5" xfId="2241"/>
    <cellStyle name="60% - 强调文字颜色 3 2" xfId="2242"/>
    <cellStyle name="60% - 强调文字颜色 3 2 2" xfId="2243"/>
    <cellStyle name="60% - 强调文字颜色 3 2 2 2" xfId="2244"/>
    <cellStyle name="60% - 强调文字颜色 3 2 2 2 2" xfId="2245"/>
    <cellStyle name="60% - 强调文字颜色 3 2 2 2 2 2" xfId="2246"/>
    <cellStyle name="60% - 强调文字颜色 3 2 2 2 3" xfId="2247"/>
    <cellStyle name="60% - 强调文字颜色 3 2 2 3" xfId="2248"/>
    <cellStyle name="60% - 强调文字颜色 3 2 2 3 2" xfId="2249"/>
    <cellStyle name="60% - 强调文字颜色 3 2 2 4" xfId="2250"/>
    <cellStyle name="60% - 强调文字颜色 3 2 2 4 2" xfId="2251"/>
    <cellStyle name="60% - 强调文字颜色 3 2 2 5" xfId="2252"/>
    <cellStyle name="60% - 强调文字颜色 3 2 2 6" xfId="8697"/>
    <cellStyle name="60% - 强调文字颜色 3 2 3" xfId="2253"/>
    <cellStyle name="60% - 强调文字颜色 3 2 3 2" xfId="2254"/>
    <cellStyle name="60% - 强调文字颜色 3 2 3 2 2" xfId="2255"/>
    <cellStyle name="60% - 强调文字颜色 3 2 3 3" xfId="2256"/>
    <cellStyle name="60% - 强调文字颜色 3 2 4" xfId="2257"/>
    <cellStyle name="60% - 强调文字颜色 3 2 4 2" xfId="2258"/>
    <cellStyle name="60% - 强调文字颜色 3 2 5" xfId="2259"/>
    <cellStyle name="60% - 强调文字颜色 3 2 5 2" xfId="2260"/>
    <cellStyle name="60% - 强调文字颜色 3 2 6" xfId="2261"/>
    <cellStyle name="60% - 强调文字颜色 3 2 7" xfId="8696"/>
    <cellStyle name="60% - 强调文字颜色 3 3" xfId="2262"/>
    <cellStyle name="60% - 强调文字颜色 3 3 2" xfId="2263"/>
    <cellStyle name="60% - 强调文字颜色 3 3 2 2" xfId="2264"/>
    <cellStyle name="60% - 强调文字颜色 3 3 2 2 2" xfId="2265"/>
    <cellStyle name="60% - 强调文字颜色 3 3 2 2 2 2" xfId="2266"/>
    <cellStyle name="60% - 强调文字颜色 3 3 2 2 3" xfId="2267"/>
    <cellStyle name="60% - 强调文字颜色 3 3 2 3" xfId="2268"/>
    <cellStyle name="60% - 强调文字颜色 3 3 2 3 2" xfId="2269"/>
    <cellStyle name="60% - 强调文字颜色 3 3 2 4" xfId="2270"/>
    <cellStyle name="60% - 强调文字颜色 3 3 2 4 2" xfId="2271"/>
    <cellStyle name="60% - 强调文字颜色 3 3 2 5" xfId="2272"/>
    <cellStyle name="60% - 强调文字颜色 3 3 2 6" xfId="8699"/>
    <cellStyle name="60% - 强调文字颜色 3 3 3" xfId="2273"/>
    <cellStyle name="60% - 强调文字颜色 3 3 3 2" xfId="2274"/>
    <cellStyle name="60% - 强调文字颜色 3 3 3 2 2" xfId="2275"/>
    <cellStyle name="60% - 强调文字颜色 3 3 3 3" xfId="2276"/>
    <cellStyle name="60% - 强调文字颜色 3 3 4" xfId="2277"/>
    <cellStyle name="60% - 强调文字颜色 3 3 4 2" xfId="2278"/>
    <cellStyle name="60% - 强调文字颜色 3 3 5" xfId="2279"/>
    <cellStyle name="60% - 强调文字颜色 3 3 5 2" xfId="2280"/>
    <cellStyle name="60% - 强调文字颜色 3 3 6" xfId="2281"/>
    <cellStyle name="60% - 强调文字颜色 3 3 7" xfId="8698"/>
    <cellStyle name="60% - 强调文字颜色 3 4" xfId="2282"/>
    <cellStyle name="60% - 强调文字颜色 3 4 2" xfId="2283"/>
    <cellStyle name="60% - 强调文字颜色 3 4 2 2" xfId="2284"/>
    <cellStyle name="60% - 强调文字颜色 3 4 2 2 2" xfId="2285"/>
    <cellStyle name="60% - 强调文字颜色 3 4 2 2 2 2" xfId="2286"/>
    <cellStyle name="60% - 强调文字颜色 3 4 2 2 3" xfId="2287"/>
    <cellStyle name="60% - 强调文字颜色 3 4 2 3" xfId="2288"/>
    <cellStyle name="60% - 强调文字颜色 3 4 2 3 2" xfId="2289"/>
    <cellStyle name="60% - 强调文字颜色 3 4 2 4" xfId="2290"/>
    <cellStyle name="60% - 强调文字颜色 3 4 2 4 2" xfId="2291"/>
    <cellStyle name="60% - 强调文字颜色 3 4 2 5" xfId="2292"/>
    <cellStyle name="60% - 强调文字颜色 3 4 2 6" xfId="8701"/>
    <cellStyle name="60% - 强调文字颜色 3 4 3" xfId="2293"/>
    <cellStyle name="60% - 强调文字颜色 3 4 3 2" xfId="2294"/>
    <cellStyle name="60% - 强调文字颜色 3 4 3 2 2" xfId="2295"/>
    <cellStyle name="60% - 强调文字颜色 3 4 3 3" xfId="2296"/>
    <cellStyle name="60% - 强调文字颜色 3 4 4" xfId="2297"/>
    <cellStyle name="60% - 强调文字颜色 3 4 4 2" xfId="2298"/>
    <cellStyle name="60% - 强调文字颜色 3 4 5" xfId="2299"/>
    <cellStyle name="60% - 强调文字颜色 3 4 5 2" xfId="2300"/>
    <cellStyle name="60% - 强调文字颜色 3 4 6" xfId="2301"/>
    <cellStyle name="60% - 强调文字颜色 3 4 7" xfId="8700"/>
    <cellStyle name="60% - 强调文字颜色 3 5" xfId="2302"/>
    <cellStyle name="60% - 强调文字颜色 3 5 2" xfId="2303"/>
    <cellStyle name="60% - 强调文字颜色 3 5 2 2" xfId="2304"/>
    <cellStyle name="60% - 强调文字颜色 3 5 2 2 2" xfId="2305"/>
    <cellStyle name="60% - 强调文字颜色 3 5 2 3" xfId="2306"/>
    <cellStyle name="60% - 强调文字颜色 3 5 3" xfId="2307"/>
    <cellStyle name="60% - 强调文字颜色 3 5 3 2" xfId="2308"/>
    <cellStyle name="60% - 强调文字颜色 3 5 4" xfId="2309"/>
    <cellStyle name="60% - 强调文字颜色 3 5 4 2" xfId="2310"/>
    <cellStyle name="60% - 强调文字颜色 3 5 5" xfId="2311"/>
    <cellStyle name="60% - 强调文字颜色 3 6" xfId="2312"/>
    <cellStyle name="60% - 强调文字颜色 3 6 2" xfId="2313"/>
    <cellStyle name="60% - 强调文字颜色 3 6 2 2" xfId="2314"/>
    <cellStyle name="60% - 强调文字颜色 3 6 2 2 2" xfId="2315"/>
    <cellStyle name="60% - 强调文字颜色 3 6 2 3" xfId="2316"/>
    <cellStyle name="60% - 强调文字颜色 3 6 3" xfId="2317"/>
    <cellStyle name="60% - 强调文字颜色 3 6 3 2" xfId="2318"/>
    <cellStyle name="60% - 强调文字颜色 3 6 4" xfId="2319"/>
    <cellStyle name="60% - 强调文字颜色 3 6 4 2" xfId="2320"/>
    <cellStyle name="60% - 强调文字颜色 3 6 5" xfId="2321"/>
    <cellStyle name="60% - 强调文字颜色 3 7" xfId="2322"/>
    <cellStyle name="60% - 强调文字颜色 3 7 2" xfId="2323"/>
    <cellStyle name="60% - 强调文字颜色 3 7 2 2" xfId="2324"/>
    <cellStyle name="60% - 强调文字颜色 3 7 2 2 2" xfId="2325"/>
    <cellStyle name="60% - 强调文字颜色 3 7 2 3" xfId="2326"/>
    <cellStyle name="60% - 强调文字颜色 3 7 3" xfId="2327"/>
    <cellStyle name="60% - 强调文字颜色 3 7 3 2" xfId="2328"/>
    <cellStyle name="60% - 强调文字颜色 3 7 4" xfId="2329"/>
    <cellStyle name="60% - 强调文字颜色 3 7 4 2" xfId="2330"/>
    <cellStyle name="60% - 强调文字颜色 3 7 5" xfId="2331"/>
    <cellStyle name="60% - 强调文字颜色 4 2" xfId="2332"/>
    <cellStyle name="60% - 强调文字颜色 4 2 2" xfId="2333"/>
    <cellStyle name="60% - 强调文字颜色 4 2 2 2" xfId="2334"/>
    <cellStyle name="60% - 强调文字颜色 4 2 2 2 2" xfId="2335"/>
    <cellStyle name="60% - 强调文字颜色 4 2 2 2 2 2" xfId="2336"/>
    <cellStyle name="60% - 强调文字颜色 4 2 2 2 3" xfId="2337"/>
    <cellStyle name="60% - 强调文字颜色 4 2 2 3" xfId="2338"/>
    <cellStyle name="60% - 强调文字颜色 4 2 2 3 2" xfId="2339"/>
    <cellStyle name="60% - 强调文字颜色 4 2 2 4" xfId="2340"/>
    <cellStyle name="60% - 强调文字颜色 4 2 2 4 2" xfId="2341"/>
    <cellStyle name="60% - 强调文字颜色 4 2 2 5" xfId="2342"/>
    <cellStyle name="60% - 强调文字颜色 4 2 2 6" xfId="8703"/>
    <cellStyle name="60% - 强调文字颜色 4 2 3" xfId="2343"/>
    <cellStyle name="60% - 强调文字颜色 4 2 3 2" xfId="2344"/>
    <cellStyle name="60% - 强调文字颜色 4 2 3 2 2" xfId="2345"/>
    <cellStyle name="60% - 强调文字颜色 4 2 3 3" xfId="2346"/>
    <cellStyle name="60% - 强调文字颜色 4 2 4" xfId="2347"/>
    <cellStyle name="60% - 强调文字颜色 4 2 4 2" xfId="2348"/>
    <cellStyle name="60% - 强调文字颜色 4 2 5" xfId="2349"/>
    <cellStyle name="60% - 强调文字颜色 4 2 5 2" xfId="2350"/>
    <cellStyle name="60% - 强调文字颜色 4 2 6" xfId="2351"/>
    <cellStyle name="60% - 强调文字颜色 4 2 7" xfId="8702"/>
    <cellStyle name="60% - 强调文字颜色 4 3" xfId="2352"/>
    <cellStyle name="60% - 强调文字颜色 4 3 2" xfId="2353"/>
    <cellStyle name="60% - 强调文字颜色 4 3 2 2" xfId="2354"/>
    <cellStyle name="60% - 强调文字颜色 4 3 2 2 2" xfId="2355"/>
    <cellStyle name="60% - 强调文字颜色 4 3 2 2 2 2" xfId="2356"/>
    <cellStyle name="60% - 强调文字颜色 4 3 2 2 3" xfId="2357"/>
    <cellStyle name="60% - 强调文字颜色 4 3 2 3" xfId="2358"/>
    <cellStyle name="60% - 强调文字颜色 4 3 2 3 2" xfId="2359"/>
    <cellStyle name="60% - 强调文字颜色 4 3 2 4" xfId="2360"/>
    <cellStyle name="60% - 强调文字颜色 4 3 2 4 2" xfId="2361"/>
    <cellStyle name="60% - 强调文字颜色 4 3 2 5" xfId="2362"/>
    <cellStyle name="60% - 强调文字颜色 4 3 2 6" xfId="8705"/>
    <cellStyle name="60% - 强调文字颜色 4 3 3" xfId="2363"/>
    <cellStyle name="60% - 强调文字颜色 4 3 3 2" xfId="2364"/>
    <cellStyle name="60% - 强调文字颜色 4 3 3 2 2" xfId="2365"/>
    <cellStyle name="60% - 强调文字颜色 4 3 3 3" xfId="2366"/>
    <cellStyle name="60% - 强调文字颜色 4 3 4" xfId="2367"/>
    <cellStyle name="60% - 强调文字颜色 4 3 4 2" xfId="2368"/>
    <cellStyle name="60% - 强调文字颜色 4 3 5" xfId="2369"/>
    <cellStyle name="60% - 强调文字颜色 4 3 5 2" xfId="2370"/>
    <cellStyle name="60% - 强调文字颜色 4 3 6" xfId="2371"/>
    <cellStyle name="60% - 强调文字颜色 4 3 7" xfId="8704"/>
    <cellStyle name="60% - 强调文字颜色 4 4" xfId="2372"/>
    <cellStyle name="60% - 强调文字颜色 4 4 2" xfId="2373"/>
    <cellStyle name="60% - 强调文字颜色 4 4 2 2" xfId="2374"/>
    <cellStyle name="60% - 强调文字颜色 4 4 2 2 2" xfId="2375"/>
    <cellStyle name="60% - 强调文字颜色 4 4 2 2 2 2" xfId="2376"/>
    <cellStyle name="60% - 强调文字颜色 4 4 2 2 3" xfId="2377"/>
    <cellStyle name="60% - 强调文字颜色 4 4 2 3" xfId="2378"/>
    <cellStyle name="60% - 强调文字颜色 4 4 2 3 2" xfId="2379"/>
    <cellStyle name="60% - 强调文字颜色 4 4 2 4" xfId="2380"/>
    <cellStyle name="60% - 强调文字颜色 4 4 2 4 2" xfId="2381"/>
    <cellStyle name="60% - 强调文字颜色 4 4 2 5" xfId="2382"/>
    <cellStyle name="60% - 强调文字颜色 4 4 2 6" xfId="8707"/>
    <cellStyle name="60% - 强调文字颜色 4 4 3" xfId="2383"/>
    <cellStyle name="60% - 强调文字颜色 4 4 3 2" xfId="2384"/>
    <cellStyle name="60% - 强调文字颜色 4 4 3 2 2" xfId="2385"/>
    <cellStyle name="60% - 强调文字颜色 4 4 3 3" xfId="2386"/>
    <cellStyle name="60% - 强调文字颜色 4 4 4" xfId="2387"/>
    <cellStyle name="60% - 强调文字颜色 4 4 4 2" xfId="2388"/>
    <cellStyle name="60% - 强调文字颜色 4 4 5" xfId="2389"/>
    <cellStyle name="60% - 强调文字颜色 4 4 5 2" xfId="2390"/>
    <cellStyle name="60% - 强调文字颜色 4 4 6" xfId="2391"/>
    <cellStyle name="60% - 强调文字颜色 4 4 7" xfId="8706"/>
    <cellStyle name="60% - 强调文字颜色 4 5" xfId="2392"/>
    <cellStyle name="60% - 强调文字颜色 4 5 2" xfId="2393"/>
    <cellStyle name="60% - 强调文字颜色 4 5 2 2" xfId="2394"/>
    <cellStyle name="60% - 强调文字颜色 4 5 2 2 2" xfId="2395"/>
    <cellStyle name="60% - 强调文字颜色 4 5 2 3" xfId="2396"/>
    <cellStyle name="60% - 强调文字颜色 4 5 3" xfId="2397"/>
    <cellStyle name="60% - 强调文字颜色 4 5 3 2" xfId="2398"/>
    <cellStyle name="60% - 强调文字颜色 4 5 4" xfId="2399"/>
    <cellStyle name="60% - 强调文字颜色 4 5 4 2" xfId="2400"/>
    <cellStyle name="60% - 强调文字颜色 4 5 5" xfId="2401"/>
    <cellStyle name="60% - 强调文字颜色 4 6" xfId="2402"/>
    <cellStyle name="60% - 强调文字颜色 4 6 2" xfId="2403"/>
    <cellStyle name="60% - 强调文字颜色 4 6 2 2" xfId="2404"/>
    <cellStyle name="60% - 强调文字颜色 4 6 2 2 2" xfId="2405"/>
    <cellStyle name="60% - 强调文字颜色 4 6 2 3" xfId="2406"/>
    <cellStyle name="60% - 强调文字颜色 4 6 3" xfId="2407"/>
    <cellStyle name="60% - 强调文字颜色 4 6 3 2" xfId="2408"/>
    <cellStyle name="60% - 强调文字颜色 4 6 4" xfId="2409"/>
    <cellStyle name="60% - 强调文字颜色 4 6 4 2" xfId="2410"/>
    <cellStyle name="60% - 强调文字颜色 4 6 5" xfId="2411"/>
    <cellStyle name="60% - 强调文字颜色 4 7" xfId="2412"/>
    <cellStyle name="60% - 强调文字颜色 4 7 2" xfId="2413"/>
    <cellStyle name="60% - 强调文字颜色 4 7 2 2" xfId="2414"/>
    <cellStyle name="60% - 强调文字颜色 4 7 2 2 2" xfId="2415"/>
    <cellStyle name="60% - 强调文字颜色 4 7 2 3" xfId="2416"/>
    <cellStyle name="60% - 强调文字颜色 4 7 3" xfId="2417"/>
    <cellStyle name="60% - 强调文字颜色 4 7 3 2" xfId="2418"/>
    <cellStyle name="60% - 强调文字颜色 4 7 4" xfId="2419"/>
    <cellStyle name="60% - 强调文字颜色 4 7 4 2" xfId="2420"/>
    <cellStyle name="60% - 强调文字颜色 4 7 5" xfId="2421"/>
    <cellStyle name="60% - 强调文字颜色 5 2" xfId="2422"/>
    <cellStyle name="60% - 强调文字颜色 5 2 2" xfId="2423"/>
    <cellStyle name="60% - 强调文字颜色 5 2 2 2" xfId="2424"/>
    <cellStyle name="60% - 强调文字颜色 5 2 2 2 2" xfId="2425"/>
    <cellStyle name="60% - 强调文字颜色 5 2 2 2 2 2" xfId="2426"/>
    <cellStyle name="60% - 强调文字颜色 5 2 2 2 3" xfId="2427"/>
    <cellStyle name="60% - 强调文字颜色 5 2 2 3" xfId="2428"/>
    <cellStyle name="60% - 强调文字颜色 5 2 2 3 2" xfId="2429"/>
    <cellStyle name="60% - 强调文字颜色 5 2 2 4" xfId="2430"/>
    <cellStyle name="60% - 强调文字颜色 5 2 2 4 2" xfId="2431"/>
    <cellStyle name="60% - 强调文字颜色 5 2 2 5" xfId="2432"/>
    <cellStyle name="60% - 强调文字颜色 5 2 2 6" xfId="8709"/>
    <cellStyle name="60% - 强调文字颜色 5 2 3" xfId="2433"/>
    <cellStyle name="60% - 强调文字颜色 5 2 3 2" xfId="2434"/>
    <cellStyle name="60% - 强调文字颜色 5 2 3 2 2" xfId="2435"/>
    <cellStyle name="60% - 强调文字颜色 5 2 3 3" xfId="2436"/>
    <cellStyle name="60% - 强调文字颜色 5 2 4" xfId="2437"/>
    <cellStyle name="60% - 强调文字颜色 5 2 4 2" xfId="2438"/>
    <cellStyle name="60% - 强调文字颜色 5 2 5" xfId="2439"/>
    <cellStyle name="60% - 强调文字颜色 5 2 5 2" xfId="2440"/>
    <cellStyle name="60% - 强调文字颜色 5 2 6" xfId="2441"/>
    <cellStyle name="60% - 强调文字颜色 5 2 7" xfId="8708"/>
    <cellStyle name="60% - 强调文字颜色 5 3" xfId="2442"/>
    <cellStyle name="60% - 强调文字颜色 5 3 2" xfId="2443"/>
    <cellStyle name="60% - 强调文字颜色 5 3 2 2" xfId="2444"/>
    <cellStyle name="60% - 强调文字颜色 5 3 2 2 2" xfId="2445"/>
    <cellStyle name="60% - 强调文字颜色 5 3 2 2 2 2" xfId="2446"/>
    <cellStyle name="60% - 强调文字颜色 5 3 2 2 3" xfId="2447"/>
    <cellStyle name="60% - 强调文字颜色 5 3 2 3" xfId="2448"/>
    <cellStyle name="60% - 强调文字颜色 5 3 2 3 2" xfId="2449"/>
    <cellStyle name="60% - 强调文字颜色 5 3 2 4" xfId="2450"/>
    <cellStyle name="60% - 强调文字颜色 5 3 2 4 2" xfId="2451"/>
    <cellStyle name="60% - 强调文字颜色 5 3 2 5" xfId="2452"/>
    <cellStyle name="60% - 强调文字颜色 5 3 2 6" xfId="8711"/>
    <cellStyle name="60% - 强调文字颜色 5 3 3" xfId="2453"/>
    <cellStyle name="60% - 强调文字颜色 5 3 3 2" xfId="2454"/>
    <cellStyle name="60% - 强调文字颜色 5 3 3 2 2" xfId="2455"/>
    <cellStyle name="60% - 强调文字颜色 5 3 3 3" xfId="2456"/>
    <cellStyle name="60% - 强调文字颜色 5 3 4" xfId="2457"/>
    <cellStyle name="60% - 强调文字颜色 5 3 4 2" xfId="2458"/>
    <cellStyle name="60% - 强调文字颜色 5 3 5" xfId="2459"/>
    <cellStyle name="60% - 强调文字颜色 5 3 5 2" xfId="2460"/>
    <cellStyle name="60% - 强调文字颜色 5 3 6" xfId="2461"/>
    <cellStyle name="60% - 强调文字颜色 5 3 7" xfId="8710"/>
    <cellStyle name="60% - 强调文字颜色 5 4" xfId="2462"/>
    <cellStyle name="60% - 强调文字颜色 5 4 2" xfId="2463"/>
    <cellStyle name="60% - 强调文字颜色 5 4 2 2" xfId="2464"/>
    <cellStyle name="60% - 强调文字颜色 5 4 2 2 2" xfId="2465"/>
    <cellStyle name="60% - 强调文字颜色 5 4 2 2 2 2" xfId="2466"/>
    <cellStyle name="60% - 强调文字颜色 5 4 2 2 3" xfId="2467"/>
    <cellStyle name="60% - 强调文字颜色 5 4 2 3" xfId="2468"/>
    <cellStyle name="60% - 强调文字颜色 5 4 2 3 2" xfId="2469"/>
    <cellStyle name="60% - 强调文字颜色 5 4 2 4" xfId="2470"/>
    <cellStyle name="60% - 强调文字颜色 5 4 2 4 2" xfId="2471"/>
    <cellStyle name="60% - 强调文字颜色 5 4 2 5" xfId="2472"/>
    <cellStyle name="60% - 强调文字颜色 5 4 2 6" xfId="8713"/>
    <cellStyle name="60% - 强调文字颜色 5 4 3" xfId="2473"/>
    <cellStyle name="60% - 强调文字颜色 5 4 3 2" xfId="2474"/>
    <cellStyle name="60% - 强调文字颜色 5 4 3 2 2" xfId="2475"/>
    <cellStyle name="60% - 强调文字颜色 5 4 3 3" xfId="2476"/>
    <cellStyle name="60% - 强调文字颜色 5 4 4" xfId="2477"/>
    <cellStyle name="60% - 强调文字颜色 5 4 4 2" xfId="2478"/>
    <cellStyle name="60% - 强调文字颜色 5 4 5" xfId="2479"/>
    <cellStyle name="60% - 强调文字颜色 5 4 5 2" xfId="2480"/>
    <cellStyle name="60% - 强调文字颜色 5 4 6" xfId="2481"/>
    <cellStyle name="60% - 强调文字颜色 5 4 7" xfId="8712"/>
    <cellStyle name="60% - 强调文字颜色 5 5" xfId="2482"/>
    <cellStyle name="60% - 强调文字颜色 5 5 2" xfId="2483"/>
    <cellStyle name="60% - 强调文字颜色 5 5 2 2" xfId="2484"/>
    <cellStyle name="60% - 强调文字颜色 5 5 2 2 2" xfId="2485"/>
    <cellStyle name="60% - 强调文字颜色 5 5 2 3" xfId="2486"/>
    <cellStyle name="60% - 强调文字颜色 5 5 3" xfId="2487"/>
    <cellStyle name="60% - 强调文字颜色 5 5 3 2" xfId="2488"/>
    <cellStyle name="60% - 强调文字颜色 5 5 4" xfId="2489"/>
    <cellStyle name="60% - 强调文字颜色 5 5 4 2" xfId="2490"/>
    <cellStyle name="60% - 强调文字颜色 5 5 5" xfId="2491"/>
    <cellStyle name="60% - 强调文字颜色 5 6" xfId="2492"/>
    <cellStyle name="60% - 强调文字颜色 5 6 2" xfId="2493"/>
    <cellStyle name="60% - 强调文字颜色 5 6 2 2" xfId="2494"/>
    <cellStyle name="60% - 强调文字颜色 5 6 2 2 2" xfId="2495"/>
    <cellStyle name="60% - 强调文字颜色 5 6 2 3" xfId="2496"/>
    <cellStyle name="60% - 强调文字颜色 5 6 3" xfId="2497"/>
    <cellStyle name="60% - 强调文字颜色 5 6 3 2" xfId="2498"/>
    <cellStyle name="60% - 强调文字颜色 5 6 4" xfId="2499"/>
    <cellStyle name="60% - 强调文字颜色 5 6 4 2" xfId="2500"/>
    <cellStyle name="60% - 强调文字颜色 5 6 5" xfId="2501"/>
    <cellStyle name="60% - 强调文字颜色 5 7" xfId="2502"/>
    <cellStyle name="60% - 强调文字颜色 5 7 2" xfId="2503"/>
    <cellStyle name="60% - 强调文字颜色 5 7 2 2" xfId="2504"/>
    <cellStyle name="60% - 强调文字颜色 5 7 2 2 2" xfId="2505"/>
    <cellStyle name="60% - 强调文字颜色 5 7 2 3" xfId="2506"/>
    <cellStyle name="60% - 强调文字颜色 5 7 3" xfId="2507"/>
    <cellStyle name="60% - 强调文字颜色 5 7 3 2" xfId="2508"/>
    <cellStyle name="60% - 强调文字颜色 5 7 4" xfId="2509"/>
    <cellStyle name="60% - 强调文字颜色 5 7 4 2" xfId="2510"/>
    <cellStyle name="60% - 强调文字颜色 5 7 5" xfId="2511"/>
    <cellStyle name="60% - 强调文字颜色 6 2" xfId="2512"/>
    <cellStyle name="60% - 强调文字颜色 6 2 2" xfId="2513"/>
    <cellStyle name="60% - 强调文字颜色 6 2 2 2" xfId="2514"/>
    <cellStyle name="60% - 强调文字颜色 6 2 2 2 2" xfId="2515"/>
    <cellStyle name="60% - 强调文字颜色 6 2 2 2 2 2" xfId="2516"/>
    <cellStyle name="60% - 强调文字颜色 6 2 2 2 3" xfId="2517"/>
    <cellStyle name="60% - 强调文字颜色 6 2 2 3" xfId="2518"/>
    <cellStyle name="60% - 强调文字颜色 6 2 2 3 2" xfId="2519"/>
    <cellStyle name="60% - 强调文字颜色 6 2 2 4" xfId="2520"/>
    <cellStyle name="60% - 强调文字颜色 6 2 2 4 2" xfId="2521"/>
    <cellStyle name="60% - 强调文字颜色 6 2 2 5" xfId="2522"/>
    <cellStyle name="60% - 强调文字颜色 6 2 2 6" xfId="8715"/>
    <cellStyle name="60% - 强调文字颜色 6 2 3" xfId="2523"/>
    <cellStyle name="60% - 强调文字颜色 6 2 3 2" xfId="2524"/>
    <cellStyle name="60% - 强调文字颜色 6 2 3 2 2" xfId="2525"/>
    <cellStyle name="60% - 强调文字颜色 6 2 3 3" xfId="2526"/>
    <cellStyle name="60% - 强调文字颜色 6 2 4" xfId="2527"/>
    <cellStyle name="60% - 强调文字颜色 6 2 4 2" xfId="2528"/>
    <cellStyle name="60% - 强调文字颜色 6 2 5" xfId="2529"/>
    <cellStyle name="60% - 强调文字颜色 6 2 5 2" xfId="2530"/>
    <cellStyle name="60% - 强调文字颜色 6 2 6" xfId="2531"/>
    <cellStyle name="60% - 强调文字颜色 6 2 7" xfId="8714"/>
    <cellStyle name="60% - 强调文字颜色 6 3" xfId="2532"/>
    <cellStyle name="60% - 强调文字颜色 6 3 2" xfId="2533"/>
    <cellStyle name="60% - 强调文字颜色 6 3 2 2" xfId="2534"/>
    <cellStyle name="60% - 强调文字颜色 6 3 2 2 2" xfId="2535"/>
    <cellStyle name="60% - 强调文字颜色 6 3 2 2 2 2" xfId="2536"/>
    <cellStyle name="60% - 强调文字颜色 6 3 2 2 3" xfId="2537"/>
    <cellStyle name="60% - 强调文字颜色 6 3 2 3" xfId="2538"/>
    <cellStyle name="60% - 强调文字颜色 6 3 2 3 2" xfId="2539"/>
    <cellStyle name="60% - 强调文字颜色 6 3 2 4" xfId="2540"/>
    <cellStyle name="60% - 强调文字颜色 6 3 2 4 2" xfId="2541"/>
    <cellStyle name="60% - 强调文字颜色 6 3 2 5" xfId="2542"/>
    <cellStyle name="60% - 强调文字颜色 6 3 2 6" xfId="8717"/>
    <cellStyle name="60% - 强调文字颜色 6 3 3" xfId="2543"/>
    <cellStyle name="60% - 强调文字颜色 6 3 3 2" xfId="2544"/>
    <cellStyle name="60% - 强调文字颜色 6 3 3 2 2" xfId="2545"/>
    <cellStyle name="60% - 强调文字颜色 6 3 3 3" xfId="2546"/>
    <cellStyle name="60% - 强调文字颜色 6 3 4" xfId="2547"/>
    <cellStyle name="60% - 强调文字颜色 6 3 4 2" xfId="2548"/>
    <cellStyle name="60% - 强调文字颜色 6 3 5" xfId="2549"/>
    <cellStyle name="60% - 强调文字颜色 6 3 5 2" xfId="2550"/>
    <cellStyle name="60% - 强调文字颜色 6 3 6" xfId="2551"/>
    <cellStyle name="60% - 强调文字颜色 6 3 7" xfId="8716"/>
    <cellStyle name="60% - 强调文字颜色 6 4" xfId="2552"/>
    <cellStyle name="60% - 强调文字颜色 6 4 2" xfId="2553"/>
    <cellStyle name="60% - 强调文字颜色 6 4 2 2" xfId="2554"/>
    <cellStyle name="60% - 强调文字颜色 6 4 2 2 2" xfId="2555"/>
    <cellStyle name="60% - 强调文字颜色 6 4 2 2 2 2" xfId="2556"/>
    <cellStyle name="60% - 强调文字颜色 6 4 2 2 3" xfId="2557"/>
    <cellStyle name="60% - 强调文字颜色 6 4 2 3" xfId="2558"/>
    <cellStyle name="60% - 强调文字颜色 6 4 2 3 2" xfId="2559"/>
    <cellStyle name="60% - 强调文字颜色 6 4 2 4" xfId="2560"/>
    <cellStyle name="60% - 强调文字颜色 6 4 2 4 2" xfId="2561"/>
    <cellStyle name="60% - 强调文字颜色 6 4 2 5" xfId="2562"/>
    <cellStyle name="60% - 强调文字颜色 6 4 2 6" xfId="8719"/>
    <cellStyle name="60% - 强调文字颜色 6 4 3" xfId="2563"/>
    <cellStyle name="60% - 强调文字颜色 6 4 3 2" xfId="2564"/>
    <cellStyle name="60% - 强调文字颜色 6 4 3 2 2" xfId="2565"/>
    <cellStyle name="60% - 强调文字颜色 6 4 3 3" xfId="2566"/>
    <cellStyle name="60% - 强调文字颜色 6 4 4" xfId="2567"/>
    <cellStyle name="60% - 强调文字颜色 6 4 4 2" xfId="2568"/>
    <cellStyle name="60% - 强调文字颜色 6 4 5" xfId="2569"/>
    <cellStyle name="60% - 强调文字颜色 6 4 5 2" xfId="2570"/>
    <cellStyle name="60% - 强调文字颜色 6 4 6" xfId="2571"/>
    <cellStyle name="60% - 强调文字颜色 6 4 7" xfId="8718"/>
    <cellStyle name="60% - 强调文字颜色 6 5" xfId="2572"/>
    <cellStyle name="60% - 强调文字颜色 6 5 2" xfId="2573"/>
    <cellStyle name="60% - 强调文字颜色 6 5 2 2" xfId="2574"/>
    <cellStyle name="60% - 强调文字颜色 6 5 2 2 2" xfId="2575"/>
    <cellStyle name="60% - 强调文字颜色 6 5 2 3" xfId="2576"/>
    <cellStyle name="60% - 强调文字颜色 6 5 3" xfId="2577"/>
    <cellStyle name="60% - 强调文字颜色 6 5 3 2" xfId="2578"/>
    <cellStyle name="60% - 强调文字颜色 6 5 4" xfId="2579"/>
    <cellStyle name="60% - 强调文字颜色 6 5 4 2" xfId="2580"/>
    <cellStyle name="60% - 强调文字颜色 6 5 5" xfId="2581"/>
    <cellStyle name="60% - 强调文字颜色 6 6" xfId="2582"/>
    <cellStyle name="60% - 强调文字颜色 6 6 2" xfId="2583"/>
    <cellStyle name="60% - 强调文字颜色 6 6 2 2" xfId="2584"/>
    <cellStyle name="60% - 强调文字颜色 6 6 2 2 2" xfId="2585"/>
    <cellStyle name="60% - 强调文字颜色 6 6 2 3" xfId="2586"/>
    <cellStyle name="60% - 强调文字颜色 6 6 3" xfId="2587"/>
    <cellStyle name="60% - 强调文字颜色 6 6 3 2" xfId="2588"/>
    <cellStyle name="60% - 强调文字颜色 6 6 4" xfId="2589"/>
    <cellStyle name="60% - 强调文字颜色 6 6 4 2" xfId="2590"/>
    <cellStyle name="60% - 强调文字颜色 6 6 5" xfId="2591"/>
    <cellStyle name="60% - 强调文字颜色 6 7" xfId="2592"/>
    <cellStyle name="60% - 强调文字颜色 6 7 2" xfId="2593"/>
    <cellStyle name="60% - 强调文字颜色 6 7 2 2" xfId="2594"/>
    <cellStyle name="60% - 强调文字颜色 6 7 2 2 2" xfId="2595"/>
    <cellStyle name="60% - 强调文字颜色 6 7 2 3" xfId="2596"/>
    <cellStyle name="60% - 强调文字颜色 6 7 3" xfId="2597"/>
    <cellStyle name="60% - 强调文字颜色 6 7 3 2" xfId="2598"/>
    <cellStyle name="60% - 强调文字颜色 6 7 4" xfId="2599"/>
    <cellStyle name="60% - 强调文字颜色 6 7 4 2" xfId="2600"/>
    <cellStyle name="60% - 强调文字颜色 6 7 5" xfId="2601"/>
    <cellStyle name="60% - 着色 1" xfId="2602"/>
    <cellStyle name="60% - 着色 1 2" xfId="2603"/>
    <cellStyle name="60% - 着色 1 2 2" xfId="2604"/>
    <cellStyle name="60% - 着色 1 2 2 2" xfId="2605"/>
    <cellStyle name="60% - 着色 1 2 2 2 2" xfId="2606"/>
    <cellStyle name="60% - 着色 1 2 2 2 2 2" xfId="2607"/>
    <cellStyle name="60% - 着色 1 2 2 2 3" xfId="2608"/>
    <cellStyle name="60% - 着色 1 2 2 3" xfId="2609"/>
    <cellStyle name="60% - 着色 1 2 2 3 2" xfId="2610"/>
    <cellStyle name="60% - 着色 1 2 2 4" xfId="2611"/>
    <cellStyle name="60% - 着色 1 2 2 4 2" xfId="2612"/>
    <cellStyle name="60% - 着色 1 2 2 5" xfId="2613"/>
    <cellStyle name="60% - 着色 1 2 3" xfId="2614"/>
    <cellStyle name="60% - 着色 1 2 3 2" xfId="2615"/>
    <cellStyle name="60% - 着色 1 2 3 2 2" xfId="2616"/>
    <cellStyle name="60% - 着色 1 2 3 3" xfId="2617"/>
    <cellStyle name="60% - 着色 1 2 4" xfId="2618"/>
    <cellStyle name="60% - 着色 1 2 4 2" xfId="2619"/>
    <cellStyle name="60% - 着色 1 2 5" xfId="2620"/>
    <cellStyle name="60% - 着色 1 2 5 2" xfId="2621"/>
    <cellStyle name="60% - 着色 1 2 6" xfId="2622"/>
    <cellStyle name="60% - 着色 1 3" xfId="2623"/>
    <cellStyle name="60% - 着色 1 3 2" xfId="2624"/>
    <cellStyle name="60% - 着色 1 3 2 2" xfId="2625"/>
    <cellStyle name="60% - 着色 1 3 2 2 2" xfId="2626"/>
    <cellStyle name="60% - 着色 1 3 2 3" xfId="2627"/>
    <cellStyle name="60% - 着色 1 3 3" xfId="2628"/>
    <cellStyle name="60% - 着色 1 3 3 2" xfId="2629"/>
    <cellStyle name="60% - 着色 1 3 4" xfId="2630"/>
    <cellStyle name="60% - 着色 1 3 4 2" xfId="2631"/>
    <cellStyle name="60% - 着色 1 3 5" xfId="2632"/>
    <cellStyle name="60% - 着色 1 4" xfId="2633"/>
    <cellStyle name="60% - 着色 1 4 2" xfId="2634"/>
    <cellStyle name="60% - 着色 1 4 2 2" xfId="2635"/>
    <cellStyle name="60% - 着色 1 4 2 2 2" xfId="2636"/>
    <cellStyle name="60% - 着色 1 4 2 3" xfId="2637"/>
    <cellStyle name="60% - 着色 1 4 3" xfId="2638"/>
    <cellStyle name="60% - 着色 1 4 3 2" xfId="2639"/>
    <cellStyle name="60% - 着色 1 4 4" xfId="2640"/>
    <cellStyle name="60% - 着色 1 4 4 2" xfId="2641"/>
    <cellStyle name="60% - 着色 1 4 5" xfId="2642"/>
    <cellStyle name="60% - 着色 1 5" xfId="2643"/>
    <cellStyle name="60% - 着色 1 5 2" xfId="2644"/>
    <cellStyle name="60% - 着色 1 5 2 2" xfId="2645"/>
    <cellStyle name="60% - 着色 1 5 3" xfId="2646"/>
    <cellStyle name="60% - 着色 1 6" xfId="2647"/>
    <cellStyle name="60% - 着色 1 6 2" xfId="2648"/>
    <cellStyle name="60% - 着色 1 7" xfId="2649"/>
    <cellStyle name="60% - 着色 1 7 2" xfId="2650"/>
    <cellStyle name="60% - 着色 1 8" xfId="2651"/>
    <cellStyle name="60% - 着色 1 8 2" xfId="2652"/>
    <cellStyle name="60% - 着色 1 9" xfId="2653"/>
    <cellStyle name="60% - 着色 2" xfId="2654"/>
    <cellStyle name="60% - 着色 2 2" xfId="2655"/>
    <cellStyle name="60% - 着色 2 2 2" xfId="2656"/>
    <cellStyle name="60% - 着色 2 2 2 2" xfId="2657"/>
    <cellStyle name="60% - 着色 2 2 2 2 2" xfId="2658"/>
    <cellStyle name="60% - 着色 2 2 2 2 2 2" xfId="2659"/>
    <cellStyle name="60% - 着色 2 2 2 2 3" xfId="2660"/>
    <cellStyle name="60% - 着色 2 2 2 3" xfId="2661"/>
    <cellStyle name="60% - 着色 2 2 2 3 2" xfId="2662"/>
    <cellStyle name="60% - 着色 2 2 2 4" xfId="2663"/>
    <cellStyle name="60% - 着色 2 2 2 4 2" xfId="2664"/>
    <cellStyle name="60% - 着色 2 2 2 5" xfId="2665"/>
    <cellStyle name="60% - 着色 2 2 3" xfId="2666"/>
    <cellStyle name="60% - 着色 2 2 3 2" xfId="2667"/>
    <cellStyle name="60% - 着色 2 2 3 2 2" xfId="2668"/>
    <cellStyle name="60% - 着色 2 2 3 3" xfId="2669"/>
    <cellStyle name="60% - 着色 2 2 4" xfId="2670"/>
    <cellStyle name="60% - 着色 2 2 4 2" xfId="2671"/>
    <cellStyle name="60% - 着色 2 2 5" xfId="2672"/>
    <cellStyle name="60% - 着色 2 2 5 2" xfId="2673"/>
    <cellStyle name="60% - 着色 2 2 6" xfId="2674"/>
    <cellStyle name="60% - 着色 2 3" xfId="2675"/>
    <cellStyle name="60% - 着色 2 3 2" xfId="2676"/>
    <cellStyle name="60% - 着色 2 3 2 2" xfId="2677"/>
    <cellStyle name="60% - 着色 2 3 2 2 2" xfId="2678"/>
    <cellStyle name="60% - 着色 2 3 2 3" xfId="2679"/>
    <cellStyle name="60% - 着色 2 3 3" xfId="2680"/>
    <cellStyle name="60% - 着色 2 3 3 2" xfId="2681"/>
    <cellStyle name="60% - 着色 2 3 4" xfId="2682"/>
    <cellStyle name="60% - 着色 2 3 4 2" xfId="2683"/>
    <cellStyle name="60% - 着色 2 3 5" xfId="2684"/>
    <cellStyle name="60% - 着色 2 4" xfId="2685"/>
    <cellStyle name="60% - 着色 2 4 2" xfId="2686"/>
    <cellStyle name="60% - 着色 2 4 2 2" xfId="2687"/>
    <cellStyle name="60% - 着色 2 4 2 2 2" xfId="2688"/>
    <cellStyle name="60% - 着色 2 4 2 3" xfId="2689"/>
    <cellStyle name="60% - 着色 2 4 3" xfId="2690"/>
    <cellStyle name="60% - 着色 2 4 3 2" xfId="2691"/>
    <cellStyle name="60% - 着色 2 4 4" xfId="2692"/>
    <cellStyle name="60% - 着色 2 4 4 2" xfId="2693"/>
    <cellStyle name="60% - 着色 2 4 5" xfId="2694"/>
    <cellStyle name="60% - 着色 2 5" xfId="2695"/>
    <cellStyle name="60% - 着色 2 5 2" xfId="2696"/>
    <cellStyle name="60% - 着色 2 5 2 2" xfId="2697"/>
    <cellStyle name="60% - 着色 2 5 3" xfId="2698"/>
    <cellStyle name="60% - 着色 2 6" xfId="2699"/>
    <cellStyle name="60% - 着色 2 6 2" xfId="2700"/>
    <cellStyle name="60% - 着色 2 7" xfId="2701"/>
    <cellStyle name="60% - 着色 2 7 2" xfId="2702"/>
    <cellStyle name="60% - 着色 2 8" xfId="2703"/>
    <cellStyle name="60% - 着色 2 8 2" xfId="2704"/>
    <cellStyle name="60% - 着色 2 9" xfId="2705"/>
    <cellStyle name="60% - 着色 3" xfId="2706"/>
    <cellStyle name="60% - 着色 3 2" xfId="2707"/>
    <cellStyle name="60% - 着色 3 2 2" xfId="2708"/>
    <cellStyle name="60% - 着色 3 2 2 2" xfId="2709"/>
    <cellStyle name="60% - 着色 3 2 2 2 2" xfId="2710"/>
    <cellStyle name="60% - 着色 3 2 2 2 2 2" xfId="2711"/>
    <cellStyle name="60% - 着色 3 2 2 2 3" xfId="2712"/>
    <cellStyle name="60% - 着色 3 2 2 3" xfId="2713"/>
    <cellStyle name="60% - 着色 3 2 2 3 2" xfId="2714"/>
    <cellStyle name="60% - 着色 3 2 2 4" xfId="2715"/>
    <cellStyle name="60% - 着色 3 2 2 4 2" xfId="2716"/>
    <cellStyle name="60% - 着色 3 2 2 5" xfId="2717"/>
    <cellStyle name="60% - 着色 3 2 3" xfId="2718"/>
    <cellStyle name="60% - 着色 3 2 3 2" xfId="2719"/>
    <cellStyle name="60% - 着色 3 2 3 2 2" xfId="2720"/>
    <cellStyle name="60% - 着色 3 2 3 3" xfId="2721"/>
    <cellStyle name="60% - 着色 3 2 4" xfId="2722"/>
    <cellStyle name="60% - 着色 3 2 4 2" xfId="2723"/>
    <cellStyle name="60% - 着色 3 2 5" xfId="2724"/>
    <cellStyle name="60% - 着色 3 2 5 2" xfId="2725"/>
    <cellStyle name="60% - 着色 3 2 6" xfId="2726"/>
    <cellStyle name="60% - 着色 3 3" xfId="2727"/>
    <cellStyle name="60% - 着色 3 3 2" xfId="2728"/>
    <cellStyle name="60% - 着色 3 3 2 2" xfId="2729"/>
    <cellStyle name="60% - 着色 3 3 2 2 2" xfId="2730"/>
    <cellStyle name="60% - 着色 3 3 2 3" xfId="2731"/>
    <cellStyle name="60% - 着色 3 3 3" xfId="2732"/>
    <cellStyle name="60% - 着色 3 3 3 2" xfId="2733"/>
    <cellStyle name="60% - 着色 3 3 4" xfId="2734"/>
    <cellStyle name="60% - 着色 3 3 4 2" xfId="2735"/>
    <cellStyle name="60% - 着色 3 3 5" xfId="2736"/>
    <cellStyle name="60% - 着色 3 4" xfId="2737"/>
    <cellStyle name="60% - 着色 3 4 2" xfId="2738"/>
    <cellStyle name="60% - 着色 3 4 2 2" xfId="2739"/>
    <cellStyle name="60% - 着色 3 4 2 2 2" xfId="2740"/>
    <cellStyle name="60% - 着色 3 4 2 3" xfId="2741"/>
    <cellStyle name="60% - 着色 3 4 3" xfId="2742"/>
    <cellStyle name="60% - 着色 3 4 3 2" xfId="2743"/>
    <cellStyle name="60% - 着色 3 4 4" xfId="2744"/>
    <cellStyle name="60% - 着色 3 4 4 2" xfId="2745"/>
    <cellStyle name="60% - 着色 3 4 5" xfId="2746"/>
    <cellStyle name="60% - 着色 3 5" xfId="2747"/>
    <cellStyle name="60% - 着色 3 5 2" xfId="2748"/>
    <cellStyle name="60% - 着色 3 5 2 2" xfId="2749"/>
    <cellStyle name="60% - 着色 3 5 3" xfId="2750"/>
    <cellStyle name="60% - 着色 3 6" xfId="2751"/>
    <cellStyle name="60% - 着色 3 6 2" xfId="2752"/>
    <cellStyle name="60% - 着色 3 7" xfId="2753"/>
    <cellStyle name="60% - 着色 3 7 2" xfId="2754"/>
    <cellStyle name="60% - 着色 3 8" xfId="2755"/>
    <cellStyle name="60% - 着色 3 8 2" xfId="2756"/>
    <cellStyle name="60% - 着色 3 9" xfId="2757"/>
    <cellStyle name="60% - 着色 4" xfId="2758"/>
    <cellStyle name="60% - 着色 4 2" xfId="2759"/>
    <cellStyle name="60% - 着色 4 2 2" xfId="2760"/>
    <cellStyle name="60% - 着色 4 2 2 2" xfId="2761"/>
    <cellStyle name="60% - 着色 4 2 2 2 2" xfId="2762"/>
    <cellStyle name="60% - 着色 4 2 2 2 2 2" xfId="2763"/>
    <cellStyle name="60% - 着色 4 2 2 2 3" xfId="2764"/>
    <cellStyle name="60% - 着色 4 2 2 3" xfId="2765"/>
    <cellStyle name="60% - 着色 4 2 2 3 2" xfId="2766"/>
    <cellStyle name="60% - 着色 4 2 2 4" xfId="2767"/>
    <cellStyle name="60% - 着色 4 2 2 4 2" xfId="2768"/>
    <cellStyle name="60% - 着色 4 2 2 5" xfId="2769"/>
    <cellStyle name="60% - 着色 4 2 3" xfId="2770"/>
    <cellStyle name="60% - 着色 4 2 3 2" xfId="2771"/>
    <cellStyle name="60% - 着色 4 2 3 2 2" xfId="2772"/>
    <cellStyle name="60% - 着色 4 2 3 3" xfId="2773"/>
    <cellStyle name="60% - 着色 4 2 4" xfId="2774"/>
    <cellStyle name="60% - 着色 4 2 4 2" xfId="2775"/>
    <cellStyle name="60% - 着色 4 2 5" xfId="2776"/>
    <cellStyle name="60% - 着色 4 2 5 2" xfId="2777"/>
    <cellStyle name="60% - 着色 4 2 6" xfId="2778"/>
    <cellStyle name="60% - 着色 4 3" xfId="2779"/>
    <cellStyle name="60% - 着色 4 3 2" xfId="2780"/>
    <cellStyle name="60% - 着色 4 3 2 2" xfId="2781"/>
    <cellStyle name="60% - 着色 4 3 2 2 2" xfId="2782"/>
    <cellStyle name="60% - 着色 4 3 2 3" xfId="2783"/>
    <cellStyle name="60% - 着色 4 3 3" xfId="2784"/>
    <cellStyle name="60% - 着色 4 3 3 2" xfId="2785"/>
    <cellStyle name="60% - 着色 4 3 4" xfId="2786"/>
    <cellStyle name="60% - 着色 4 3 4 2" xfId="2787"/>
    <cellStyle name="60% - 着色 4 3 5" xfId="2788"/>
    <cellStyle name="60% - 着色 4 4" xfId="2789"/>
    <cellStyle name="60% - 着色 4 4 2" xfId="2790"/>
    <cellStyle name="60% - 着色 4 4 2 2" xfId="2791"/>
    <cellStyle name="60% - 着色 4 4 2 2 2" xfId="2792"/>
    <cellStyle name="60% - 着色 4 4 2 3" xfId="2793"/>
    <cellStyle name="60% - 着色 4 4 3" xfId="2794"/>
    <cellStyle name="60% - 着色 4 4 3 2" xfId="2795"/>
    <cellStyle name="60% - 着色 4 4 4" xfId="2796"/>
    <cellStyle name="60% - 着色 4 4 4 2" xfId="2797"/>
    <cellStyle name="60% - 着色 4 4 5" xfId="2798"/>
    <cellStyle name="60% - 着色 4 5" xfId="2799"/>
    <cellStyle name="60% - 着色 4 5 2" xfId="2800"/>
    <cellStyle name="60% - 着色 4 5 2 2" xfId="2801"/>
    <cellStyle name="60% - 着色 4 5 3" xfId="2802"/>
    <cellStyle name="60% - 着色 4 6" xfId="2803"/>
    <cellStyle name="60% - 着色 4 6 2" xfId="2804"/>
    <cellStyle name="60% - 着色 4 7" xfId="2805"/>
    <cellStyle name="60% - 着色 4 7 2" xfId="2806"/>
    <cellStyle name="60% - 着色 4 8" xfId="2807"/>
    <cellStyle name="60% - 着色 4 8 2" xfId="2808"/>
    <cellStyle name="60% - 着色 4 9" xfId="2809"/>
    <cellStyle name="60% - 着色 5" xfId="2810"/>
    <cellStyle name="60% - 着色 5 2" xfId="2811"/>
    <cellStyle name="60% - 着色 5 2 2" xfId="2812"/>
    <cellStyle name="60% - 着色 5 2 2 2" xfId="2813"/>
    <cellStyle name="60% - 着色 5 2 2 2 2" xfId="2814"/>
    <cellStyle name="60% - 着色 5 2 2 2 2 2" xfId="2815"/>
    <cellStyle name="60% - 着色 5 2 2 2 3" xfId="2816"/>
    <cellStyle name="60% - 着色 5 2 2 3" xfId="2817"/>
    <cellStyle name="60% - 着色 5 2 2 3 2" xfId="2818"/>
    <cellStyle name="60% - 着色 5 2 2 4" xfId="2819"/>
    <cellStyle name="60% - 着色 5 2 2 4 2" xfId="2820"/>
    <cellStyle name="60% - 着色 5 2 2 5" xfId="2821"/>
    <cellStyle name="60% - 着色 5 2 3" xfId="2822"/>
    <cellStyle name="60% - 着色 5 2 3 2" xfId="2823"/>
    <cellStyle name="60% - 着色 5 2 3 2 2" xfId="2824"/>
    <cellStyle name="60% - 着色 5 2 3 3" xfId="2825"/>
    <cellStyle name="60% - 着色 5 2 4" xfId="2826"/>
    <cellStyle name="60% - 着色 5 2 4 2" xfId="2827"/>
    <cellStyle name="60% - 着色 5 2 5" xfId="2828"/>
    <cellStyle name="60% - 着色 5 2 5 2" xfId="2829"/>
    <cellStyle name="60% - 着色 5 2 6" xfId="2830"/>
    <cellStyle name="60% - 着色 5 3" xfId="2831"/>
    <cellStyle name="60% - 着色 5 3 2" xfId="2832"/>
    <cellStyle name="60% - 着色 5 3 2 2" xfId="2833"/>
    <cellStyle name="60% - 着色 5 3 2 2 2" xfId="2834"/>
    <cellStyle name="60% - 着色 5 3 2 3" xfId="2835"/>
    <cellStyle name="60% - 着色 5 3 3" xfId="2836"/>
    <cellStyle name="60% - 着色 5 3 3 2" xfId="2837"/>
    <cellStyle name="60% - 着色 5 3 4" xfId="2838"/>
    <cellStyle name="60% - 着色 5 3 4 2" xfId="2839"/>
    <cellStyle name="60% - 着色 5 3 5" xfId="2840"/>
    <cellStyle name="60% - 着色 5 4" xfId="2841"/>
    <cellStyle name="60% - 着色 5 4 2" xfId="2842"/>
    <cellStyle name="60% - 着色 5 4 2 2" xfId="2843"/>
    <cellStyle name="60% - 着色 5 4 2 2 2" xfId="2844"/>
    <cellStyle name="60% - 着色 5 4 2 3" xfId="2845"/>
    <cellStyle name="60% - 着色 5 4 3" xfId="2846"/>
    <cellStyle name="60% - 着色 5 4 3 2" xfId="2847"/>
    <cellStyle name="60% - 着色 5 4 4" xfId="2848"/>
    <cellStyle name="60% - 着色 5 4 4 2" xfId="2849"/>
    <cellStyle name="60% - 着色 5 4 5" xfId="2850"/>
    <cellStyle name="60% - 着色 5 5" xfId="2851"/>
    <cellStyle name="60% - 着色 5 5 2" xfId="2852"/>
    <cellStyle name="60% - 着色 5 5 2 2" xfId="2853"/>
    <cellStyle name="60% - 着色 5 5 3" xfId="2854"/>
    <cellStyle name="60% - 着色 5 6" xfId="2855"/>
    <cellStyle name="60% - 着色 5 6 2" xfId="2856"/>
    <cellStyle name="60% - 着色 5 7" xfId="2857"/>
    <cellStyle name="60% - 着色 5 7 2" xfId="2858"/>
    <cellStyle name="60% - 着色 5 8" xfId="2859"/>
    <cellStyle name="60% - 着色 5 8 2" xfId="2860"/>
    <cellStyle name="60% - 着色 5 9" xfId="2861"/>
    <cellStyle name="60% - 着色 6" xfId="2862"/>
    <cellStyle name="60% - 着色 6 2" xfId="2863"/>
    <cellStyle name="60% - 着色 6 2 2" xfId="2864"/>
    <cellStyle name="60% - 着色 6 2 2 2" xfId="2865"/>
    <cellStyle name="60% - 着色 6 2 2 2 2" xfId="2866"/>
    <cellStyle name="60% - 着色 6 2 2 2 2 2" xfId="2867"/>
    <cellStyle name="60% - 着色 6 2 2 2 3" xfId="2868"/>
    <cellStyle name="60% - 着色 6 2 2 3" xfId="2869"/>
    <cellStyle name="60% - 着色 6 2 2 3 2" xfId="2870"/>
    <cellStyle name="60% - 着色 6 2 2 4" xfId="2871"/>
    <cellStyle name="60% - 着色 6 2 2 4 2" xfId="2872"/>
    <cellStyle name="60% - 着色 6 2 2 5" xfId="2873"/>
    <cellStyle name="60% - 着色 6 2 3" xfId="2874"/>
    <cellStyle name="60% - 着色 6 2 3 2" xfId="2875"/>
    <cellStyle name="60% - 着色 6 2 3 2 2" xfId="2876"/>
    <cellStyle name="60% - 着色 6 2 3 3" xfId="2877"/>
    <cellStyle name="60% - 着色 6 2 4" xfId="2878"/>
    <cellStyle name="60% - 着色 6 2 4 2" xfId="2879"/>
    <cellStyle name="60% - 着色 6 2 5" xfId="2880"/>
    <cellStyle name="60% - 着色 6 2 5 2" xfId="2881"/>
    <cellStyle name="60% - 着色 6 2 6" xfId="2882"/>
    <cellStyle name="60% - 着色 6 3" xfId="2883"/>
    <cellStyle name="60% - 着色 6 3 2" xfId="2884"/>
    <cellStyle name="60% - 着色 6 3 2 2" xfId="2885"/>
    <cellStyle name="60% - 着色 6 3 2 2 2" xfId="2886"/>
    <cellStyle name="60% - 着色 6 3 2 3" xfId="2887"/>
    <cellStyle name="60% - 着色 6 3 3" xfId="2888"/>
    <cellStyle name="60% - 着色 6 3 3 2" xfId="2889"/>
    <cellStyle name="60% - 着色 6 3 4" xfId="2890"/>
    <cellStyle name="60% - 着色 6 3 4 2" xfId="2891"/>
    <cellStyle name="60% - 着色 6 3 5" xfId="2892"/>
    <cellStyle name="60% - 着色 6 4" xfId="2893"/>
    <cellStyle name="60% - 着色 6 4 2" xfId="2894"/>
    <cellStyle name="60% - 着色 6 4 2 2" xfId="2895"/>
    <cellStyle name="60% - 着色 6 4 2 2 2" xfId="2896"/>
    <cellStyle name="60% - 着色 6 4 2 3" xfId="2897"/>
    <cellStyle name="60% - 着色 6 4 3" xfId="2898"/>
    <cellStyle name="60% - 着色 6 4 3 2" xfId="2899"/>
    <cellStyle name="60% - 着色 6 4 4" xfId="2900"/>
    <cellStyle name="60% - 着色 6 4 4 2" xfId="2901"/>
    <cellStyle name="60% - 着色 6 4 5" xfId="2902"/>
    <cellStyle name="60% - 着色 6 5" xfId="2903"/>
    <cellStyle name="60% - 着色 6 5 2" xfId="2904"/>
    <cellStyle name="60% - 着色 6 5 2 2" xfId="2905"/>
    <cellStyle name="60% - 着色 6 5 3" xfId="2906"/>
    <cellStyle name="60% - 着色 6 6" xfId="2907"/>
    <cellStyle name="60% - 着色 6 6 2" xfId="2908"/>
    <cellStyle name="60% - 着色 6 7" xfId="2909"/>
    <cellStyle name="60% - 着色 6 7 2" xfId="2910"/>
    <cellStyle name="60% - 着色 6 8" xfId="2911"/>
    <cellStyle name="60% - 着色 6 8 2" xfId="2912"/>
    <cellStyle name="60% - 着色 6 9" xfId="2913"/>
    <cellStyle name="Normal" xfId="8911"/>
    <cellStyle name="Normal 2" xfId="8963"/>
    <cellStyle name="Normal 3" xfId="9253"/>
    <cellStyle name="Normal 3 2" xfId="9448"/>
    <cellStyle name="RowLevel_1" xfId="2914"/>
    <cellStyle name="百分比" xfId="17" builtinId="5"/>
    <cellStyle name="百分比 2" xfId="2915"/>
    <cellStyle name="百分比 2 10" xfId="2916"/>
    <cellStyle name="百分比 2 10 2" xfId="2917"/>
    <cellStyle name="百分比 2 11" xfId="2918"/>
    <cellStyle name="百分比 2 2" xfId="2919"/>
    <cellStyle name="百分比 2 2 2" xfId="2920"/>
    <cellStyle name="百分比 2 2 2 2" xfId="2921"/>
    <cellStyle name="百分比 2 2 2 2 2" xfId="2922"/>
    <cellStyle name="百分比 2 2 2 2 2 2" xfId="2923"/>
    <cellStyle name="百分比 2 2 2 2 3" xfId="2924"/>
    <cellStyle name="百分比 2 2 2 3" xfId="2925"/>
    <cellStyle name="百分比 2 2 2 3 2" xfId="2926"/>
    <cellStyle name="百分比 2 2 2 4" xfId="2927"/>
    <cellStyle name="百分比 2 2 2 4 2" xfId="2928"/>
    <cellStyle name="百分比 2 2 2 5" xfId="2929"/>
    <cellStyle name="百分比 2 2 2 6" xfId="9185"/>
    <cellStyle name="百分比 2 2 3" xfId="2930"/>
    <cellStyle name="百分比 2 2 3 2" xfId="2931"/>
    <cellStyle name="百分比 2 2 3 2 2" xfId="2932"/>
    <cellStyle name="百分比 2 2 3 3" xfId="2933"/>
    <cellStyle name="百分比 2 2 4" xfId="2934"/>
    <cellStyle name="百分比 2 2 4 2" xfId="2935"/>
    <cellStyle name="百分比 2 2 5" xfId="2936"/>
    <cellStyle name="百分比 2 2 5 2" xfId="2937"/>
    <cellStyle name="百分比 2 2 6" xfId="2938"/>
    <cellStyle name="百分比 2 3" xfId="2939"/>
    <cellStyle name="百分比 2 3 2" xfId="2940"/>
    <cellStyle name="百分比 2 3 2 2" xfId="2941"/>
    <cellStyle name="百分比 2 3 2 2 2" xfId="2942"/>
    <cellStyle name="百分比 2 3 2 3" xfId="2943"/>
    <cellStyle name="百分比 2 3 3" xfId="2944"/>
    <cellStyle name="百分比 2 3 3 2" xfId="2945"/>
    <cellStyle name="百分比 2 3 4" xfId="2946"/>
    <cellStyle name="百分比 2 3 4 2" xfId="2947"/>
    <cellStyle name="百分比 2 3 5" xfId="2948"/>
    <cellStyle name="百分比 2 3 6" xfId="9183"/>
    <cellStyle name="百分比 2 4" xfId="2949"/>
    <cellStyle name="百分比 2 4 2" xfId="2950"/>
    <cellStyle name="百分比 2 4 2 2" xfId="2951"/>
    <cellStyle name="百分比 2 4 2 2 2" xfId="2952"/>
    <cellStyle name="百分比 2 4 2 3" xfId="2953"/>
    <cellStyle name="百分比 2 4 3" xfId="2954"/>
    <cellStyle name="百分比 2 4 3 2" xfId="2955"/>
    <cellStyle name="百分比 2 4 4" xfId="2956"/>
    <cellStyle name="百分比 2 4 4 2" xfId="2957"/>
    <cellStyle name="百分比 2 4 5" xfId="2958"/>
    <cellStyle name="百分比 2 5" xfId="2959"/>
    <cellStyle name="百分比 2 5 2" xfId="2960"/>
    <cellStyle name="百分比 2 5 2 2" xfId="2961"/>
    <cellStyle name="百分比 2 5 2 2 2" xfId="2962"/>
    <cellStyle name="百分比 2 5 2 3" xfId="2963"/>
    <cellStyle name="百分比 2 5 2 4" xfId="2964"/>
    <cellStyle name="百分比 2 5 3" xfId="2965"/>
    <cellStyle name="百分比 2 5 3 2" xfId="2966"/>
    <cellStyle name="百分比 2 5 4" xfId="2967"/>
    <cellStyle name="百分比 2 5 4 2" xfId="2968"/>
    <cellStyle name="百分比 2 5 5" xfId="2969"/>
    <cellStyle name="百分比 2 5 6" xfId="2970"/>
    <cellStyle name="百分比 2 6" xfId="2971"/>
    <cellStyle name="百分比 2 6 2" xfId="2972"/>
    <cellStyle name="百分比 2 6 2 2" xfId="2973"/>
    <cellStyle name="百分比 2 6 2 2 2" xfId="2974"/>
    <cellStyle name="百分比 2 6 2 3" xfId="2975"/>
    <cellStyle name="百分比 2 6 3" xfId="2976"/>
    <cellStyle name="百分比 2 6 3 2" xfId="2977"/>
    <cellStyle name="百分比 2 6 4" xfId="2978"/>
    <cellStyle name="百分比 2 6 4 2" xfId="2979"/>
    <cellStyle name="百分比 2 6 5" xfId="2980"/>
    <cellStyle name="百分比 2 7" xfId="2981"/>
    <cellStyle name="百分比 2 7 2" xfId="2982"/>
    <cellStyle name="百分比 2 7 2 2" xfId="2983"/>
    <cellStyle name="百分比 2 7 3" xfId="2984"/>
    <cellStyle name="百分比 2 8" xfId="2985"/>
    <cellStyle name="百分比 2 8 2" xfId="2986"/>
    <cellStyle name="百分比 2 9" xfId="2987"/>
    <cellStyle name="百分比 2 9 2" xfId="2988"/>
    <cellStyle name="百分比 3" xfId="2989"/>
    <cellStyle name="百分比 3 10" xfId="2990"/>
    <cellStyle name="百分比 3 11" xfId="9169"/>
    <cellStyle name="百分比 3 2" xfId="2991"/>
    <cellStyle name="百分比 3 2 2" xfId="2992"/>
    <cellStyle name="百分比 3 2 2 2" xfId="2993"/>
    <cellStyle name="百分比 3 2 2 2 2" xfId="2994"/>
    <cellStyle name="百分比 3 2 2 2 2 2" xfId="2995"/>
    <cellStyle name="百分比 3 2 2 2 3" xfId="2996"/>
    <cellStyle name="百分比 3 2 2 3" xfId="2997"/>
    <cellStyle name="百分比 3 2 2 3 2" xfId="2998"/>
    <cellStyle name="百分比 3 2 2 4" xfId="2999"/>
    <cellStyle name="百分比 3 2 2 4 2" xfId="3000"/>
    <cellStyle name="百分比 3 2 2 5" xfId="3001"/>
    <cellStyle name="百分比 3 2 3" xfId="3002"/>
    <cellStyle name="百分比 3 2 3 2" xfId="3003"/>
    <cellStyle name="百分比 3 2 3 2 2" xfId="3004"/>
    <cellStyle name="百分比 3 2 3 3" xfId="3005"/>
    <cellStyle name="百分比 3 2 4" xfId="3006"/>
    <cellStyle name="百分比 3 2 4 2" xfId="3007"/>
    <cellStyle name="百分比 3 2 5" xfId="3008"/>
    <cellStyle name="百分比 3 2 5 2" xfId="3009"/>
    <cellStyle name="百分比 3 2 6" xfId="3010"/>
    <cellStyle name="百分比 3 2 7" xfId="9181"/>
    <cellStyle name="百分比 3 3" xfId="3011"/>
    <cellStyle name="百分比 3 3 2" xfId="3012"/>
    <cellStyle name="百分比 3 3 2 2" xfId="3013"/>
    <cellStyle name="百分比 3 3 2 2 2" xfId="3014"/>
    <cellStyle name="百分比 3 3 2 3" xfId="3015"/>
    <cellStyle name="百分比 3 3 3" xfId="3016"/>
    <cellStyle name="百分比 3 3 3 2" xfId="3017"/>
    <cellStyle name="百分比 3 3 4" xfId="3018"/>
    <cellStyle name="百分比 3 3 4 2" xfId="3019"/>
    <cellStyle name="百分比 3 3 5" xfId="3020"/>
    <cellStyle name="百分比 3 4" xfId="3021"/>
    <cellStyle name="百分比 3 4 2" xfId="3022"/>
    <cellStyle name="百分比 3 4 2 2" xfId="3023"/>
    <cellStyle name="百分比 3 4 2 2 2" xfId="3024"/>
    <cellStyle name="百分比 3 4 2 3" xfId="3025"/>
    <cellStyle name="百分比 3 4 3" xfId="3026"/>
    <cellStyle name="百分比 3 4 3 2" xfId="3027"/>
    <cellStyle name="百分比 3 4 4" xfId="3028"/>
    <cellStyle name="百分比 3 4 4 2" xfId="3029"/>
    <cellStyle name="百分比 3 4 5" xfId="3030"/>
    <cellStyle name="百分比 3 5" xfId="3031"/>
    <cellStyle name="百分比 3 5 2" xfId="3032"/>
    <cellStyle name="百分比 3 5 2 2" xfId="3033"/>
    <cellStyle name="百分比 3 5 2 2 2" xfId="3034"/>
    <cellStyle name="百分比 3 5 2 3" xfId="3035"/>
    <cellStyle name="百分比 3 5 3" xfId="3036"/>
    <cellStyle name="百分比 3 5 3 2" xfId="3037"/>
    <cellStyle name="百分比 3 5 4" xfId="3038"/>
    <cellStyle name="百分比 3 5 4 2" xfId="3039"/>
    <cellStyle name="百分比 3 5 5" xfId="3040"/>
    <cellStyle name="百分比 3 6" xfId="3041"/>
    <cellStyle name="百分比 3 6 2" xfId="3042"/>
    <cellStyle name="百分比 3 6 2 2" xfId="3043"/>
    <cellStyle name="百分比 3 6 3" xfId="3044"/>
    <cellStyle name="百分比 3 7" xfId="3045"/>
    <cellStyle name="百分比 3 7 2" xfId="3046"/>
    <cellStyle name="百分比 3 8" xfId="3047"/>
    <cellStyle name="百分比 3 8 2" xfId="3048"/>
    <cellStyle name="百分比 3 9" xfId="3049"/>
    <cellStyle name="百分比 3 9 2" xfId="3050"/>
    <cellStyle name="百分比 4" xfId="3051"/>
    <cellStyle name="百分比 4 2" xfId="3052"/>
    <cellStyle name="百分比 4 2 2" xfId="3053"/>
    <cellStyle name="百分比 4 2 2 2" xfId="3054"/>
    <cellStyle name="百分比 4 2 2 2 2" xfId="3055"/>
    <cellStyle name="百分比 4 2 2 3" xfId="3056"/>
    <cellStyle name="百分比 4 2 3" xfId="3057"/>
    <cellStyle name="百分比 4 2 3 2" xfId="3058"/>
    <cellStyle name="百分比 4 2 4" xfId="3059"/>
    <cellStyle name="百分比 4 2 4 2" xfId="3060"/>
    <cellStyle name="百分比 4 2 5" xfId="3061"/>
    <cellStyle name="百分比 4 3" xfId="3062"/>
    <cellStyle name="百分比 4 3 2" xfId="3063"/>
    <cellStyle name="百分比 4 3 2 2" xfId="3064"/>
    <cellStyle name="百分比 4 3 3" xfId="3065"/>
    <cellStyle name="百分比 4 4" xfId="3066"/>
    <cellStyle name="百分比 4 4 2" xfId="3067"/>
    <cellStyle name="百分比 4 5" xfId="3068"/>
    <cellStyle name="百分比 4 5 2" xfId="3069"/>
    <cellStyle name="百分比 4 6" xfId="3070"/>
    <cellStyle name="百分比 5" xfId="3071"/>
    <cellStyle name="百分比 5 2" xfId="3072"/>
    <cellStyle name="百分比 5 2 2" xfId="3073"/>
    <cellStyle name="百分比 5 2 2 2" xfId="3074"/>
    <cellStyle name="百分比 5 2 2 2 2" xfId="3075"/>
    <cellStyle name="百分比 5 2 2 3" xfId="3076"/>
    <cellStyle name="百分比 5 2 3" xfId="3077"/>
    <cellStyle name="百分比 5 2 3 2" xfId="3078"/>
    <cellStyle name="百分比 5 2 4" xfId="3079"/>
    <cellStyle name="百分比 5 2 4 2" xfId="3080"/>
    <cellStyle name="百分比 5 2 5" xfId="3081"/>
    <cellStyle name="百分比 5 3" xfId="3082"/>
    <cellStyle name="百分比 5 3 2" xfId="3083"/>
    <cellStyle name="百分比 5 3 2 2" xfId="3084"/>
    <cellStyle name="百分比 5 3 3" xfId="3085"/>
    <cellStyle name="百分比 5 4" xfId="3086"/>
    <cellStyle name="百分比 5 4 2" xfId="3087"/>
    <cellStyle name="百分比 5 5" xfId="3088"/>
    <cellStyle name="百分比 5 5 2" xfId="3089"/>
    <cellStyle name="百分比 5 6" xfId="3090"/>
    <cellStyle name="百分比 6" xfId="3091"/>
    <cellStyle name="百分比 6 2" xfId="3092"/>
    <cellStyle name="百分比 6 2 2" xfId="3093"/>
    <cellStyle name="百分比 6 2 2 2" xfId="3094"/>
    <cellStyle name="百分比 6 2 3" xfId="3095"/>
    <cellStyle name="百分比 6 2 4" xfId="3096"/>
    <cellStyle name="百分比 6 3" xfId="3097"/>
    <cellStyle name="百分比 6 3 2" xfId="3098"/>
    <cellStyle name="百分比 6 4" xfId="3099"/>
    <cellStyle name="百分比 6 4 2" xfId="3100"/>
    <cellStyle name="百分比 6 5" xfId="3101"/>
    <cellStyle name="百分比 6 6" xfId="3102"/>
    <cellStyle name="百分比 7" xfId="3103"/>
    <cellStyle name="百分比 7 2" xfId="3104"/>
    <cellStyle name="百分比 7 2 2" xfId="3105"/>
    <cellStyle name="百分比 7 2 2 2" xfId="3106"/>
    <cellStyle name="百分比 7 2 3" xfId="3107"/>
    <cellStyle name="百分比 7 3" xfId="3108"/>
    <cellStyle name="百分比 7 3 2" xfId="3109"/>
    <cellStyle name="百分比 7 4" xfId="3110"/>
    <cellStyle name="百分比 7 4 2" xfId="3111"/>
    <cellStyle name="百分比 7 5" xfId="3112"/>
    <cellStyle name="百分比 8" xfId="3113"/>
    <cellStyle name="百分比 8 2" xfId="3114"/>
    <cellStyle name="百分比 8 2 2" xfId="3115"/>
    <cellStyle name="百分比 8 3" xfId="3116"/>
    <cellStyle name="百分比 9" xfId="3117"/>
    <cellStyle name="百分比 9 2" xfId="3118"/>
    <cellStyle name="标题 1 2" xfId="3119"/>
    <cellStyle name="标题 1 2 10" xfId="9254"/>
    <cellStyle name="标题 1 2 10 2" xfId="9449"/>
    <cellStyle name="标题 1 2 2" xfId="3120"/>
    <cellStyle name="标题 1 2 2 2" xfId="3121"/>
    <cellStyle name="标题 1 2 2 2 2" xfId="3122"/>
    <cellStyle name="标题 1 2 2 2 2 2" xfId="3123"/>
    <cellStyle name="标题 1 2 2 2 3" xfId="3124"/>
    <cellStyle name="标题 1 2 2 3" xfId="3125"/>
    <cellStyle name="标题 1 2 2 3 2" xfId="3126"/>
    <cellStyle name="标题 1 2 2 4" xfId="3127"/>
    <cellStyle name="标题 1 2 2 4 2" xfId="3128"/>
    <cellStyle name="标题 1 2 2 5" xfId="3129"/>
    <cellStyle name="标题 1 2 2 6" xfId="8721"/>
    <cellStyle name="标题 1 2 3" xfId="3130"/>
    <cellStyle name="标题 1 2 3 2" xfId="3131"/>
    <cellStyle name="标题 1 2 3 2 2" xfId="3132"/>
    <cellStyle name="标题 1 2 3 3" xfId="3133"/>
    <cellStyle name="标题 1 2 4" xfId="3134"/>
    <cellStyle name="标题 1 2 4 2" xfId="3135"/>
    <cellStyle name="标题 1 2 5" xfId="3136"/>
    <cellStyle name="标题 1 2 5 2" xfId="3137"/>
    <cellStyle name="标题 1 2 6" xfId="3138"/>
    <cellStyle name="标题 1 2 7" xfId="8720"/>
    <cellStyle name="标题 1 2 8" xfId="8923"/>
    <cellStyle name="标题 1 2 9" xfId="8964"/>
    <cellStyle name="标题 1 3" xfId="3139"/>
    <cellStyle name="标题 1 3 2" xfId="3140"/>
    <cellStyle name="标题 1 3 2 2" xfId="3141"/>
    <cellStyle name="标题 1 3 2 2 2" xfId="3142"/>
    <cellStyle name="标题 1 3 2 2 2 2" xfId="3143"/>
    <cellStyle name="标题 1 3 2 2 3" xfId="3144"/>
    <cellStyle name="标题 1 3 2 3" xfId="3145"/>
    <cellStyle name="标题 1 3 2 3 2" xfId="3146"/>
    <cellStyle name="标题 1 3 2 4" xfId="3147"/>
    <cellStyle name="标题 1 3 2 4 2" xfId="3148"/>
    <cellStyle name="标题 1 3 2 5" xfId="3149"/>
    <cellStyle name="标题 1 3 2 6" xfId="8723"/>
    <cellStyle name="标题 1 3 3" xfId="3150"/>
    <cellStyle name="标题 1 3 3 2" xfId="3151"/>
    <cellStyle name="标题 1 3 3 2 2" xfId="3152"/>
    <cellStyle name="标题 1 3 3 3" xfId="3153"/>
    <cellStyle name="标题 1 3 4" xfId="3154"/>
    <cellStyle name="标题 1 3 4 2" xfId="3155"/>
    <cellStyle name="标题 1 3 5" xfId="3156"/>
    <cellStyle name="标题 1 3 5 2" xfId="3157"/>
    <cellStyle name="标题 1 3 6" xfId="3158"/>
    <cellStyle name="标题 1 3 7" xfId="8722"/>
    <cellStyle name="标题 1 4" xfId="3159"/>
    <cellStyle name="标题 1 4 2" xfId="3160"/>
    <cellStyle name="标题 1 4 2 2" xfId="3161"/>
    <cellStyle name="标题 1 4 2 2 2" xfId="3162"/>
    <cellStyle name="标题 1 4 2 2 2 2" xfId="3163"/>
    <cellStyle name="标题 1 4 2 2 3" xfId="3164"/>
    <cellStyle name="标题 1 4 2 3" xfId="3165"/>
    <cellStyle name="标题 1 4 2 3 2" xfId="3166"/>
    <cellStyle name="标题 1 4 2 4" xfId="3167"/>
    <cellStyle name="标题 1 4 2 4 2" xfId="3168"/>
    <cellStyle name="标题 1 4 2 5" xfId="3169"/>
    <cellStyle name="标题 1 4 2 6" xfId="8725"/>
    <cellStyle name="标题 1 4 3" xfId="3170"/>
    <cellStyle name="标题 1 4 3 2" xfId="3171"/>
    <cellStyle name="标题 1 4 3 2 2" xfId="3172"/>
    <cellStyle name="标题 1 4 3 3" xfId="3173"/>
    <cellStyle name="标题 1 4 4" xfId="3174"/>
    <cellStyle name="标题 1 4 4 2" xfId="3175"/>
    <cellStyle name="标题 1 4 5" xfId="3176"/>
    <cellStyle name="标题 1 4 5 2" xfId="3177"/>
    <cellStyle name="标题 1 4 6" xfId="3178"/>
    <cellStyle name="标题 1 4 7" xfId="8724"/>
    <cellStyle name="标题 1 5" xfId="3179"/>
    <cellStyle name="标题 1 5 2" xfId="3180"/>
    <cellStyle name="标题 1 5 2 2" xfId="3181"/>
    <cellStyle name="标题 1 5 2 2 2" xfId="3182"/>
    <cellStyle name="标题 1 5 2 3" xfId="3183"/>
    <cellStyle name="标题 1 5 3" xfId="3184"/>
    <cellStyle name="标题 1 5 3 2" xfId="3185"/>
    <cellStyle name="标题 1 5 4" xfId="3186"/>
    <cellStyle name="标题 1 5 4 2" xfId="3187"/>
    <cellStyle name="标题 1 5 5" xfId="3188"/>
    <cellStyle name="标题 1 6" xfId="3189"/>
    <cellStyle name="标题 1 6 2" xfId="3190"/>
    <cellStyle name="标题 1 6 2 2" xfId="3191"/>
    <cellStyle name="标题 1 6 2 2 2" xfId="3192"/>
    <cellStyle name="标题 1 6 2 3" xfId="3193"/>
    <cellStyle name="标题 1 6 3" xfId="3194"/>
    <cellStyle name="标题 1 6 3 2" xfId="3195"/>
    <cellStyle name="标题 1 6 4" xfId="3196"/>
    <cellStyle name="标题 1 6 4 2" xfId="3197"/>
    <cellStyle name="标题 1 6 5" xfId="3198"/>
    <cellStyle name="标题 2 2" xfId="3199"/>
    <cellStyle name="标题 2 2 10" xfId="9255"/>
    <cellStyle name="标题 2 2 10 2" xfId="9450"/>
    <cellStyle name="标题 2 2 2" xfId="3200"/>
    <cellStyle name="标题 2 2 2 2" xfId="3201"/>
    <cellStyle name="标题 2 2 2 2 2" xfId="3202"/>
    <cellStyle name="标题 2 2 2 2 2 2" xfId="3203"/>
    <cellStyle name="标题 2 2 2 2 3" xfId="3204"/>
    <cellStyle name="标题 2 2 2 3" xfId="3205"/>
    <cellStyle name="标题 2 2 2 3 2" xfId="3206"/>
    <cellStyle name="标题 2 2 2 4" xfId="3207"/>
    <cellStyle name="标题 2 2 2 4 2" xfId="3208"/>
    <cellStyle name="标题 2 2 2 5" xfId="3209"/>
    <cellStyle name="标题 2 2 2 6" xfId="8727"/>
    <cellStyle name="标题 2 2 3" xfId="3210"/>
    <cellStyle name="标题 2 2 3 2" xfId="3211"/>
    <cellStyle name="标题 2 2 3 2 2" xfId="3212"/>
    <cellStyle name="标题 2 2 3 3" xfId="3213"/>
    <cellStyle name="标题 2 2 4" xfId="3214"/>
    <cellStyle name="标题 2 2 4 2" xfId="3215"/>
    <cellStyle name="标题 2 2 5" xfId="3216"/>
    <cellStyle name="标题 2 2 5 2" xfId="3217"/>
    <cellStyle name="标题 2 2 6" xfId="3218"/>
    <cellStyle name="标题 2 2 7" xfId="8726"/>
    <cellStyle name="标题 2 2 8" xfId="8924"/>
    <cellStyle name="标题 2 2 9" xfId="8965"/>
    <cellStyle name="标题 2 3" xfId="3219"/>
    <cellStyle name="标题 2 3 2" xfId="3220"/>
    <cellStyle name="标题 2 3 2 2" xfId="3221"/>
    <cellStyle name="标题 2 3 2 2 2" xfId="3222"/>
    <cellStyle name="标题 2 3 2 2 2 2" xfId="3223"/>
    <cellStyle name="标题 2 3 2 2 3" xfId="3224"/>
    <cellStyle name="标题 2 3 2 3" xfId="3225"/>
    <cellStyle name="标题 2 3 2 3 2" xfId="3226"/>
    <cellStyle name="标题 2 3 2 4" xfId="3227"/>
    <cellStyle name="标题 2 3 2 4 2" xfId="3228"/>
    <cellStyle name="标题 2 3 2 5" xfId="3229"/>
    <cellStyle name="标题 2 3 2 6" xfId="8729"/>
    <cellStyle name="标题 2 3 3" xfId="3230"/>
    <cellStyle name="标题 2 3 3 2" xfId="3231"/>
    <cellStyle name="标题 2 3 3 2 2" xfId="3232"/>
    <cellStyle name="标题 2 3 3 3" xfId="3233"/>
    <cellStyle name="标题 2 3 4" xfId="3234"/>
    <cellStyle name="标题 2 3 4 2" xfId="3235"/>
    <cellStyle name="标题 2 3 5" xfId="3236"/>
    <cellStyle name="标题 2 3 5 2" xfId="3237"/>
    <cellStyle name="标题 2 3 6" xfId="3238"/>
    <cellStyle name="标题 2 3 7" xfId="8728"/>
    <cellStyle name="标题 2 4" xfId="3239"/>
    <cellStyle name="标题 2 4 2" xfId="3240"/>
    <cellStyle name="标题 2 4 2 2" xfId="3241"/>
    <cellStyle name="标题 2 4 2 2 2" xfId="3242"/>
    <cellStyle name="标题 2 4 2 2 2 2" xfId="3243"/>
    <cellStyle name="标题 2 4 2 2 3" xfId="3244"/>
    <cellStyle name="标题 2 4 2 3" xfId="3245"/>
    <cellStyle name="标题 2 4 2 3 2" xfId="3246"/>
    <cellStyle name="标题 2 4 2 4" xfId="3247"/>
    <cellStyle name="标题 2 4 2 4 2" xfId="3248"/>
    <cellStyle name="标题 2 4 2 5" xfId="3249"/>
    <cellStyle name="标题 2 4 2 6" xfId="8731"/>
    <cellStyle name="标题 2 4 3" xfId="3250"/>
    <cellStyle name="标题 2 4 3 2" xfId="3251"/>
    <cellStyle name="标题 2 4 3 2 2" xfId="3252"/>
    <cellStyle name="标题 2 4 3 3" xfId="3253"/>
    <cellStyle name="标题 2 4 4" xfId="3254"/>
    <cellStyle name="标题 2 4 4 2" xfId="3255"/>
    <cellStyle name="标题 2 4 5" xfId="3256"/>
    <cellStyle name="标题 2 4 5 2" xfId="3257"/>
    <cellStyle name="标题 2 4 6" xfId="3258"/>
    <cellStyle name="标题 2 4 7" xfId="8730"/>
    <cellStyle name="标题 2 5" xfId="3259"/>
    <cellStyle name="标题 2 5 2" xfId="3260"/>
    <cellStyle name="标题 2 5 2 2" xfId="3261"/>
    <cellStyle name="标题 2 5 2 2 2" xfId="3262"/>
    <cellStyle name="标题 2 5 2 3" xfId="3263"/>
    <cellStyle name="标题 2 5 3" xfId="3264"/>
    <cellStyle name="标题 2 5 3 2" xfId="3265"/>
    <cellStyle name="标题 2 5 4" xfId="3266"/>
    <cellStyle name="标题 2 5 4 2" xfId="3267"/>
    <cellStyle name="标题 2 5 5" xfId="3268"/>
    <cellStyle name="标题 2 6" xfId="3269"/>
    <cellStyle name="标题 2 6 2" xfId="3270"/>
    <cellStyle name="标题 2 6 2 2" xfId="3271"/>
    <cellStyle name="标题 2 6 2 2 2" xfId="3272"/>
    <cellStyle name="标题 2 6 2 3" xfId="3273"/>
    <cellStyle name="标题 2 6 3" xfId="3274"/>
    <cellStyle name="标题 2 6 3 2" xfId="3275"/>
    <cellStyle name="标题 2 6 4" xfId="3276"/>
    <cellStyle name="标题 2 6 4 2" xfId="3277"/>
    <cellStyle name="标题 2 6 5" xfId="3278"/>
    <cellStyle name="标题 3 2" xfId="3279"/>
    <cellStyle name="标题 3 2 10" xfId="9256"/>
    <cellStyle name="标题 3 2 10 2" xfId="9451"/>
    <cellStyle name="标题 3 2 2" xfId="3280"/>
    <cellStyle name="标题 3 2 2 2" xfId="3281"/>
    <cellStyle name="标题 3 2 2 2 2" xfId="3282"/>
    <cellStyle name="标题 3 2 2 2 2 2" xfId="3283"/>
    <cellStyle name="标题 3 2 2 2 3" xfId="3284"/>
    <cellStyle name="标题 3 2 2 3" xfId="3285"/>
    <cellStyle name="标题 3 2 2 3 2" xfId="3286"/>
    <cellStyle name="标题 3 2 2 4" xfId="3287"/>
    <cellStyle name="标题 3 2 2 4 2" xfId="3288"/>
    <cellStyle name="标题 3 2 2 5" xfId="3289"/>
    <cellStyle name="标题 3 2 2 6" xfId="8733"/>
    <cellStyle name="标题 3 2 3" xfId="3290"/>
    <cellStyle name="标题 3 2 3 2" xfId="3291"/>
    <cellStyle name="标题 3 2 3 2 2" xfId="3292"/>
    <cellStyle name="标题 3 2 3 3" xfId="3293"/>
    <cellStyle name="标题 3 2 4" xfId="3294"/>
    <cellStyle name="标题 3 2 4 2" xfId="3295"/>
    <cellStyle name="标题 3 2 5" xfId="3296"/>
    <cellStyle name="标题 3 2 5 2" xfId="3297"/>
    <cellStyle name="标题 3 2 6" xfId="3298"/>
    <cellStyle name="标题 3 2 7" xfId="8732"/>
    <cellStyle name="标题 3 2 8" xfId="8925"/>
    <cellStyle name="标题 3 2 9" xfId="8966"/>
    <cellStyle name="标题 3 3" xfId="3299"/>
    <cellStyle name="标题 3 3 2" xfId="3300"/>
    <cellStyle name="标题 3 3 2 2" xfId="3301"/>
    <cellStyle name="标题 3 3 2 2 2" xfId="3302"/>
    <cellStyle name="标题 3 3 2 2 2 2" xfId="3303"/>
    <cellStyle name="标题 3 3 2 2 3" xfId="3304"/>
    <cellStyle name="标题 3 3 2 3" xfId="3305"/>
    <cellStyle name="标题 3 3 2 3 2" xfId="3306"/>
    <cellStyle name="标题 3 3 2 4" xfId="3307"/>
    <cellStyle name="标题 3 3 2 4 2" xfId="3308"/>
    <cellStyle name="标题 3 3 2 5" xfId="3309"/>
    <cellStyle name="标题 3 3 2 6" xfId="8735"/>
    <cellStyle name="标题 3 3 3" xfId="3310"/>
    <cellStyle name="标题 3 3 3 2" xfId="3311"/>
    <cellStyle name="标题 3 3 3 2 2" xfId="3312"/>
    <cellStyle name="标题 3 3 3 3" xfId="3313"/>
    <cellStyle name="标题 3 3 4" xfId="3314"/>
    <cellStyle name="标题 3 3 4 2" xfId="3315"/>
    <cellStyle name="标题 3 3 5" xfId="3316"/>
    <cellStyle name="标题 3 3 5 2" xfId="3317"/>
    <cellStyle name="标题 3 3 6" xfId="3318"/>
    <cellStyle name="标题 3 3 7" xfId="8734"/>
    <cellStyle name="标题 3 4" xfId="3319"/>
    <cellStyle name="标题 3 4 2" xfId="3320"/>
    <cellStyle name="标题 3 4 2 2" xfId="3321"/>
    <cellStyle name="标题 3 4 2 2 2" xfId="3322"/>
    <cellStyle name="标题 3 4 2 2 2 2" xfId="3323"/>
    <cellStyle name="标题 3 4 2 2 3" xfId="3324"/>
    <cellStyle name="标题 3 4 2 3" xfId="3325"/>
    <cellStyle name="标题 3 4 2 3 2" xfId="3326"/>
    <cellStyle name="标题 3 4 2 4" xfId="3327"/>
    <cellStyle name="标题 3 4 2 4 2" xfId="3328"/>
    <cellStyle name="标题 3 4 2 5" xfId="3329"/>
    <cellStyle name="标题 3 4 2 6" xfId="8737"/>
    <cellStyle name="标题 3 4 3" xfId="3330"/>
    <cellStyle name="标题 3 4 3 2" xfId="3331"/>
    <cellStyle name="标题 3 4 3 2 2" xfId="3332"/>
    <cellStyle name="标题 3 4 3 3" xfId="3333"/>
    <cellStyle name="标题 3 4 4" xfId="3334"/>
    <cellStyle name="标题 3 4 4 2" xfId="3335"/>
    <cellStyle name="标题 3 4 5" xfId="3336"/>
    <cellStyle name="标题 3 4 5 2" xfId="3337"/>
    <cellStyle name="标题 3 4 6" xfId="3338"/>
    <cellStyle name="标题 3 4 7" xfId="8736"/>
    <cellStyle name="标题 3 5" xfId="3339"/>
    <cellStyle name="标题 3 5 2" xfId="3340"/>
    <cellStyle name="标题 3 5 2 2" xfId="3341"/>
    <cellStyle name="标题 3 5 2 2 2" xfId="3342"/>
    <cellStyle name="标题 3 5 2 3" xfId="3343"/>
    <cellStyle name="标题 3 5 3" xfId="3344"/>
    <cellStyle name="标题 3 5 3 2" xfId="3345"/>
    <cellStyle name="标题 3 5 4" xfId="3346"/>
    <cellStyle name="标题 3 5 4 2" xfId="3347"/>
    <cellStyle name="标题 3 5 5" xfId="3348"/>
    <cellStyle name="标题 3 6" xfId="3349"/>
    <cellStyle name="标题 3 6 2" xfId="3350"/>
    <cellStyle name="标题 3 6 2 2" xfId="3351"/>
    <cellStyle name="标题 3 6 2 2 2" xfId="3352"/>
    <cellStyle name="标题 3 6 2 3" xfId="3353"/>
    <cellStyle name="标题 3 6 3" xfId="3354"/>
    <cellStyle name="标题 3 6 3 2" xfId="3355"/>
    <cellStyle name="标题 3 6 4" xfId="3356"/>
    <cellStyle name="标题 3 6 4 2" xfId="3357"/>
    <cellStyle name="标题 3 6 5" xfId="3358"/>
    <cellStyle name="标题 4 2" xfId="3359"/>
    <cellStyle name="标题 4 2 10" xfId="9257"/>
    <cellStyle name="标题 4 2 10 2" xfId="9452"/>
    <cellStyle name="标题 4 2 2" xfId="3360"/>
    <cellStyle name="标题 4 2 2 2" xfId="3361"/>
    <cellStyle name="标题 4 2 2 2 2" xfId="3362"/>
    <cellStyle name="标题 4 2 2 2 2 2" xfId="3363"/>
    <cellStyle name="标题 4 2 2 2 3" xfId="3364"/>
    <cellStyle name="标题 4 2 2 3" xfId="3365"/>
    <cellStyle name="标题 4 2 2 3 2" xfId="3366"/>
    <cellStyle name="标题 4 2 2 4" xfId="3367"/>
    <cellStyle name="标题 4 2 2 4 2" xfId="3368"/>
    <cellStyle name="标题 4 2 2 5" xfId="3369"/>
    <cellStyle name="标题 4 2 2 6" xfId="8739"/>
    <cellStyle name="标题 4 2 3" xfId="3370"/>
    <cellStyle name="标题 4 2 3 2" xfId="3371"/>
    <cellStyle name="标题 4 2 3 2 2" xfId="3372"/>
    <cellStyle name="标题 4 2 3 3" xfId="3373"/>
    <cellStyle name="标题 4 2 4" xfId="3374"/>
    <cellStyle name="标题 4 2 4 2" xfId="3375"/>
    <cellStyle name="标题 4 2 5" xfId="3376"/>
    <cellStyle name="标题 4 2 5 2" xfId="3377"/>
    <cellStyle name="标题 4 2 6" xfId="3378"/>
    <cellStyle name="标题 4 2 7" xfId="8738"/>
    <cellStyle name="标题 4 2 8" xfId="8926"/>
    <cellStyle name="标题 4 2 9" xfId="8967"/>
    <cellStyle name="标题 4 3" xfId="3379"/>
    <cellStyle name="标题 4 3 2" xfId="3380"/>
    <cellStyle name="标题 4 3 2 2" xfId="3381"/>
    <cellStyle name="标题 4 3 2 2 2" xfId="3382"/>
    <cellStyle name="标题 4 3 2 2 2 2" xfId="3383"/>
    <cellStyle name="标题 4 3 2 2 3" xfId="3384"/>
    <cellStyle name="标题 4 3 2 3" xfId="3385"/>
    <cellStyle name="标题 4 3 2 3 2" xfId="3386"/>
    <cellStyle name="标题 4 3 2 4" xfId="3387"/>
    <cellStyle name="标题 4 3 2 4 2" xfId="3388"/>
    <cellStyle name="标题 4 3 2 5" xfId="3389"/>
    <cellStyle name="标题 4 3 2 6" xfId="8741"/>
    <cellStyle name="标题 4 3 3" xfId="3390"/>
    <cellStyle name="标题 4 3 3 2" xfId="3391"/>
    <cellStyle name="标题 4 3 3 2 2" xfId="3392"/>
    <cellStyle name="标题 4 3 3 3" xfId="3393"/>
    <cellStyle name="标题 4 3 4" xfId="3394"/>
    <cellStyle name="标题 4 3 4 2" xfId="3395"/>
    <cellStyle name="标题 4 3 5" xfId="3396"/>
    <cellStyle name="标题 4 3 5 2" xfId="3397"/>
    <cellStyle name="标题 4 3 6" xfId="3398"/>
    <cellStyle name="标题 4 3 7" xfId="8740"/>
    <cellStyle name="标题 4 4" xfId="3399"/>
    <cellStyle name="标题 4 4 2" xfId="3400"/>
    <cellStyle name="标题 4 4 2 2" xfId="3401"/>
    <cellStyle name="标题 4 4 2 2 2" xfId="3402"/>
    <cellStyle name="标题 4 4 2 2 2 2" xfId="3403"/>
    <cellStyle name="标题 4 4 2 2 3" xfId="3404"/>
    <cellStyle name="标题 4 4 2 3" xfId="3405"/>
    <cellStyle name="标题 4 4 2 3 2" xfId="3406"/>
    <cellStyle name="标题 4 4 2 4" xfId="3407"/>
    <cellStyle name="标题 4 4 2 4 2" xfId="3408"/>
    <cellStyle name="标题 4 4 2 5" xfId="3409"/>
    <cellStyle name="标题 4 4 2 6" xfId="8743"/>
    <cellStyle name="标题 4 4 3" xfId="3410"/>
    <cellStyle name="标题 4 4 3 2" xfId="3411"/>
    <cellStyle name="标题 4 4 3 2 2" xfId="3412"/>
    <cellStyle name="标题 4 4 3 3" xfId="3413"/>
    <cellStyle name="标题 4 4 4" xfId="3414"/>
    <cellStyle name="标题 4 4 4 2" xfId="3415"/>
    <cellStyle name="标题 4 4 5" xfId="3416"/>
    <cellStyle name="标题 4 4 5 2" xfId="3417"/>
    <cellStyle name="标题 4 4 6" xfId="3418"/>
    <cellStyle name="标题 4 4 7" xfId="8742"/>
    <cellStyle name="标题 4 5" xfId="3419"/>
    <cellStyle name="标题 4 5 2" xfId="3420"/>
    <cellStyle name="标题 4 5 2 2" xfId="3421"/>
    <cellStyle name="标题 4 5 2 2 2" xfId="3422"/>
    <cellStyle name="标题 4 5 2 3" xfId="3423"/>
    <cellStyle name="标题 4 5 3" xfId="3424"/>
    <cellStyle name="标题 4 5 3 2" xfId="3425"/>
    <cellStyle name="标题 4 5 4" xfId="3426"/>
    <cellStyle name="标题 4 5 4 2" xfId="3427"/>
    <cellStyle name="标题 4 5 5" xfId="3428"/>
    <cellStyle name="标题 4 6" xfId="3429"/>
    <cellStyle name="标题 4 6 2" xfId="3430"/>
    <cellStyle name="标题 4 6 2 2" xfId="3431"/>
    <cellStyle name="标题 4 6 2 2 2" xfId="3432"/>
    <cellStyle name="标题 4 6 2 3" xfId="3433"/>
    <cellStyle name="标题 4 6 3" xfId="3434"/>
    <cellStyle name="标题 4 6 3 2" xfId="3435"/>
    <cellStyle name="标题 4 6 4" xfId="3436"/>
    <cellStyle name="标题 4 6 4 2" xfId="3437"/>
    <cellStyle name="标题 4 6 5" xfId="3438"/>
    <cellStyle name="标题 5" xfId="3439"/>
    <cellStyle name="标题 5 10" xfId="9258"/>
    <cellStyle name="标题 5 10 2" xfId="9453"/>
    <cellStyle name="标题 5 2" xfId="3440"/>
    <cellStyle name="标题 5 2 2" xfId="3441"/>
    <cellStyle name="标题 5 2 2 2" xfId="3442"/>
    <cellStyle name="标题 5 2 2 2 2" xfId="3443"/>
    <cellStyle name="标题 5 2 2 3" xfId="3444"/>
    <cellStyle name="标题 5 2 3" xfId="3445"/>
    <cellStyle name="标题 5 2 3 2" xfId="3446"/>
    <cellStyle name="标题 5 2 4" xfId="3447"/>
    <cellStyle name="标题 5 2 4 2" xfId="3448"/>
    <cellStyle name="标题 5 2 5" xfId="3449"/>
    <cellStyle name="标题 5 2 6" xfId="8745"/>
    <cellStyle name="标题 5 3" xfId="3450"/>
    <cellStyle name="标题 5 3 2" xfId="3451"/>
    <cellStyle name="标题 5 3 2 2" xfId="3452"/>
    <cellStyle name="标题 5 3 3" xfId="3453"/>
    <cellStyle name="标题 5 4" xfId="3454"/>
    <cellStyle name="标题 5 4 2" xfId="3455"/>
    <cellStyle name="标题 5 5" xfId="3456"/>
    <cellStyle name="标题 5 5 2" xfId="3457"/>
    <cellStyle name="标题 5 6" xfId="3458"/>
    <cellStyle name="标题 5 7" xfId="8744"/>
    <cellStyle name="标题 5 8" xfId="8922"/>
    <cellStyle name="标题 5 9" xfId="8968"/>
    <cellStyle name="标题 6" xfId="3459"/>
    <cellStyle name="标题 6 2" xfId="3460"/>
    <cellStyle name="标题 6 2 2" xfId="3461"/>
    <cellStyle name="标题 6 2 2 2" xfId="3462"/>
    <cellStyle name="标题 6 2 2 2 2" xfId="3463"/>
    <cellStyle name="标题 6 2 2 3" xfId="3464"/>
    <cellStyle name="标题 6 2 3" xfId="3465"/>
    <cellStyle name="标题 6 2 3 2" xfId="3466"/>
    <cellStyle name="标题 6 2 4" xfId="3467"/>
    <cellStyle name="标题 6 2 4 2" xfId="3468"/>
    <cellStyle name="标题 6 2 5" xfId="3469"/>
    <cellStyle name="标题 6 2 6" xfId="8747"/>
    <cellStyle name="标题 6 3" xfId="3470"/>
    <cellStyle name="标题 6 3 2" xfId="3471"/>
    <cellStyle name="标题 6 3 2 2" xfId="3472"/>
    <cellStyle name="标题 6 3 3" xfId="3473"/>
    <cellStyle name="标题 6 4" xfId="3474"/>
    <cellStyle name="标题 6 4 2" xfId="3475"/>
    <cellStyle name="标题 6 5" xfId="3476"/>
    <cellStyle name="标题 6 5 2" xfId="3477"/>
    <cellStyle name="标题 6 6" xfId="3478"/>
    <cellStyle name="标题 6 7" xfId="8746"/>
    <cellStyle name="标题 7" xfId="3479"/>
    <cellStyle name="标题 7 2" xfId="3480"/>
    <cellStyle name="标题 7 2 2" xfId="3481"/>
    <cellStyle name="标题 7 2 2 2" xfId="3482"/>
    <cellStyle name="标题 7 2 2 2 2" xfId="3483"/>
    <cellStyle name="标题 7 2 2 3" xfId="3484"/>
    <cellStyle name="标题 7 2 3" xfId="3485"/>
    <cellStyle name="标题 7 2 3 2" xfId="3486"/>
    <cellStyle name="标题 7 2 4" xfId="3487"/>
    <cellStyle name="标题 7 2 4 2" xfId="3488"/>
    <cellStyle name="标题 7 2 5" xfId="3489"/>
    <cellStyle name="标题 7 2 6" xfId="8749"/>
    <cellStyle name="标题 7 3" xfId="3490"/>
    <cellStyle name="标题 7 3 2" xfId="3491"/>
    <cellStyle name="标题 7 3 2 2" xfId="3492"/>
    <cellStyle name="标题 7 3 3" xfId="3493"/>
    <cellStyle name="标题 7 4" xfId="3494"/>
    <cellStyle name="标题 7 4 2" xfId="3495"/>
    <cellStyle name="标题 7 5" xfId="3496"/>
    <cellStyle name="标题 7 5 2" xfId="3497"/>
    <cellStyle name="标题 7 6" xfId="3498"/>
    <cellStyle name="标题 7 7" xfId="8748"/>
    <cellStyle name="标题 8" xfId="3499"/>
    <cellStyle name="标题 8 2" xfId="3500"/>
    <cellStyle name="标题 8 2 2" xfId="3501"/>
    <cellStyle name="标题 8 2 2 2" xfId="3502"/>
    <cellStyle name="标题 8 2 3" xfId="3503"/>
    <cellStyle name="标题 8 3" xfId="3504"/>
    <cellStyle name="标题 8 3 2" xfId="3505"/>
    <cellStyle name="标题 8 4" xfId="3506"/>
    <cellStyle name="标题 8 4 2" xfId="3507"/>
    <cellStyle name="标题 8 5" xfId="3508"/>
    <cellStyle name="标题 9" xfId="3509"/>
    <cellStyle name="标题 9 2" xfId="3510"/>
    <cellStyle name="标题 9 2 2" xfId="3511"/>
    <cellStyle name="标题 9 2 2 2" xfId="3512"/>
    <cellStyle name="标题 9 2 3" xfId="3513"/>
    <cellStyle name="标题 9 3" xfId="3514"/>
    <cellStyle name="标题 9 3 2" xfId="3515"/>
    <cellStyle name="标题 9 4" xfId="3516"/>
    <cellStyle name="标题 9 4 2" xfId="3517"/>
    <cellStyle name="标题 9 5" xfId="3518"/>
    <cellStyle name="差 2" xfId="3519"/>
    <cellStyle name="差 2 10" xfId="9259"/>
    <cellStyle name="差 2 10 2" xfId="9454"/>
    <cellStyle name="差 2 2" xfId="3520"/>
    <cellStyle name="差 2 2 2" xfId="3521"/>
    <cellStyle name="差 2 2 2 2" xfId="3522"/>
    <cellStyle name="差 2 2 2 2 2" xfId="3523"/>
    <cellStyle name="差 2 2 2 3" xfId="3524"/>
    <cellStyle name="差 2 2 3" xfId="3525"/>
    <cellStyle name="差 2 2 3 2" xfId="3526"/>
    <cellStyle name="差 2 2 4" xfId="3527"/>
    <cellStyle name="差 2 2 4 2" xfId="3528"/>
    <cellStyle name="差 2 2 5" xfId="3529"/>
    <cellStyle name="差 2 2 6" xfId="8751"/>
    <cellStyle name="差 2 3" xfId="3530"/>
    <cellStyle name="差 2 3 2" xfId="3531"/>
    <cellStyle name="差 2 3 2 2" xfId="3532"/>
    <cellStyle name="差 2 3 3" xfId="3533"/>
    <cellStyle name="差 2 4" xfId="3534"/>
    <cellStyle name="差 2 4 2" xfId="3535"/>
    <cellStyle name="差 2 5" xfId="3536"/>
    <cellStyle name="差 2 5 2" xfId="3537"/>
    <cellStyle name="差 2 6" xfId="3538"/>
    <cellStyle name="差 2 7" xfId="8750"/>
    <cellStyle name="差 2 8" xfId="8927"/>
    <cellStyle name="差 2 9" xfId="8969"/>
    <cellStyle name="差 3" xfId="3539"/>
    <cellStyle name="差 3 2" xfId="3540"/>
    <cellStyle name="差 3 2 2" xfId="3541"/>
    <cellStyle name="差 3 2 2 2" xfId="3542"/>
    <cellStyle name="差 3 2 2 2 2" xfId="3543"/>
    <cellStyle name="差 3 2 2 3" xfId="3544"/>
    <cellStyle name="差 3 2 3" xfId="3545"/>
    <cellStyle name="差 3 2 3 2" xfId="3546"/>
    <cellStyle name="差 3 2 4" xfId="3547"/>
    <cellStyle name="差 3 2 4 2" xfId="3548"/>
    <cellStyle name="差 3 2 5" xfId="3549"/>
    <cellStyle name="差 3 2 6" xfId="8753"/>
    <cellStyle name="差 3 3" xfId="3550"/>
    <cellStyle name="差 3 3 2" xfId="3551"/>
    <cellStyle name="差 3 3 2 2" xfId="3552"/>
    <cellStyle name="差 3 3 3" xfId="3553"/>
    <cellStyle name="差 3 4" xfId="3554"/>
    <cellStyle name="差 3 4 2" xfId="3555"/>
    <cellStyle name="差 3 5" xfId="3556"/>
    <cellStyle name="差 3 5 2" xfId="3557"/>
    <cellStyle name="差 3 6" xfId="3558"/>
    <cellStyle name="差 3 7" xfId="8752"/>
    <cellStyle name="差 4" xfId="3559"/>
    <cellStyle name="差 4 2" xfId="3560"/>
    <cellStyle name="差 4 2 2" xfId="3561"/>
    <cellStyle name="差 4 2 2 2" xfId="3562"/>
    <cellStyle name="差 4 2 2 2 2" xfId="3563"/>
    <cellStyle name="差 4 2 2 3" xfId="3564"/>
    <cellStyle name="差 4 2 3" xfId="3565"/>
    <cellStyle name="差 4 2 3 2" xfId="3566"/>
    <cellStyle name="差 4 2 4" xfId="3567"/>
    <cellStyle name="差 4 2 4 2" xfId="3568"/>
    <cellStyle name="差 4 2 5" xfId="3569"/>
    <cellStyle name="差 4 2 6" xfId="8755"/>
    <cellStyle name="差 4 3" xfId="3570"/>
    <cellStyle name="差 4 3 2" xfId="3571"/>
    <cellStyle name="差 4 3 2 2" xfId="3572"/>
    <cellStyle name="差 4 3 3" xfId="3573"/>
    <cellStyle name="差 4 4" xfId="3574"/>
    <cellStyle name="差 4 4 2" xfId="3575"/>
    <cellStyle name="差 4 5" xfId="3576"/>
    <cellStyle name="差 4 5 2" xfId="3577"/>
    <cellStyle name="差 4 6" xfId="3578"/>
    <cellStyle name="差 4 7" xfId="8754"/>
    <cellStyle name="差 5" xfId="3579"/>
    <cellStyle name="差 5 2" xfId="3580"/>
    <cellStyle name="差 5 2 2" xfId="3581"/>
    <cellStyle name="差 5 2 2 2" xfId="3582"/>
    <cellStyle name="差 5 2 3" xfId="3583"/>
    <cellStyle name="差 5 3" xfId="3584"/>
    <cellStyle name="差 5 3 2" xfId="3585"/>
    <cellStyle name="差 5 4" xfId="3586"/>
    <cellStyle name="差 5 4 2" xfId="3587"/>
    <cellStyle name="差 5 5" xfId="3588"/>
    <cellStyle name="差 6" xfId="3589"/>
    <cellStyle name="差 6 2" xfId="3590"/>
    <cellStyle name="差 6 2 2" xfId="3591"/>
    <cellStyle name="差 6 2 2 2" xfId="3592"/>
    <cellStyle name="差 6 2 3" xfId="3593"/>
    <cellStyle name="差 6 3" xfId="3594"/>
    <cellStyle name="差 6 3 2" xfId="3595"/>
    <cellStyle name="差 6 4" xfId="3596"/>
    <cellStyle name="差 6 4 2" xfId="3597"/>
    <cellStyle name="差 6 5" xfId="3598"/>
    <cellStyle name="差 7" xfId="3599"/>
    <cellStyle name="差 7 2" xfId="3600"/>
    <cellStyle name="差 7 2 2" xfId="3601"/>
    <cellStyle name="差 7 2 2 2" xfId="3602"/>
    <cellStyle name="差 7 2 3" xfId="3603"/>
    <cellStyle name="差 7 3" xfId="3604"/>
    <cellStyle name="差 7 3 2" xfId="3605"/>
    <cellStyle name="差 7 4" xfId="3606"/>
    <cellStyle name="差 7 4 2" xfId="3607"/>
    <cellStyle name="差 7 5" xfId="3608"/>
    <cellStyle name="差_2013见习培训经费表下半年(chen)2014年9月" xfId="3609"/>
    <cellStyle name="差_2013见习培训经费表下半年(chen)2014年9月 2" xfId="3610"/>
    <cellStyle name="差_2013见习培训经费表下半年(chen)2014年9月 2 2" xfId="3611"/>
    <cellStyle name="差_2013见习培训经费表下半年(chen)2014年9月 2 2 2" xfId="3612"/>
    <cellStyle name="差_2013见习培训经费表下半年(chen)2014年9月 2 2 2 2" xfId="3613"/>
    <cellStyle name="差_2013见习培训经费表下半年(chen)2014年9月 2 2 2 2 2" xfId="3614"/>
    <cellStyle name="差_2013见习培训经费表下半年(chen)2014年9月 2 2 2 3" xfId="3615"/>
    <cellStyle name="差_2013见习培训经费表下半年(chen)2014年9月 2 2 3" xfId="3616"/>
    <cellStyle name="差_2013见习培训经费表下半年(chen)2014年9月 2 2 3 2" xfId="3617"/>
    <cellStyle name="差_2013见习培训经费表下半年(chen)2014年9月 2 2 4" xfId="3618"/>
    <cellStyle name="差_2013见习培训经费表下半年(chen)2014年9月 2 2 4 2" xfId="3619"/>
    <cellStyle name="差_2013见习培训经费表下半年(chen)2014年9月 2 2 5" xfId="3620"/>
    <cellStyle name="差_2013见习培训经费表下半年(chen)2014年9月 2 3" xfId="3621"/>
    <cellStyle name="差_2013见习培训经费表下半年(chen)2014年9月 2 3 2" xfId="3622"/>
    <cellStyle name="差_2013见习培训经费表下半年(chen)2014年9月 2 3 2 2" xfId="3623"/>
    <cellStyle name="差_2013见习培训经费表下半年(chen)2014年9月 2 3 3" xfId="3624"/>
    <cellStyle name="差_2013见习培训经费表下半年(chen)2014年9月 2 4" xfId="3625"/>
    <cellStyle name="差_2013见习培训经费表下半年(chen)2014年9月 2 4 2" xfId="3626"/>
    <cellStyle name="差_2013见习培训经费表下半年(chen)2014年9月 2 5" xfId="3627"/>
    <cellStyle name="差_2013见习培训经费表下半年(chen)2014年9月 2 5 2" xfId="3628"/>
    <cellStyle name="差_2013见习培训经费表下半年(chen)2014年9月 2 6" xfId="3629"/>
    <cellStyle name="差_2013见习培训经费表下半年(chen)2014年9月 3" xfId="3630"/>
    <cellStyle name="差_2013见习培训经费表下半年(chen)2014年9月 3 2" xfId="3631"/>
    <cellStyle name="差_2013见习培训经费表下半年(chen)2014年9月 3 2 2" xfId="3632"/>
    <cellStyle name="差_2013见习培训经费表下半年(chen)2014年9月 3 2 2 2" xfId="3633"/>
    <cellStyle name="差_2013见习培训经费表下半年(chen)2014年9月 3 2 3" xfId="3634"/>
    <cellStyle name="差_2013见习培训经费表下半年(chen)2014年9月 3 3" xfId="3635"/>
    <cellStyle name="差_2013见习培训经费表下半年(chen)2014年9月 3 3 2" xfId="3636"/>
    <cellStyle name="差_2013见习培训经费表下半年(chen)2014年9月 3 4" xfId="3637"/>
    <cellStyle name="差_2013见习培训经费表下半年(chen)2014年9月 3 4 2" xfId="3638"/>
    <cellStyle name="差_2013见习培训经费表下半年(chen)2014年9月 3 5" xfId="3639"/>
    <cellStyle name="差_2013见习培训经费表下半年(chen)2014年9月 4" xfId="3640"/>
    <cellStyle name="差_2013见习培训经费表下半年(chen)2014年9月 4 2" xfId="3641"/>
    <cellStyle name="差_2013见习培训经费表下半年(chen)2014年9月 4 2 2" xfId="3642"/>
    <cellStyle name="差_2013见习培训经费表下半年(chen)2014年9月 4 2 2 2" xfId="3643"/>
    <cellStyle name="差_2013见习培训经费表下半年(chen)2014年9月 4 2 3" xfId="3644"/>
    <cellStyle name="差_2013见习培训经费表下半年(chen)2014年9月 4 3" xfId="3645"/>
    <cellStyle name="差_2013见习培训经费表下半年(chen)2014年9月 4 3 2" xfId="3646"/>
    <cellStyle name="差_2013见习培训经费表下半年(chen)2014年9月 4 4" xfId="3647"/>
    <cellStyle name="差_2013见习培训经费表下半年(chen)2014年9月 4 4 2" xfId="3648"/>
    <cellStyle name="差_2013见习培训经费表下半年(chen)2014年9月 4 5" xfId="3649"/>
    <cellStyle name="差_2013见习培训经费表下半年(chen)2014年9月 5" xfId="3650"/>
    <cellStyle name="差_2013见习培训经费表下半年(chen)2014年9月 5 2" xfId="3651"/>
    <cellStyle name="差_2013见习培训经费表下半年(chen)2014年9月 5 2 2" xfId="3652"/>
    <cellStyle name="差_2013见习培训经费表下半年(chen)2014年9月 5 3" xfId="3653"/>
    <cellStyle name="差_2013见习培训经费表下半年(chen)2014年9月 6" xfId="3654"/>
    <cellStyle name="差_2013见习培训经费表下半年(chen)2014年9月 6 2" xfId="3655"/>
    <cellStyle name="差_2013见习培训经费表下半年(chen)2014年9月 7" xfId="3656"/>
    <cellStyle name="差_2013见习培训经费表下半年(chen)2014年9月 7 2" xfId="3657"/>
    <cellStyle name="差_2013见习培训经费表下半年(chen)2014年9月 8" xfId="3658"/>
    <cellStyle name="差_2013见习培训经费表下半年(chen)2014年9月 8 2" xfId="3659"/>
    <cellStyle name="差_2013见习培训经费表下半年(chen)2014年9月 9" xfId="3660"/>
    <cellStyle name="差_2014年聘用学校导师带教经费表" xfId="3661"/>
    <cellStyle name="差_2014年聘用学校导师带教经费表 10" xfId="3662"/>
    <cellStyle name="差_2014年聘用学校导师带教经费表 10 2" xfId="3663"/>
    <cellStyle name="差_2014年聘用学校导师带教经费表 11" xfId="3664"/>
    <cellStyle name="差_2014年聘用学校导师带教经费表 2" xfId="3665"/>
    <cellStyle name="差_2014年聘用学校导师带教经费表 2 2" xfId="3666"/>
    <cellStyle name="差_2014年聘用学校导师带教经费表 2 2 2" xfId="3667"/>
    <cellStyle name="差_2014年聘用学校导师带教经费表 2 2 2 2" xfId="3668"/>
    <cellStyle name="差_2014年聘用学校导师带教经费表 2 2 2 2 2" xfId="3669"/>
    <cellStyle name="差_2014年聘用学校导师带教经费表 2 2 2 3" xfId="3670"/>
    <cellStyle name="差_2014年聘用学校导师带教经费表 2 2 3" xfId="3671"/>
    <cellStyle name="差_2014年聘用学校导师带教经费表 2 2 3 2" xfId="3672"/>
    <cellStyle name="差_2014年聘用学校导师带教经费表 2 2 4" xfId="3673"/>
    <cellStyle name="差_2014年聘用学校导师带教经费表 2 2 4 2" xfId="3674"/>
    <cellStyle name="差_2014年聘用学校导师带教经费表 2 2 5" xfId="3675"/>
    <cellStyle name="差_2014年聘用学校导师带教经费表 2 3" xfId="3676"/>
    <cellStyle name="差_2014年聘用学校导师带教经费表 2 3 2" xfId="3677"/>
    <cellStyle name="差_2014年聘用学校导师带教经费表 2 3 2 2" xfId="3678"/>
    <cellStyle name="差_2014年聘用学校导师带教经费表 2 3 3" xfId="3679"/>
    <cellStyle name="差_2014年聘用学校导师带教经费表 2 4" xfId="3680"/>
    <cellStyle name="差_2014年聘用学校导师带教经费表 2 4 2" xfId="3681"/>
    <cellStyle name="差_2014年聘用学校导师带教经费表 2 5" xfId="3682"/>
    <cellStyle name="差_2014年聘用学校导师带教经费表 2 5 2" xfId="3683"/>
    <cellStyle name="差_2014年聘用学校导师带教经费表 2 6" xfId="3684"/>
    <cellStyle name="差_2014年聘用学校导师带教经费表 3" xfId="3685"/>
    <cellStyle name="差_2014年聘用学校导师带教经费表 3 2" xfId="3686"/>
    <cellStyle name="差_2014年聘用学校导师带教经费表 3 2 2" xfId="3687"/>
    <cellStyle name="差_2014年聘用学校导师带教经费表 3 2 2 2" xfId="3688"/>
    <cellStyle name="差_2014年聘用学校导师带教经费表 3 2 2 2 2" xfId="3689"/>
    <cellStyle name="差_2014年聘用学校导师带教经费表 3 2 2 3" xfId="3690"/>
    <cellStyle name="差_2014年聘用学校导师带教经费表 3 2 3" xfId="3691"/>
    <cellStyle name="差_2014年聘用学校导师带教经费表 3 2 3 2" xfId="3692"/>
    <cellStyle name="差_2014年聘用学校导师带教经费表 3 2 4" xfId="3693"/>
    <cellStyle name="差_2014年聘用学校导师带教经费表 3 2 4 2" xfId="3694"/>
    <cellStyle name="差_2014年聘用学校导师带教经费表 3 2 5" xfId="3695"/>
    <cellStyle name="差_2014年聘用学校导师带教经费表 3 3" xfId="3696"/>
    <cellStyle name="差_2014年聘用学校导师带教经费表 3 3 2" xfId="3697"/>
    <cellStyle name="差_2014年聘用学校导师带教经费表 3 3 2 2" xfId="3698"/>
    <cellStyle name="差_2014年聘用学校导师带教经费表 3 3 3" xfId="3699"/>
    <cellStyle name="差_2014年聘用学校导师带教经费表 3 4" xfId="3700"/>
    <cellStyle name="差_2014年聘用学校导师带教经费表 3 4 2" xfId="3701"/>
    <cellStyle name="差_2014年聘用学校导师带教经费表 3 5" xfId="3702"/>
    <cellStyle name="差_2014年聘用学校导师带教经费表 3 5 2" xfId="3703"/>
    <cellStyle name="差_2014年聘用学校导师带教经费表 3 6" xfId="3704"/>
    <cellStyle name="差_2014年聘用学校导师带教经费表 4" xfId="3705"/>
    <cellStyle name="差_2014年聘用学校导师带教经费表 4 2" xfId="3706"/>
    <cellStyle name="差_2014年聘用学校导师带教经费表 4 2 2" xfId="3707"/>
    <cellStyle name="差_2014年聘用学校导师带教经费表 4 2 2 2" xfId="3708"/>
    <cellStyle name="差_2014年聘用学校导师带教经费表 4 2 2 2 2" xfId="3709"/>
    <cellStyle name="差_2014年聘用学校导师带教经费表 4 2 2 3" xfId="3710"/>
    <cellStyle name="差_2014年聘用学校导师带教经费表 4 2 3" xfId="3711"/>
    <cellStyle name="差_2014年聘用学校导师带教经费表 4 2 3 2" xfId="3712"/>
    <cellStyle name="差_2014年聘用学校导师带教经费表 4 2 4" xfId="3713"/>
    <cellStyle name="差_2014年聘用学校导师带教经费表 4 2 4 2" xfId="3714"/>
    <cellStyle name="差_2014年聘用学校导师带教经费表 4 2 5" xfId="3715"/>
    <cellStyle name="差_2014年聘用学校导师带教经费表 4 3" xfId="3716"/>
    <cellStyle name="差_2014年聘用学校导师带教经费表 4 3 2" xfId="3717"/>
    <cellStyle name="差_2014年聘用学校导师带教经费表 4 3 2 2" xfId="3718"/>
    <cellStyle name="差_2014年聘用学校导师带教经费表 4 3 3" xfId="3719"/>
    <cellStyle name="差_2014年聘用学校导师带教经费表 4 4" xfId="3720"/>
    <cellStyle name="差_2014年聘用学校导师带教经费表 4 4 2" xfId="3721"/>
    <cellStyle name="差_2014年聘用学校导师带教经费表 4 5" xfId="3722"/>
    <cellStyle name="差_2014年聘用学校导师带教经费表 4 5 2" xfId="3723"/>
    <cellStyle name="差_2014年聘用学校导师带教经费表 4 6" xfId="3724"/>
    <cellStyle name="差_2014年聘用学校导师带教经费表 5" xfId="3725"/>
    <cellStyle name="差_2014年聘用学校导师带教经费表 5 2" xfId="3726"/>
    <cellStyle name="差_2014年聘用学校导师带教经费表 5 2 2" xfId="3727"/>
    <cellStyle name="差_2014年聘用学校导师带教经费表 5 2 2 2" xfId="3728"/>
    <cellStyle name="差_2014年聘用学校导师带教经费表 5 2 3" xfId="3729"/>
    <cellStyle name="差_2014年聘用学校导师带教经费表 5 3" xfId="3730"/>
    <cellStyle name="差_2014年聘用学校导师带教经费表 5 3 2" xfId="3731"/>
    <cellStyle name="差_2014年聘用学校导师带教经费表 5 4" xfId="3732"/>
    <cellStyle name="差_2014年聘用学校导师带教经费表 5 4 2" xfId="3733"/>
    <cellStyle name="差_2014年聘用学校导师带教经费表 5 5" xfId="3734"/>
    <cellStyle name="差_2014年聘用学校导师带教经费表 6" xfId="3735"/>
    <cellStyle name="差_2014年聘用学校导师带教经费表 6 2" xfId="3736"/>
    <cellStyle name="差_2014年聘用学校导师带教经费表 6 2 2" xfId="3737"/>
    <cellStyle name="差_2014年聘用学校导师带教经费表 6 2 2 2" xfId="3738"/>
    <cellStyle name="差_2014年聘用学校导师带教经费表 6 2 3" xfId="3739"/>
    <cellStyle name="差_2014年聘用学校导师带教经费表 6 3" xfId="3740"/>
    <cellStyle name="差_2014年聘用学校导师带教经费表 6 3 2" xfId="3741"/>
    <cellStyle name="差_2014年聘用学校导师带教经费表 6 4" xfId="3742"/>
    <cellStyle name="差_2014年聘用学校导师带教经费表 6 4 2" xfId="3743"/>
    <cellStyle name="差_2014年聘用学校导师带教经费表 6 5" xfId="3744"/>
    <cellStyle name="差_2014年聘用学校导师带教经费表 7" xfId="3745"/>
    <cellStyle name="差_2014年聘用学校导师带教经费表 7 2" xfId="3746"/>
    <cellStyle name="差_2014年聘用学校导师带教经费表 7 2 2" xfId="3747"/>
    <cellStyle name="差_2014年聘用学校导师带教经费表 7 3" xfId="3748"/>
    <cellStyle name="差_2014年聘用学校导师带教经费表 8" xfId="3749"/>
    <cellStyle name="差_2014年聘用学校导师带教经费表 8 2" xfId="3750"/>
    <cellStyle name="差_2014年聘用学校导师带教经费表 9" xfId="3751"/>
    <cellStyle name="差_2014年聘用学校导师带教经费表 9 2" xfId="3752"/>
    <cellStyle name="差_2014年终考核奖完整版-给核算中心" xfId="3753"/>
    <cellStyle name="差_2014年终考核奖完整版-给核算中心 2" xfId="3754"/>
    <cellStyle name="差_2014年终考核奖完整版-给核算中心 2 2" xfId="3755"/>
    <cellStyle name="差_2014年终考核奖完整版-给核算中心 2 2 2" xfId="3756"/>
    <cellStyle name="差_2014年终考核奖完整版-给核算中心 2 2 2 2" xfId="3757"/>
    <cellStyle name="差_2014年终考核奖完整版-给核算中心 2 2 2 2 2" xfId="3758"/>
    <cellStyle name="差_2014年终考核奖完整版-给核算中心 2 2 2 3" xfId="3759"/>
    <cellStyle name="差_2014年终考核奖完整版-给核算中心 2 2 3" xfId="3760"/>
    <cellStyle name="差_2014年终考核奖完整版-给核算中心 2 2 3 2" xfId="3761"/>
    <cellStyle name="差_2014年终考核奖完整版-给核算中心 2 2 4" xfId="3762"/>
    <cellStyle name="差_2014年终考核奖完整版-给核算中心 2 2 4 2" xfId="3763"/>
    <cellStyle name="差_2014年终考核奖完整版-给核算中心 2 2 5" xfId="3764"/>
    <cellStyle name="差_2014年终考核奖完整版-给核算中心 2 3" xfId="3765"/>
    <cellStyle name="差_2014年终考核奖完整版-给核算中心 2 3 2" xfId="3766"/>
    <cellStyle name="差_2014年终考核奖完整版-给核算中心 2 3 2 2" xfId="3767"/>
    <cellStyle name="差_2014年终考核奖完整版-给核算中心 2 3 3" xfId="3768"/>
    <cellStyle name="差_2014年终考核奖完整版-给核算中心 2 4" xfId="3769"/>
    <cellStyle name="差_2014年终考核奖完整版-给核算中心 2 4 2" xfId="3770"/>
    <cellStyle name="差_2014年终考核奖完整版-给核算中心 2 5" xfId="3771"/>
    <cellStyle name="差_2014年终考核奖完整版-给核算中心 2 5 2" xfId="3772"/>
    <cellStyle name="差_2014年终考核奖完整版-给核算中心 2 6" xfId="3773"/>
    <cellStyle name="差_2014年终考核奖完整版-给核算中心 3" xfId="3774"/>
    <cellStyle name="差_2014年终考核奖完整版-给核算中心 3 2" xfId="3775"/>
    <cellStyle name="差_2014年终考核奖完整版-给核算中心 3 2 2" xfId="3776"/>
    <cellStyle name="差_2014年终考核奖完整版-给核算中心 3 2 2 2" xfId="3777"/>
    <cellStyle name="差_2014年终考核奖完整版-给核算中心 3 2 3" xfId="3778"/>
    <cellStyle name="差_2014年终考核奖完整版-给核算中心 3 3" xfId="3779"/>
    <cellStyle name="差_2014年终考核奖完整版-给核算中心 3 3 2" xfId="3780"/>
    <cellStyle name="差_2014年终考核奖完整版-给核算中心 3 4" xfId="3781"/>
    <cellStyle name="差_2014年终考核奖完整版-给核算中心 3 4 2" xfId="3782"/>
    <cellStyle name="差_2014年终考核奖完整版-给核算中心 3 5" xfId="3783"/>
    <cellStyle name="差_2014年终考核奖完整版-给核算中心 4" xfId="3784"/>
    <cellStyle name="差_2014年终考核奖完整版-给核算中心 4 2" xfId="3785"/>
    <cellStyle name="差_2014年终考核奖完整版-给核算中心 4 2 2" xfId="3786"/>
    <cellStyle name="差_2014年终考核奖完整版-给核算中心 4 2 2 2" xfId="3787"/>
    <cellStyle name="差_2014年终考核奖完整版-给核算中心 4 2 3" xfId="3788"/>
    <cellStyle name="差_2014年终考核奖完整版-给核算中心 4 3" xfId="3789"/>
    <cellStyle name="差_2014年终考核奖完整版-给核算中心 4 3 2" xfId="3790"/>
    <cellStyle name="差_2014年终考核奖完整版-给核算中心 4 4" xfId="3791"/>
    <cellStyle name="差_2014年终考核奖完整版-给核算中心 4 4 2" xfId="3792"/>
    <cellStyle name="差_2014年终考核奖完整版-给核算中心 4 5" xfId="3793"/>
    <cellStyle name="差_2014年终考核奖完整版-给核算中心 5" xfId="3794"/>
    <cellStyle name="差_2014年终考核奖完整版-给核算中心 5 2" xfId="3795"/>
    <cellStyle name="差_2014年终考核奖完整版-给核算中心 5 2 2" xfId="3796"/>
    <cellStyle name="差_2014年终考核奖完整版-给核算中心 5 3" xfId="3797"/>
    <cellStyle name="差_2014年终考核奖完整版-给核算中心 6" xfId="3798"/>
    <cellStyle name="差_2014年终考核奖完整版-给核算中心 6 2" xfId="3799"/>
    <cellStyle name="差_2014年终考核奖完整版-给核算中心 7" xfId="3800"/>
    <cellStyle name="差_2014年终考核奖完整版-给核算中心 7 2" xfId="3801"/>
    <cellStyle name="差_2014年终考核奖完整版-给核算中心 8" xfId="3802"/>
    <cellStyle name="差_2014年终考核奖完整版-给核算中心 8 2" xfId="3803"/>
    <cellStyle name="差_2014年终考核奖完整版-给核算中心 9" xfId="3804"/>
    <cellStyle name="差_2014优秀学校奖励测算表" xfId="3805"/>
    <cellStyle name="差_2014优秀学校奖励测算表 2" xfId="3806"/>
    <cellStyle name="差_2014优秀学校奖励测算表 2 2" xfId="3807"/>
    <cellStyle name="差_2014优秀学校奖励测算表 2 2 2" xfId="3808"/>
    <cellStyle name="差_2014优秀学校奖励测算表 2 2 2 2" xfId="3809"/>
    <cellStyle name="差_2014优秀学校奖励测算表 2 2 2 2 2" xfId="3810"/>
    <cellStyle name="差_2014优秀学校奖励测算表 2 2 2 3" xfId="3811"/>
    <cellStyle name="差_2014优秀学校奖励测算表 2 2 3" xfId="3812"/>
    <cellStyle name="差_2014优秀学校奖励测算表 2 2 3 2" xfId="3813"/>
    <cellStyle name="差_2014优秀学校奖励测算表 2 2 4" xfId="3814"/>
    <cellStyle name="差_2014优秀学校奖励测算表 2 2 4 2" xfId="3815"/>
    <cellStyle name="差_2014优秀学校奖励测算表 2 2 5" xfId="3816"/>
    <cellStyle name="差_2014优秀学校奖励测算表 2 3" xfId="3817"/>
    <cellStyle name="差_2014优秀学校奖励测算表 2 3 2" xfId="3818"/>
    <cellStyle name="差_2014优秀学校奖励测算表 2 3 2 2" xfId="3819"/>
    <cellStyle name="差_2014优秀学校奖励测算表 2 3 3" xfId="3820"/>
    <cellStyle name="差_2014优秀学校奖励测算表 2 4" xfId="3821"/>
    <cellStyle name="差_2014优秀学校奖励测算表 2 4 2" xfId="3822"/>
    <cellStyle name="差_2014优秀学校奖励测算表 2 5" xfId="3823"/>
    <cellStyle name="差_2014优秀学校奖励测算表 2 5 2" xfId="3824"/>
    <cellStyle name="差_2014优秀学校奖励测算表 2 6" xfId="3825"/>
    <cellStyle name="差_2014优秀学校奖励测算表 3" xfId="3826"/>
    <cellStyle name="差_2014优秀学校奖励测算表 3 2" xfId="3827"/>
    <cellStyle name="差_2014优秀学校奖励测算表 3 2 2" xfId="3828"/>
    <cellStyle name="差_2014优秀学校奖励测算表 3 2 2 2" xfId="3829"/>
    <cellStyle name="差_2014优秀学校奖励测算表 3 2 3" xfId="3830"/>
    <cellStyle name="差_2014优秀学校奖励测算表 3 3" xfId="3831"/>
    <cellStyle name="差_2014优秀学校奖励测算表 3 3 2" xfId="3832"/>
    <cellStyle name="差_2014优秀学校奖励测算表 3 4" xfId="3833"/>
    <cellStyle name="差_2014优秀学校奖励测算表 3 4 2" xfId="3834"/>
    <cellStyle name="差_2014优秀学校奖励测算表 3 5" xfId="3835"/>
    <cellStyle name="差_2014优秀学校奖励测算表 4" xfId="3836"/>
    <cellStyle name="差_2014优秀学校奖励测算表 4 2" xfId="3837"/>
    <cellStyle name="差_2014优秀学校奖励测算表 4 2 2" xfId="3838"/>
    <cellStyle name="差_2014优秀学校奖励测算表 4 2 2 2" xfId="3839"/>
    <cellStyle name="差_2014优秀学校奖励测算表 4 2 3" xfId="3840"/>
    <cellStyle name="差_2014优秀学校奖励测算表 4 3" xfId="3841"/>
    <cellStyle name="差_2014优秀学校奖励测算表 4 3 2" xfId="3842"/>
    <cellStyle name="差_2014优秀学校奖励测算表 4 4" xfId="3843"/>
    <cellStyle name="差_2014优秀学校奖励测算表 4 4 2" xfId="3844"/>
    <cellStyle name="差_2014优秀学校奖励测算表 4 5" xfId="3845"/>
    <cellStyle name="差_2014优秀学校奖励测算表 5" xfId="3846"/>
    <cellStyle name="差_2014优秀学校奖励测算表 5 2" xfId="3847"/>
    <cellStyle name="差_2014优秀学校奖励测算表 5 2 2" xfId="3848"/>
    <cellStyle name="差_2014优秀学校奖励测算表 5 3" xfId="3849"/>
    <cellStyle name="差_2014优秀学校奖励测算表 6" xfId="3850"/>
    <cellStyle name="差_2014优秀学校奖励测算表 6 2" xfId="3851"/>
    <cellStyle name="差_2014优秀学校奖励测算表 7" xfId="3852"/>
    <cellStyle name="差_2014优秀学校奖励测算表 7 2" xfId="3853"/>
    <cellStyle name="差_2014优秀学校奖励测算表 8" xfId="3854"/>
    <cellStyle name="差_2014优秀学校奖励测算表 8 2" xfId="3855"/>
    <cellStyle name="差_2014优秀学校奖励测算表 9" xfId="3856"/>
    <cellStyle name="差_2015年年终奖预发表-给核算中心" xfId="3857"/>
    <cellStyle name="差_2015年年终奖预发表-给核算中心 2" xfId="3858"/>
    <cellStyle name="差_2015年年终奖预发表-给核算中心 2 2" xfId="3859"/>
    <cellStyle name="差_2015年年终奖预发表-给核算中心 2 2 2" xfId="3860"/>
    <cellStyle name="差_2015年年终奖预发表-给核算中心 2 2 2 2" xfId="3861"/>
    <cellStyle name="差_2015年年终奖预发表-给核算中心 2 2 2 2 2" xfId="3862"/>
    <cellStyle name="差_2015年年终奖预发表-给核算中心 2 2 2 3" xfId="3863"/>
    <cellStyle name="差_2015年年终奖预发表-给核算中心 2 2 3" xfId="3864"/>
    <cellStyle name="差_2015年年终奖预发表-给核算中心 2 2 3 2" xfId="3865"/>
    <cellStyle name="差_2015年年终奖预发表-给核算中心 2 2 4" xfId="3866"/>
    <cellStyle name="差_2015年年终奖预发表-给核算中心 2 2 4 2" xfId="3867"/>
    <cellStyle name="差_2015年年终奖预发表-给核算中心 2 2 5" xfId="3868"/>
    <cellStyle name="差_2015年年终奖预发表-给核算中心 2 3" xfId="3869"/>
    <cellStyle name="差_2015年年终奖预发表-给核算中心 2 3 2" xfId="3870"/>
    <cellStyle name="差_2015年年终奖预发表-给核算中心 2 3 2 2" xfId="3871"/>
    <cellStyle name="差_2015年年终奖预发表-给核算中心 2 3 3" xfId="3872"/>
    <cellStyle name="差_2015年年终奖预发表-给核算中心 2 4" xfId="3873"/>
    <cellStyle name="差_2015年年终奖预发表-给核算中心 2 4 2" xfId="3874"/>
    <cellStyle name="差_2015年年终奖预发表-给核算中心 2 5" xfId="3875"/>
    <cellStyle name="差_2015年年终奖预发表-给核算中心 2 5 2" xfId="3876"/>
    <cellStyle name="差_2015年年终奖预发表-给核算中心 2 6" xfId="3877"/>
    <cellStyle name="差_2015年年终奖预发表-给核算中心 3" xfId="3878"/>
    <cellStyle name="差_2015年年终奖预发表-给核算中心 3 2" xfId="3879"/>
    <cellStyle name="差_2015年年终奖预发表-给核算中心 3 2 2" xfId="3880"/>
    <cellStyle name="差_2015年年终奖预发表-给核算中心 3 2 2 2" xfId="3881"/>
    <cellStyle name="差_2015年年终奖预发表-给核算中心 3 2 3" xfId="3882"/>
    <cellStyle name="差_2015年年终奖预发表-给核算中心 3 3" xfId="3883"/>
    <cellStyle name="差_2015年年终奖预发表-给核算中心 3 3 2" xfId="3884"/>
    <cellStyle name="差_2015年年终奖预发表-给核算中心 3 4" xfId="3885"/>
    <cellStyle name="差_2015年年终奖预发表-给核算中心 3 4 2" xfId="3886"/>
    <cellStyle name="差_2015年年终奖预发表-给核算中心 3 5" xfId="3887"/>
    <cellStyle name="差_2015年年终奖预发表-给核算中心 4" xfId="3888"/>
    <cellStyle name="差_2015年年终奖预发表-给核算中心 4 2" xfId="3889"/>
    <cellStyle name="差_2015年年终奖预发表-给核算中心 4 2 2" xfId="3890"/>
    <cellStyle name="差_2015年年终奖预发表-给核算中心 4 2 2 2" xfId="3891"/>
    <cellStyle name="差_2015年年终奖预发表-给核算中心 4 2 3" xfId="3892"/>
    <cellStyle name="差_2015年年终奖预发表-给核算中心 4 3" xfId="3893"/>
    <cellStyle name="差_2015年年终奖预发表-给核算中心 4 3 2" xfId="3894"/>
    <cellStyle name="差_2015年年终奖预发表-给核算中心 4 4" xfId="3895"/>
    <cellStyle name="差_2015年年终奖预发表-给核算中心 4 4 2" xfId="3896"/>
    <cellStyle name="差_2015年年终奖预发表-给核算中心 4 5" xfId="3897"/>
    <cellStyle name="差_2015年年终奖预发表-给核算中心 5" xfId="3898"/>
    <cellStyle name="差_2015年年终奖预发表-给核算中心 5 2" xfId="3899"/>
    <cellStyle name="差_2015年年终奖预发表-给核算中心 5 2 2" xfId="3900"/>
    <cellStyle name="差_2015年年终奖预发表-给核算中心 5 3" xfId="3901"/>
    <cellStyle name="差_2015年年终奖预发表-给核算中心 6" xfId="3902"/>
    <cellStyle name="差_2015年年终奖预发表-给核算中心 6 2" xfId="3903"/>
    <cellStyle name="差_2015年年终奖预发表-给核算中心 7" xfId="3904"/>
    <cellStyle name="差_2015年年终奖预发表-给核算中心 7 2" xfId="3905"/>
    <cellStyle name="差_2015年年终奖预发表-给核算中心 8" xfId="3906"/>
    <cellStyle name="差_2015年年终奖预发表-给核算中心 8 2" xfId="3907"/>
    <cellStyle name="差_2015年年终奖预发表-给核算中心 9" xfId="3908"/>
    <cellStyle name="差_2016年3月校长职级工资（核算中心）" xfId="3909"/>
    <cellStyle name="差_2016年3月校长职级工资（核算中心） 2" xfId="3910"/>
    <cellStyle name="差_2016年3月校长职级工资（核算中心） 2 2" xfId="3911"/>
    <cellStyle name="差_2016年3月校长职级工资（核算中心） 2 2 2" xfId="3912"/>
    <cellStyle name="差_2016年3月校长职级工资（核算中心） 2 2 2 2" xfId="3913"/>
    <cellStyle name="差_2016年3月校长职级工资（核算中心） 2 2 2 2 2" xfId="3914"/>
    <cellStyle name="差_2016年3月校长职级工资（核算中心） 2 2 2 3" xfId="3915"/>
    <cellStyle name="差_2016年3月校长职级工资（核算中心） 2 2 3" xfId="3916"/>
    <cellStyle name="差_2016年3月校长职级工资（核算中心） 2 2 3 2" xfId="3917"/>
    <cellStyle name="差_2016年3月校长职级工资（核算中心） 2 2 4" xfId="3918"/>
    <cellStyle name="差_2016年3月校长职级工资（核算中心） 2 2 4 2" xfId="3919"/>
    <cellStyle name="差_2016年3月校长职级工资（核算中心） 2 2 5" xfId="3920"/>
    <cellStyle name="差_2016年3月校长职级工资（核算中心） 2 3" xfId="3921"/>
    <cellStyle name="差_2016年3月校长职级工资（核算中心） 2 3 2" xfId="3922"/>
    <cellStyle name="差_2016年3月校长职级工资（核算中心） 2 3 2 2" xfId="3923"/>
    <cellStyle name="差_2016年3月校长职级工资（核算中心） 2 3 3" xfId="3924"/>
    <cellStyle name="差_2016年3月校长职级工资（核算中心） 2 4" xfId="3925"/>
    <cellStyle name="差_2016年3月校长职级工资（核算中心） 2 4 2" xfId="3926"/>
    <cellStyle name="差_2016年3月校长职级工资（核算中心） 2 5" xfId="3927"/>
    <cellStyle name="差_2016年3月校长职级工资（核算中心） 2 5 2" xfId="3928"/>
    <cellStyle name="差_2016年3月校长职级工资（核算中心） 2 6" xfId="3929"/>
    <cellStyle name="差_2016年3月校长职级工资（核算中心） 3" xfId="3930"/>
    <cellStyle name="差_2016年3月校长职级工资（核算中心） 3 2" xfId="3931"/>
    <cellStyle name="差_2016年3月校长职级工资（核算中心） 3 2 2" xfId="3932"/>
    <cellStyle name="差_2016年3月校长职级工资（核算中心） 3 2 2 2" xfId="3933"/>
    <cellStyle name="差_2016年3月校长职级工资（核算中心） 3 2 3" xfId="3934"/>
    <cellStyle name="差_2016年3月校长职级工资（核算中心） 3 3" xfId="3935"/>
    <cellStyle name="差_2016年3月校长职级工资（核算中心） 3 3 2" xfId="3936"/>
    <cellStyle name="差_2016年3月校长职级工资（核算中心） 3 4" xfId="3937"/>
    <cellStyle name="差_2016年3月校长职级工资（核算中心） 3 4 2" xfId="3938"/>
    <cellStyle name="差_2016年3月校长职级工资（核算中心） 3 5" xfId="3939"/>
    <cellStyle name="差_2016年3月校长职级工资（核算中心） 4" xfId="3940"/>
    <cellStyle name="差_2016年3月校长职级工资（核算中心） 4 2" xfId="3941"/>
    <cellStyle name="差_2016年3月校长职级工资（核算中心） 4 2 2" xfId="3942"/>
    <cellStyle name="差_2016年3月校长职级工资（核算中心） 4 2 2 2" xfId="3943"/>
    <cellStyle name="差_2016年3月校长职级工资（核算中心） 4 2 3" xfId="3944"/>
    <cellStyle name="差_2016年3月校长职级工资（核算中心） 4 3" xfId="3945"/>
    <cellStyle name="差_2016年3月校长职级工资（核算中心） 4 3 2" xfId="3946"/>
    <cellStyle name="差_2016年3月校长职级工资（核算中心） 4 4" xfId="3947"/>
    <cellStyle name="差_2016年3月校长职级工资（核算中心） 4 4 2" xfId="3948"/>
    <cellStyle name="差_2016年3月校长职级工资（核算中心） 4 5" xfId="3949"/>
    <cellStyle name="差_2016年3月校长职级工资（核算中心） 5" xfId="3950"/>
    <cellStyle name="差_2016年3月校长职级工资（核算中心） 5 2" xfId="3951"/>
    <cellStyle name="差_2016年3月校长职级工资（核算中心） 5 2 2" xfId="3952"/>
    <cellStyle name="差_2016年3月校长职级工资（核算中心） 5 3" xfId="3953"/>
    <cellStyle name="差_2016年3月校长职级工资（核算中心） 6" xfId="3954"/>
    <cellStyle name="差_2016年3月校长职级工资（核算中心） 6 2" xfId="3955"/>
    <cellStyle name="差_2016年3月校长职级工资（核算中心） 7" xfId="3956"/>
    <cellStyle name="差_2016年3月校长职级工资（核算中心） 7 2" xfId="3957"/>
    <cellStyle name="差_2016年3月校长职级工资（核算中心） 8" xfId="3958"/>
    <cellStyle name="差_2016年3月校长职级工资（核算中心） 8 2" xfId="3959"/>
    <cellStyle name="差_2016年3月校长职级工资（核算中心） 9" xfId="3960"/>
    <cellStyle name="差_2016统计人数汇总表（完稿版）9.12" xfId="3961"/>
    <cellStyle name="差_2016统计人数汇总表（完稿版）9.12 2" xfId="3962"/>
    <cellStyle name="差_2016统计人数汇总表（完稿版）9.12 2 2" xfId="3963"/>
    <cellStyle name="差_2016统计人数汇总表（完稿版）9.12 2 2 2" xfId="3964"/>
    <cellStyle name="差_2016统计人数汇总表（完稿版）9.12 2 2 2 2" xfId="3965"/>
    <cellStyle name="差_2016统计人数汇总表（完稿版）9.12 2 2 2 2 2" xfId="3966"/>
    <cellStyle name="差_2016统计人数汇总表（完稿版）9.12 2 2 2 3" xfId="3967"/>
    <cellStyle name="差_2016统计人数汇总表（完稿版）9.12 2 2 3" xfId="3968"/>
    <cellStyle name="差_2016统计人数汇总表（完稿版）9.12 2 2 3 2" xfId="3969"/>
    <cellStyle name="差_2016统计人数汇总表（完稿版）9.12 2 2 4" xfId="3970"/>
    <cellStyle name="差_2016统计人数汇总表（完稿版）9.12 2 2 4 2" xfId="3971"/>
    <cellStyle name="差_2016统计人数汇总表（完稿版）9.12 2 2 5" xfId="3972"/>
    <cellStyle name="差_2016统计人数汇总表（完稿版）9.12 2 3" xfId="3973"/>
    <cellStyle name="差_2016统计人数汇总表（完稿版）9.12 2 3 2" xfId="3974"/>
    <cellStyle name="差_2016统计人数汇总表（完稿版）9.12 2 3 2 2" xfId="3975"/>
    <cellStyle name="差_2016统计人数汇总表（完稿版）9.12 2 3 3" xfId="3976"/>
    <cellStyle name="差_2016统计人数汇总表（完稿版）9.12 2 4" xfId="3977"/>
    <cellStyle name="差_2016统计人数汇总表（完稿版）9.12 2 4 2" xfId="3978"/>
    <cellStyle name="差_2016统计人数汇总表（完稿版）9.12 2 5" xfId="3979"/>
    <cellStyle name="差_2016统计人数汇总表（完稿版）9.12 2 5 2" xfId="3980"/>
    <cellStyle name="差_2016统计人数汇总表（完稿版）9.12 2 6" xfId="3981"/>
    <cellStyle name="差_2016统计人数汇总表（完稿版）9.12 3" xfId="3982"/>
    <cellStyle name="差_2016统计人数汇总表（完稿版）9.12 3 2" xfId="3983"/>
    <cellStyle name="差_2016统计人数汇总表（完稿版）9.12 3 2 2" xfId="3984"/>
    <cellStyle name="差_2016统计人数汇总表（完稿版）9.12 3 2 2 2" xfId="3985"/>
    <cellStyle name="差_2016统计人数汇总表（完稿版）9.12 3 2 3" xfId="3986"/>
    <cellStyle name="差_2016统计人数汇总表（完稿版）9.12 3 3" xfId="3987"/>
    <cellStyle name="差_2016统计人数汇总表（完稿版）9.12 3 3 2" xfId="3988"/>
    <cellStyle name="差_2016统计人数汇总表（完稿版）9.12 3 4" xfId="3989"/>
    <cellStyle name="差_2016统计人数汇总表（完稿版）9.12 3 4 2" xfId="3990"/>
    <cellStyle name="差_2016统计人数汇总表（完稿版）9.12 3 5" xfId="3991"/>
    <cellStyle name="差_2016统计人数汇总表（完稿版）9.12 4" xfId="3992"/>
    <cellStyle name="差_2016统计人数汇总表（完稿版）9.12 4 2" xfId="3993"/>
    <cellStyle name="差_2016统计人数汇总表（完稿版）9.12 4 2 2" xfId="3994"/>
    <cellStyle name="差_2016统计人数汇总表（完稿版）9.12 4 2 2 2" xfId="3995"/>
    <cellStyle name="差_2016统计人数汇总表（完稿版）9.12 4 2 3" xfId="3996"/>
    <cellStyle name="差_2016统计人数汇总表（完稿版）9.12 4 3" xfId="3997"/>
    <cellStyle name="差_2016统计人数汇总表（完稿版）9.12 4 3 2" xfId="3998"/>
    <cellStyle name="差_2016统计人数汇总表（完稿版）9.12 4 4" xfId="3999"/>
    <cellStyle name="差_2016统计人数汇总表（完稿版）9.12 4 4 2" xfId="4000"/>
    <cellStyle name="差_2016统计人数汇总表（完稿版）9.12 4 5" xfId="4001"/>
    <cellStyle name="差_2016统计人数汇总表（完稿版）9.12 5" xfId="4002"/>
    <cellStyle name="差_2016统计人数汇总表（完稿版）9.12 5 2" xfId="4003"/>
    <cellStyle name="差_2016统计人数汇总表（完稿版）9.12 5 2 2" xfId="4004"/>
    <cellStyle name="差_2016统计人数汇总表（完稿版）9.12 5 3" xfId="4005"/>
    <cellStyle name="差_2016统计人数汇总表（完稿版）9.12 6" xfId="4006"/>
    <cellStyle name="差_2016统计人数汇总表（完稿版）9.12 6 2" xfId="4007"/>
    <cellStyle name="差_2016统计人数汇总表（完稿版）9.12 7" xfId="4008"/>
    <cellStyle name="差_2016统计人数汇总表（完稿版）9.12 7 2" xfId="4009"/>
    <cellStyle name="差_2016统计人数汇总表（完稿版）9.12 8" xfId="4010"/>
    <cellStyle name="差_2016统计人数汇总表（完稿版）9.12 8 2" xfId="4011"/>
    <cellStyle name="差_2016统计人数汇总表（完稿版）9.12 9" xfId="4012"/>
    <cellStyle name="差_2017" xfId="8920"/>
    <cellStyle name="差_2017 2" xfId="8928"/>
    <cellStyle name="差_2017 2 2" xfId="8971"/>
    <cellStyle name="差_2017 2 3" xfId="9261"/>
    <cellStyle name="差_2017 2 3 2" xfId="9456"/>
    <cellStyle name="差_2017 3" xfId="8972"/>
    <cellStyle name="差_2017 3 2" xfId="9262"/>
    <cellStyle name="差_2017 3 2 2" xfId="9457"/>
    <cellStyle name="差_2017 4" xfId="8970"/>
    <cellStyle name="差_2017 5" xfId="9260"/>
    <cellStyle name="差_2017 5 2" xfId="9455"/>
    <cellStyle name="差_A0汇总表（报计财科：项目津贴发放）" xfId="4013"/>
    <cellStyle name="差_A0汇总表（报计财科：项目津贴发放） 2" xfId="4014"/>
    <cellStyle name="差_A0汇总表（报计财科：项目津贴发放） 2 2" xfId="4015"/>
    <cellStyle name="差_A0汇总表（报计财科：项目津贴发放） 2 2 2" xfId="4016"/>
    <cellStyle name="差_A0汇总表（报计财科：项目津贴发放） 2 2 2 2" xfId="4017"/>
    <cellStyle name="差_A0汇总表（报计财科：项目津贴发放） 2 2 2 2 2" xfId="4018"/>
    <cellStyle name="差_A0汇总表（报计财科：项目津贴发放） 2 2 2 3" xfId="4019"/>
    <cellStyle name="差_A0汇总表（报计财科：项目津贴发放） 2 2 3" xfId="4020"/>
    <cellStyle name="差_A0汇总表（报计财科：项目津贴发放） 2 2 3 2" xfId="4021"/>
    <cellStyle name="差_A0汇总表（报计财科：项目津贴发放） 2 2 4" xfId="4022"/>
    <cellStyle name="差_A0汇总表（报计财科：项目津贴发放） 2 2 4 2" xfId="4023"/>
    <cellStyle name="差_A0汇总表（报计财科：项目津贴发放） 2 2 5" xfId="4024"/>
    <cellStyle name="差_A0汇总表（报计财科：项目津贴发放） 2 3" xfId="4025"/>
    <cellStyle name="差_A0汇总表（报计财科：项目津贴发放） 2 3 2" xfId="4026"/>
    <cellStyle name="差_A0汇总表（报计财科：项目津贴发放） 2 3 2 2" xfId="4027"/>
    <cellStyle name="差_A0汇总表（报计财科：项目津贴发放） 2 3 3" xfId="4028"/>
    <cellStyle name="差_A0汇总表（报计财科：项目津贴发放） 2 4" xfId="4029"/>
    <cellStyle name="差_A0汇总表（报计财科：项目津贴发放） 2 4 2" xfId="4030"/>
    <cellStyle name="差_A0汇总表（报计财科：项目津贴发放） 2 5" xfId="4031"/>
    <cellStyle name="差_A0汇总表（报计财科：项目津贴发放） 2 5 2" xfId="4032"/>
    <cellStyle name="差_A0汇总表（报计财科：项目津贴发放） 2 6" xfId="4033"/>
    <cellStyle name="差_A0汇总表（报计财科：项目津贴发放） 3" xfId="4034"/>
    <cellStyle name="差_A0汇总表（报计财科：项目津贴发放） 3 2" xfId="4035"/>
    <cellStyle name="差_A0汇总表（报计财科：项目津贴发放） 3 2 2" xfId="4036"/>
    <cellStyle name="差_A0汇总表（报计财科：项目津贴发放） 3 2 2 2" xfId="4037"/>
    <cellStyle name="差_A0汇总表（报计财科：项目津贴发放） 3 2 3" xfId="4038"/>
    <cellStyle name="差_A0汇总表（报计财科：项目津贴发放） 3 3" xfId="4039"/>
    <cellStyle name="差_A0汇总表（报计财科：项目津贴发放） 3 3 2" xfId="4040"/>
    <cellStyle name="差_A0汇总表（报计财科：项目津贴发放） 3 4" xfId="4041"/>
    <cellStyle name="差_A0汇总表（报计财科：项目津贴发放） 3 4 2" xfId="4042"/>
    <cellStyle name="差_A0汇总表（报计财科：项目津贴发放） 3 5" xfId="4043"/>
    <cellStyle name="差_A0汇总表（报计财科：项目津贴发放） 4" xfId="4044"/>
    <cellStyle name="差_A0汇总表（报计财科：项目津贴发放） 4 2" xfId="4045"/>
    <cellStyle name="差_A0汇总表（报计财科：项目津贴发放） 4 2 2" xfId="4046"/>
    <cellStyle name="差_A0汇总表（报计财科：项目津贴发放） 4 2 2 2" xfId="4047"/>
    <cellStyle name="差_A0汇总表（报计财科：项目津贴发放） 4 2 3" xfId="4048"/>
    <cellStyle name="差_A0汇总表（报计财科：项目津贴发放） 4 3" xfId="4049"/>
    <cellStyle name="差_A0汇总表（报计财科：项目津贴发放） 4 3 2" xfId="4050"/>
    <cellStyle name="差_A0汇总表（报计财科：项目津贴发放） 4 4" xfId="4051"/>
    <cellStyle name="差_A0汇总表（报计财科：项目津贴发放） 4 4 2" xfId="4052"/>
    <cellStyle name="差_A0汇总表（报计财科：项目津贴发放） 4 5" xfId="4053"/>
    <cellStyle name="差_A0汇总表（报计财科：项目津贴发放） 5" xfId="4054"/>
    <cellStyle name="差_A0汇总表（报计财科：项目津贴发放） 5 2" xfId="4055"/>
    <cellStyle name="差_A0汇总表（报计财科：项目津贴发放） 5 2 2" xfId="4056"/>
    <cellStyle name="差_A0汇总表（报计财科：项目津贴发放） 5 3" xfId="4057"/>
    <cellStyle name="差_A0汇总表（报计财科：项目津贴发放） 6" xfId="4058"/>
    <cellStyle name="差_A0汇总表（报计财科：项目津贴发放） 6 2" xfId="4059"/>
    <cellStyle name="差_A0汇总表（报计财科：项目津贴发放） 7" xfId="4060"/>
    <cellStyle name="差_A0汇总表（报计财科：项目津贴发放） 7 2" xfId="4061"/>
    <cellStyle name="差_A0汇总表（报计财科：项目津贴发放） 8" xfId="4062"/>
    <cellStyle name="差_A0汇总表（报计财科：项目津贴发放） 8 2" xfId="4063"/>
    <cellStyle name="差_A0汇总表（报计财科：项目津贴发放） 9" xfId="4064"/>
    <cellStyle name="差_统筹-校长（暂估）" xfId="4065"/>
    <cellStyle name="差_统筹-校长（暂估） 2" xfId="4066"/>
    <cellStyle name="差_统筹-校长（暂估） 2 2" xfId="4067"/>
    <cellStyle name="差_统筹-校长（暂估） 2 2 2" xfId="4068"/>
    <cellStyle name="差_统筹-校长（暂估） 2 2 2 2" xfId="4069"/>
    <cellStyle name="差_统筹-校长（暂估） 2 2 2 2 2" xfId="4070"/>
    <cellStyle name="差_统筹-校长（暂估） 2 2 2 3" xfId="4071"/>
    <cellStyle name="差_统筹-校长（暂估） 2 2 3" xfId="4072"/>
    <cellStyle name="差_统筹-校长（暂估） 2 2 3 2" xfId="4073"/>
    <cellStyle name="差_统筹-校长（暂估） 2 2 4" xfId="4074"/>
    <cellStyle name="差_统筹-校长（暂估） 2 2 4 2" xfId="4075"/>
    <cellStyle name="差_统筹-校长（暂估） 2 2 5" xfId="4076"/>
    <cellStyle name="差_统筹-校长（暂估） 2 3" xfId="4077"/>
    <cellStyle name="差_统筹-校长（暂估） 2 3 2" xfId="4078"/>
    <cellStyle name="差_统筹-校长（暂估） 2 3 2 2" xfId="4079"/>
    <cellStyle name="差_统筹-校长（暂估） 2 3 3" xfId="4080"/>
    <cellStyle name="差_统筹-校长（暂估） 2 4" xfId="4081"/>
    <cellStyle name="差_统筹-校长（暂估） 2 4 2" xfId="4082"/>
    <cellStyle name="差_统筹-校长（暂估） 2 5" xfId="4083"/>
    <cellStyle name="差_统筹-校长（暂估） 2 5 2" xfId="4084"/>
    <cellStyle name="差_统筹-校长（暂估） 2 6" xfId="4085"/>
    <cellStyle name="差_统筹-校长（暂估） 3" xfId="4086"/>
    <cellStyle name="差_统筹-校长（暂估） 3 2" xfId="4087"/>
    <cellStyle name="差_统筹-校长（暂估） 3 2 2" xfId="4088"/>
    <cellStyle name="差_统筹-校长（暂估） 3 2 2 2" xfId="4089"/>
    <cellStyle name="差_统筹-校长（暂估） 3 2 3" xfId="4090"/>
    <cellStyle name="差_统筹-校长（暂估） 3 3" xfId="4091"/>
    <cellStyle name="差_统筹-校长（暂估） 3 3 2" xfId="4092"/>
    <cellStyle name="差_统筹-校长（暂估） 3 4" xfId="4093"/>
    <cellStyle name="差_统筹-校长（暂估） 3 4 2" xfId="4094"/>
    <cellStyle name="差_统筹-校长（暂估） 3 5" xfId="4095"/>
    <cellStyle name="差_统筹-校长（暂估） 4" xfId="4096"/>
    <cellStyle name="差_统筹-校长（暂估） 4 2" xfId="4097"/>
    <cellStyle name="差_统筹-校长（暂估） 4 2 2" xfId="4098"/>
    <cellStyle name="差_统筹-校长（暂估） 4 2 2 2" xfId="4099"/>
    <cellStyle name="差_统筹-校长（暂估） 4 2 3" xfId="4100"/>
    <cellStyle name="差_统筹-校长（暂估） 4 3" xfId="4101"/>
    <cellStyle name="差_统筹-校长（暂估） 4 3 2" xfId="4102"/>
    <cellStyle name="差_统筹-校长（暂估） 4 4" xfId="4103"/>
    <cellStyle name="差_统筹-校长（暂估） 4 4 2" xfId="4104"/>
    <cellStyle name="差_统筹-校长（暂估） 4 5" xfId="4105"/>
    <cellStyle name="差_统筹-校长（暂估） 5" xfId="4106"/>
    <cellStyle name="差_统筹-校长（暂估） 5 2" xfId="4107"/>
    <cellStyle name="差_统筹-校长（暂估） 5 2 2" xfId="4108"/>
    <cellStyle name="差_统筹-校长（暂估） 5 3" xfId="4109"/>
    <cellStyle name="差_统筹-校长（暂估） 6" xfId="4110"/>
    <cellStyle name="差_统筹-校长（暂估） 6 2" xfId="4111"/>
    <cellStyle name="差_统筹-校长（暂估） 7" xfId="4112"/>
    <cellStyle name="差_统筹-校长（暂估） 7 2" xfId="4113"/>
    <cellStyle name="差_统筹-校长（暂估） 8" xfId="4114"/>
    <cellStyle name="差_统筹-校长（暂估） 8 2" xfId="4115"/>
    <cellStyle name="差_统筹-校长（暂估） 9" xfId="4116"/>
    <cellStyle name="差_校长、书记2015年增量部分发放清单" xfId="4117"/>
    <cellStyle name="差_校长、书记2015年增量部分发放清单 2" xfId="4118"/>
    <cellStyle name="差_校长、书记2015年增量部分发放清单 2 2" xfId="4119"/>
    <cellStyle name="差_校长、书记2015年增量部分发放清单 2 2 2" xfId="4120"/>
    <cellStyle name="差_校长、书记2015年增量部分发放清单 2 2 2 2" xfId="4121"/>
    <cellStyle name="差_校长、书记2015年增量部分发放清单 2 2 2 2 2" xfId="4122"/>
    <cellStyle name="差_校长、书记2015年增量部分发放清单 2 2 2 3" xfId="4123"/>
    <cellStyle name="差_校长、书记2015年增量部分发放清单 2 2 3" xfId="4124"/>
    <cellStyle name="差_校长、书记2015年增量部分发放清单 2 2 3 2" xfId="4125"/>
    <cellStyle name="差_校长、书记2015年增量部分发放清单 2 2 4" xfId="4126"/>
    <cellStyle name="差_校长、书记2015年增量部分发放清单 2 2 4 2" xfId="4127"/>
    <cellStyle name="差_校长、书记2015年增量部分发放清单 2 2 5" xfId="4128"/>
    <cellStyle name="差_校长、书记2015年增量部分发放清单 2 3" xfId="4129"/>
    <cellStyle name="差_校长、书记2015年增量部分发放清单 2 3 2" xfId="4130"/>
    <cellStyle name="差_校长、书记2015年增量部分发放清单 2 3 2 2" xfId="4131"/>
    <cellStyle name="差_校长、书记2015年增量部分发放清单 2 3 3" xfId="4132"/>
    <cellStyle name="差_校长、书记2015年增量部分发放清单 2 4" xfId="4133"/>
    <cellStyle name="差_校长、书记2015年增量部分发放清单 2 4 2" xfId="4134"/>
    <cellStyle name="差_校长、书记2015年增量部分发放清单 2 5" xfId="4135"/>
    <cellStyle name="差_校长、书记2015年增量部分发放清单 2 5 2" xfId="4136"/>
    <cellStyle name="差_校长、书记2015年增量部分发放清单 2 6" xfId="4137"/>
    <cellStyle name="差_校长、书记2015年增量部分发放清单 3" xfId="4138"/>
    <cellStyle name="差_校长、书记2015年增量部分发放清单 3 2" xfId="4139"/>
    <cellStyle name="差_校长、书记2015年增量部分发放清单 3 2 2" xfId="4140"/>
    <cellStyle name="差_校长、书记2015年增量部分发放清单 3 2 2 2" xfId="4141"/>
    <cellStyle name="差_校长、书记2015年增量部分发放清单 3 2 3" xfId="4142"/>
    <cellStyle name="差_校长、书记2015年增量部分发放清单 3 3" xfId="4143"/>
    <cellStyle name="差_校长、书记2015年增量部分发放清单 3 3 2" xfId="4144"/>
    <cellStyle name="差_校长、书记2015年增量部分发放清单 3 4" xfId="4145"/>
    <cellStyle name="差_校长、书记2015年增量部分发放清单 3 4 2" xfId="4146"/>
    <cellStyle name="差_校长、书记2015年增量部分发放清单 3 5" xfId="4147"/>
    <cellStyle name="差_校长、书记2015年增量部分发放清单 4" xfId="4148"/>
    <cellStyle name="差_校长、书记2015年增量部分发放清单 4 2" xfId="4149"/>
    <cellStyle name="差_校长、书记2015年增量部分发放清单 4 2 2" xfId="4150"/>
    <cellStyle name="差_校长、书记2015年增量部分发放清单 4 2 2 2" xfId="4151"/>
    <cellStyle name="差_校长、书记2015年增量部分发放清单 4 2 3" xfId="4152"/>
    <cellStyle name="差_校长、书记2015年增量部分发放清单 4 3" xfId="4153"/>
    <cellStyle name="差_校长、书记2015年增量部分发放清单 4 3 2" xfId="4154"/>
    <cellStyle name="差_校长、书记2015年增量部分发放清单 4 4" xfId="4155"/>
    <cellStyle name="差_校长、书记2015年增量部分发放清单 4 4 2" xfId="4156"/>
    <cellStyle name="差_校长、书记2015年增量部分发放清单 4 5" xfId="4157"/>
    <cellStyle name="差_校长、书记2015年增量部分发放清单 5" xfId="4158"/>
    <cellStyle name="差_校长、书记2015年增量部分发放清单 5 2" xfId="4159"/>
    <cellStyle name="差_校长、书记2015年增量部分发放清单 5 2 2" xfId="4160"/>
    <cellStyle name="差_校长、书记2015年增量部分发放清单 5 3" xfId="4161"/>
    <cellStyle name="差_校长、书记2015年增量部分发放清单 6" xfId="4162"/>
    <cellStyle name="差_校长、书记2015年增量部分发放清单 6 2" xfId="4163"/>
    <cellStyle name="差_校长、书记2015年增量部分发放清单 7" xfId="4164"/>
    <cellStyle name="差_校长、书记2015年增量部分发放清单 7 2" xfId="4165"/>
    <cellStyle name="差_校长、书记2015年增量部分发放清单 8" xfId="4166"/>
    <cellStyle name="差_校长、书记2015年增量部分发放清单 8 2" xfId="4167"/>
    <cellStyle name="差_校长、书记2015年增量部分发放清单 9" xfId="4168"/>
    <cellStyle name="差_校长职级、亚信会奖励、教师节奖励镇管" xfId="4169"/>
    <cellStyle name="差_校长职级、亚信会奖励、教师节奖励镇管 2" xfId="4170"/>
    <cellStyle name="差_校长职级、亚信会奖励、教师节奖励镇管 2 2" xfId="4171"/>
    <cellStyle name="差_校长职级、亚信会奖励、教师节奖励镇管 2 2 2" xfId="4172"/>
    <cellStyle name="差_校长职级、亚信会奖励、教师节奖励镇管 2 2 2 2" xfId="4173"/>
    <cellStyle name="差_校长职级、亚信会奖励、教师节奖励镇管 2 2 2 2 2" xfId="4174"/>
    <cellStyle name="差_校长职级、亚信会奖励、教师节奖励镇管 2 2 2 3" xfId="4175"/>
    <cellStyle name="差_校长职级、亚信会奖励、教师节奖励镇管 2 2 3" xfId="4176"/>
    <cellStyle name="差_校长职级、亚信会奖励、教师节奖励镇管 2 2 3 2" xfId="4177"/>
    <cellStyle name="差_校长职级、亚信会奖励、教师节奖励镇管 2 2 4" xfId="4178"/>
    <cellStyle name="差_校长职级、亚信会奖励、教师节奖励镇管 2 2 4 2" xfId="4179"/>
    <cellStyle name="差_校长职级、亚信会奖励、教师节奖励镇管 2 2 5" xfId="4180"/>
    <cellStyle name="差_校长职级、亚信会奖励、教师节奖励镇管 2 3" xfId="4181"/>
    <cellStyle name="差_校长职级、亚信会奖励、教师节奖励镇管 2 3 2" xfId="4182"/>
    <cellStyle name="差_校长职级、亚信会奖励、教师节奖励镇管 2 3 2 2" xfId="4183"/>
    <cellStyle name="差_校长职级、亚信会奖励、教师节奖励镇管 2 3 3" xfId="4184"/>
    <cellStyle name="差_校长职级、亚信会奖励、教师节奖励镇管 2 4" xfId="4185"/>
    <cellStyle name="差_校长职级、亚信会奖励、教师节奖励镇管 2 4 2" xfId="4186"/>
    <cellStyle name="差_校长职级、亚信会奖励、教师节奖励镇管 2 5" xfId="4187"/>
    <cellStyle name="差_校长职级、亚信会奖励、教师节奖励镇管 2 5 2" xfId="4188"/>
    <cellStyle name="差_校长职级、亚信会奖励、教师节奖励镇管 2 6" xfId="4189"/>
    <cellStyle name="差_校长职级、亚信会奖励、教师节奖励镇管 3" xfId="4190"/>
    <cellStyle name="差_校长职级、亚信会奖励、教师节奖励镇管 3 2" xfId="4191"/>
    <cellStyle name="差_校长职级、亚信会奖励、教师节奖励镇管 3 2 2" xfId="4192"/>
    <cellStyle name="差_校长职级、亚信会奖励、教师节奖励镇管 3 2 2 2" xfId="4193"/>
    <cellStyle name="差_校长职级、亚信会奖励、教师节奖励镇管 3 2 3" xfId="4194"/>
    <cellStyle name="差_校长职级、亚信会奖励、教师节奖励镇管 3 3" xfId="4195"/>
    <cellStyle name="差_校长职级、亚信会奖励、教师节奖励镇管 3 3 2" xfId="4196"/>
    <cellStyle name="差_校长职级、亚信会奖励、教师节奖励镇管 3 4" xfId="4197"/>
    <cellStyle name="差_校长职级、亚信会奖励、教师节奖励镇管 3 4 2" xfId="4198"/>
    <cellStyle name="差_校长职级、亚信会奖励、教师节奖励镇管 3 5" xfId="4199"/>
    <cellStyle name="差_校长职级、亚信会奖励、教师节奖励镇管 4" xfId="4200"/>
    <cellStyle name="差_校长职级、亚信会奖励、教师节奖励镇管 4 2" xfId="4201"/>
    <cellStyle name="差_校长职级、亚信会奖励、教师节奖励镇管 4 2 2" xfId="4202"/>
    <cellStyle name="差_校长职级、亚信会奖励、教师节奖励镇管 4 2 2 2" xfId="4203"/>
    <cellStyle name="差_校长职级、亚信会奖励、教师节奖励镇管 4 2 3" xfId="4204"/>
    <cellStyle name="差_校长职级、亚信会奖励、教师节奖励镇管 4 3" xfId="4205"/>
    <cellStyle name="差_校长职级、亚信会奖励、教师节奖励镇管 4 3 2" xfId="4206"/>
    <cellStyle name="差_校长职级、亚信会奖励、教师节奖励镇管 4 4" xfId="4207"/>
    <cellStyle name="差_校长职级、亚信会奖励、教师节奖励镇管 4 4 2" xfId="4208"/>
    <cellStyle name="差_校长职级、亚信会奖励、教师节奖励镇管 4 5" xfId="4209"/>
    <cellStyle name="差_校长职级、亚信会奖励、教师节奖励镇管 5" xfId="4210"/>
    <cellStyle name="差_校长职级、亚信会奖励、教师节奖励镇管 5 2" xfId="4211"/>
    <cellStyle name="差_校长职级、亚信会奖励、教师节奖励镇管 5 2 2" xfId="4212"/>
    <cellStyle name="差_校长职级、亚信会奖励、教师节奖励镇管 5 3" xfId="4213"/>
    <cellStyle name="差_校长职级、亚信会奖励、教师节奖励镇管 6" xfId="4214"/>
    <cellStyle name="差_校长职级、亚信会奖励、教师节奖励镇管 6 2" xfId="4215"/>
    <cellStyle name="差_校长职级、亚信会奖励、教师节奖励镇管 7" xfId="4216"/>
    <cellStyle name="差_校长职级、亚信会奖励、教师节奖励镇管 7 2" xfId="4217"/>
    <cellStyle name="差_校长职级、亚信会奖励、教师节奖励镇管 8" xfId="4218"/>
    <cellStyle name="差_校长职级、亚信会奖励、教师节奖励镇管 8 2" xfId="4219"/>
    <cellStyle name="差_校长职级、亚信会奖励、教师节奖励镇管 9" xfId="4220"/>
    <cellStyle name="差_镇管汇总" xfId="4221"/>
    <cellStyle name="差_镇管汇总 2" xfId="4222"/>
    <cellStyle name="差_镇管汇总 2 2" xfId="4223"/>
    <cellStyle name="差_镇管汇总 2 2 2" xfId="4224"/>
    <cellStyle name="差_镇管汇总 2 2 2 2" xfId="4225"/>
    <cellStyle name="差_镇管汇总 2 2 2 2 2" xfId="4226"/>
    <cellStyle name="差_镇管汇总 2 2 2 3" xfId="4227"/>
    <cellStyle name="差_镇管汇总 2 2 3" xfId="4228"/>
    <cellStyle name="差_镇管汇总 2 2 3 2" xfId="4229"/>
    <cellStyle name="差_镇管汇总 2 2 4" xfId="4230"/>
    <cellStyle name="差_镇管汇总 2 2 4 2" xfId="4231"/>
    <cellStyle name="差_镇管汇总 2 2 5" xfId="4232"/>
    <cellStyle name="差_镇管汇总 2 3" xfId="4233"/>
    <cellStyle name="差_镇管汇总 2 3 2" xfId="4234"/>
    <cellStyle name="差_镇管汇总 2 3 2 2" xfId="4235"/>
    <cellStyle name="差_镇管汇总 2 3 3" xfId="4236"/>
    <cellStyle name="差_镇管汇总 2 4" xfId="4237"/>
    <cellStyle name="差_镇管汇总 2 4 2" xfId="4238"/>
    <cellStyle name="差_镇管汇总 2 5" xfId="4239"/>
    <cellStyle name="差_镇管汇总 2 5 2" xfId="4240"/>
    <cellStyle name="差_镇管汇总 2 6" xfId="4241"/>
    <cellStyle name="差_镇管汇总 3" xfId="4242"/>
    <cellStyle name="差_镇管汇总 3 2" xfId="4243"/>
    <cellStyle name="差_镇管汇总 3 2 2" xfId="4244"/>
    <cellStyle name="差_镇管汇总 3 2 2 2" xfId="4245"/>
    <cellStyle name="差_镇管汇总 3 2 3" xfId="4246"/>
    <cellStyle name="差_镇管汇总 3 3" xfId="4247"/>
    <cellStyle name="差_镇管汇总 3 3 2" xfId="4248"/>
    <cellStyle name="差_镇管汇总 3 4" xfId="4249"/>
    <cellStyle name="差_镇管汇总 3 4 2" xfId="4250"/>
    <cellStyle name="差_镇管汇总 3 5" xfId="4251"/>
    <cellStyle name="差_镇管汇总 4" xfId="4252"/>
    <cellStyle name="差_镇管汇总 4 2" xfId="4253"/>
    <cellStyle name="差_镇管汇总 4 2 2" xfId="4254"/>
    <cellStyle name="差_镇管汇总 4 2 2 2" xfId="4255"/>
    <cellStyle name="差_镇管汇总 4 2 3" xfId="4256"/>
    <cellStyle name="差_镇管汇总 4 3" xfId="4257"/>
    <cellStyle name="差_镇管汇总 4 3 2" xfId="4258"/>
    <cellStyle name="差_镇管汇总 4 4" xfId="4259"/>
    <cellStyle name="差_镇管汇总 4 4 2" xfId="4260"/>
    <cellStyle name="差_镇管汇总 4 5" xfId="4261"/>
    <cellStyle name="差_镇管汇总 5" xfId="4262"/>
    <cellStyle name="差_镇管汇总 5 2" xfId="4263"/>
    <cellStyle name="差_镇管汇总 5 2 2" xfId="4264"/>
    <cellStyle name="差_镇管汇总 5 3" xfId="4265"/>
    <cellStyle name="差_镇管汇总 6" xfId="4266"/>
    <cellStyle name="差_镇管汇总 6 2" xfId="4267"/>
    <cellStyle name="差_镇管汇总 7" xfId="4268"/>
    <cellStyle name="差_镇管汇总 7 2" xfId="4269"/>
    <cellStyle name="差_镇管汇总 8" xfId="4270"/>
    <cellStyle name="差_镇管汇总 8 2" xfId="4271"/>
    <cellStyle name="差_镇管汇总 9" xfId="4272"/>
    <cellStyle name="常规" xfId="0" builtinId="0"/>
    <cellStyle name="常规 10" xfId="2"/>
    <cellStyle name="常规 10 10" xfId="9170"/>
    <cellStyle name="常规 10 10 2" xfId="9428"/>
    <cellStyle name="常规 10 11" xfId="4273"/>
    <cellStyle name="常规 10 2" xfId="18"/>
    <cellStyle name="常规 10 2 2" xfId="4275"/>
    <cellStyle name="常规 10 2 2 2" xfId="4276"/>
    <cellStyle name="常规 10 2 2 2 2" xfId="4277"/>
    <cellStyle name="常规 10 2 2 3" xfId="4278"/>
    <cellStyle name="常规 10 2 3" xfId="4279"/>
    <cellStyle name="常规 10 2 3 2" xfId="4280"/>
    <cellStyle name="常规 10 2 4" xfId="4281"/>
    <cellStyle name="常规 10 2 4 2" xfId="4282"/>
    <cellStyle name="常规 10 2 5" xfId="4283"/>
    <cellStyle name="常规 10 2 6" xfId="9186"/>
    <cellStyle name="常规 10 2 7" xfId="4274"/>
    <cellStyle name="常规 10 3" xfId="4284"/>
    <cellStyle name="常规 10 3 2" xfId="4285"/>
    <cellStyle name="常规 10 3 2 2" xfId="4286"/>
    <cellStyle name="常规 10 3 3" xfId="4287"/>
    <cellStyle name="常规 10 4" xfId="4288"/>
    <cellStyle name="常规 10 4 2" xfId="4289"/>
    <cellStyle name="常规 10 4 2 2" xfId="4290"/>
    <cellStyle name="常规 10 4 3" xfId="4291"/>
    <cellStyle name="常规 10 5" xfId="4292"/>
    <cellStyle name="常规 10 5 2" xfId="4293"/>
    <cellStyle name="常规 10 6" xfId="4294"/>
    <cellStyle name="常规 10 6 2" xfId="4295"/>
    <cellStyle name="常规 10 7" xfId="4296"/>
    <cellStyle name="常规 10 7 2" xfId="4297"/>
    <cellStyle name="常规 10 8" xfId="4298"/>
    <cellStyle name="常规 10 9" xfId="8886"/>
    <cellStyle name="常规 100" xfId="7"/>
    <cellStyle name="常规 100 2" xfId="12"/>
    <cellStyle name="常规 100 2 2" xfId="4300"/>
    <cellStyle name="常规 100 2 3" xfId="9297"/>
    <cellStyle name="常规 100 3" xfId="4299"/>
    <cellStyle name="常规 101" xfId="4"/>
    <cellStyle name="常规 101 2" xfId="9"/>
    <cellStyle name="常规 101 2 2" xfId="4303"/>
    <cellStyle name="常规 101 2 3" xfId="4302"/>
    <cellStyle name="常规 101 2 4" xfId="9296"/>
    <cellStyle name="常规 101 3" xfId="4304"/>
    <cellStyle name="常规 101 4" xfId="4301"/>
    <cellStyle name="常规 102" xfId="14"/>
    <cellStyle name="常规 102 2" xfId="4306"/>
    <cellStyle name="常规 102 3" xfId="4305"/>
    <cellStyle name="常规 102 4" xfId="9298"/>
    <cellStyle name="常规 103" xfId="4307"/>
    <cellStyle name="常规 103 2" xfId="4308"/>
    <cellStyle name="常规 104" xfId="4309"/>
    <cellStyle name="常规 104 2" xfId="4310"/>
    <cellStyle name="常规 104 2 2" xfId="4311"/>
    <cellStyle name="常规 104 3" xfId="4312"/>
    <cellStyle name="常规 105" xfId="4313"/>
    <cellStyle name="常规 105 2" xfId="4314"/>
    <cellStyle name="常规 106" xfId="4315"/>
    <cellStyle name="常规 107" xfId="8"/>
    <cellStyle name="常规 107 2" xfId="8587"/>
    <cellStyle name="常规 107 2 2" xfId="9299"/>
    <cellStyle name="常规 107 3" xfId="9295"/>
    <cellStyle name="常规 108" xfId="8589"/>
    <cellStyle name="常规 109" xfId="8598"/>
    <cellStyle name="常规 11" xfId="4316"/>
    <cellStyle name="常规 11 2" xfId="4317"/>
    <cellStyle name="常规 11 2 2" xfId="4318"/>
    <cellStyle name="常规 11 2 2 2" xfId="4319"/>
    <cellStyle name="常规 11 2 2 2 2" xfId="4320"/>
    <cellStyle name="常规 11 2 2 3" xfId="4321"/>
    <cellStyle name="常规 11 2 3" xfId="4322"/>
    <cellStyle name="常规 11 2 3 2" xfId="4323"/>
    <cellStyle name="常规 11 2 4" xfId="4324"/>
    <cellStyle name="常规 11 2 5" xfId="9187"/>
    <cellStyle name="常规 11 3" xfId="4325"/>
    <cellStyle name="常规 11 3 2" xfId="4326"/>
    <cellStyle name="常规 11 3 2 2" xfId="4327"/>
    <cellStyle name="常规 11 3 3" xfId="4328"/>
    <cellStyle name="常规 11 4" xfId="4329"/>
    <cellStyle name="常规 11 4 2" xfId="4330"/>
    <cellStyle name="常规 11 4 2 2" xfId="4331"/>
    <cellStyle name="常规 11 4 3" xfId="4332"/>
    <cellStyle name="常规 11 5" xfId="4333"/>
    <cellStyle name="常规 11 5 2" xfId="4334"/>
    <cellStyle name="常规 11 6" xfId="4335"/>
    <cellStyle name="常规 11 7" xfId="8887"/>
    <cellStyle name="常规 11 8" xfId="9168"/>
    <cellStyle name="常规 11 8 2" xfId="9427"/>
    <cellStyle name="常规 110" xfId="8599"/>
    <cellStyle name="常规 111" xfId="1"/>
    <cellStyle name="常规 111 2" xfId="21"/>
    <cellStyle name="常规 112" xfId="8882"/>
    <cellStyle name="常规 113" xfId="8948"/>
    <cellStyle name="常规 114" xfId="8959"/>
    <cellStyle name="常规 115" xfId="8962"/>
    <cellStyle name="常规 116" xfId="8996"/>
    <cellStyle name="常规 117" xfId="9000"/>
    <cellStyle name="常规 118" xfId="9001"/>
    <cellStyle name="常规 119" xfId="9002"/>
    <cellStyle name="常规 12" xfId="4336"/>
    <cellStyle name="常规 12 2" xfId="4337"/>
    <cellStyle name="常规 12 2 2" xfId="4338"/>
    <cellStyle name="常规 12 2 2 2" xfId="4339"/>
    <cellStyle name="常规 12 2 2 2 2" xfId="4340"/>
    <cellStyle name="常规 12 2 2 3" xfId="4341"/>
    <cellStyle name="常规 12 2 3" xfId="4342"/>
    <cellStyle name="常规 12 2 3 2" xfId="4343"/>
    <cellStyle name="常规 12 2 4" xfId="4344"/>
    <cellStyle name="常规 12 2 4 2" xfId="4345"/>
    <cellStyle name="常规 12 2 5" xfId="4346"/>
    <cellStyle name="常规 12 3" xfId="4347"/>
    <cellStyle name="常规 12 3 2" xfId="4348"/>
    <cellStyle name="常规 12 3 2 2" xfId="4349"/>
    <cellStyle name="常规 12 3 3" xfId="4350"/>
    <cellStyle name="常规 12 4" xfId="4351"/>
    <cellStyle name="常规 12 4 2" xfId="4352"/>
    <cellStyle name="常规 12 4 2 2" xfId="4353"/>
    <cellStyle name="常规 12 4 3" xfId="4354"/>
    <cellStyle name="常规 12 5" xfId="4355"/>
    <cellStyle name="常规 12 5 2" xfId="4356"/>
    <cellStyle name="常规 12 6" xfId="4357"/>
    <cellStyle name="常规 12 6 2" xfId="4358"/>
    <cellStyle name="常规 12 7" xfId="4359"/>
    <cellStyle name="常规 12 8" xfId="9179"/>
    <cellStyle name="常规 120" xfId="9003"/>
    <cellStyle name="常规 121" xfId="9004"/>
    <cellStyle name="常规 122" xfId="9005"/>
    <cellStyle name="常规 123" xfId="9006"/>
    <cellStyle name="常规 124" xfId="9007"/>
    <cellStyle name="常规 125" xfId="9008"/>
    <cellStyle name="常规 126" xfId="9009"/>
    <cellStyle name="常规 127" xfId="9010"/>
    <cellStyle name="常规 128" xfId="9011"/>
    <cellStyle name="常规 129" xfId="9012"/>
    <cellStyle name="常规 13" xfId="6"/>
    <cellStyle name="常规 13 2" xfId="11"/>
    <cellStyle name="常规 13 2 2" xfId="4362"/>
    <cellStyle name="常规 13 2 2 2" xfId="4363"/>
    <cellStyle name="常规 13 2 3" xfId="4364"/>
    <cellStyle name="常规 13 2 4" xfId="4361"/>
    <cellStyle name="常规 13 3" xfId="4365"/>
    <cellStyle name="常规 13 3 2" xfId="4366"/>
    <cellStyle name="常规 13 4" xfId="4367"/>
    <cellStyle name="常规 13 4 2" xfId="4368"/>
    <cellStyle name="常规 13 5" xfId="4369"/>
    <cellStyle name="常规 13 6" xfId="8973"/>
    <cellStyle name="常规 13 6 2" xfId="9418"/>
    <cellStyle name="常规 13 7" xfId="4360"/>
    <cellStyle name="常规 13 8" xfId="9263"/>
    <cellStyle name="常规 13 8 2" xfId="9458"/>
    <cellStyle name="常规 130" xfId="9013"/>
    <cellStyle name="常规 131" xfId="9014"/>
    <cellStyle name="常规 132" xfId="9015"/>
    <cellStyle name="常规 133" xfId="9016"/>
    <cellStyle name="常规 134" xfId="9017"/>
    <cellStyle name="常规 135" xfId="9018"/>
    <cellStyle name="常规 136" xfId="9019"/>
    <cellStyle name="常规 137" xfId="9020"/>
    <cellStyle name="常规 138" xfId="9021"/>
    <cellStyle name="常规 139" xfId="9022"/>
    <cellStyle name="常规 14" xfId="4370"/>
    <cellStyle name="常规 14 2" xfId="4371"/>
    <cellStyle name="常规 14 2 2" xfId="4372"/>
    <cellStyle name="常规 14 2 2 2" xfId="4373"/>
    <cellStyle name="常规 14 2 3" xfId="4374"/>
    <cellStyle name="常规 14 3" xfId="4375"/>
    <cellStyle name="常规 14 3 2" xfId="4376"/>
    <cellStyle name="常规 14 4" xfId="4377"/>
    <cellStyle name="常规 14 4 2" xfId="4378"/>
    <cellStyle name="常规 14 5" xfId="4379"/>
    <cellStyle name="常规 14 6" xfId="8885"/>
    <cellStyle name="常规 140" xfId="9023"/>
    <cellStyle name="常规 141" xfId="9024"/>
    <cellStyle name="常规 142" xfId="9025"/>
    <cellStyle name="常规 143" xfId="9026"/>
    <cellStyle name="常规 144" xfId="9027"/>
    <cellStyle name="常规 145" xfId="9028"/>
    <cellStyle name="常规 146" xfId="9029"/>
    <cellStyle name="常规 147" xfId="9030"/>
    <cellStyle name="常规 148" xfId="9031"/>
    <cellStyle name="常规 149" xfId="9032"/>
    <cellStyle name="常规 15" xfId="4380"/>
    <cellStyle name="常规 15 2" xfId="4381"/>
    <cellStyle name="常规 15 2 2" xfId="4382"/>
    <cellStyle name="常规 15 2 2 2" xfId="4383"/>
    <cellStyle name="常规 15 2 3" xfId="4384"/>
    <cellStyle name="常规 15 3" xfId="4385"/>
    <cellStyle name="常规 15 3 2" xfId="4386"/>
    <cellStyle name="常规 15 4" xfId="4387"/>
    <cellStyle name="常规 15 4 2" xfId="4388"/>
    <cellStyle name="常规 15 5" xfId="4389"/>
    <cellStyle name="常规 15 6" xfId="8898"/>
    <cellStyle name="常规 150" xfId="9033"/>
    <cellStyle name="常规 151" xfId="9034"/>
    <cellStyle name="常规 152" xfId="9035"/>
    <cellStyle name="常规 153" xfId="9036"/>
    <cellStyle name="常规 154" xfId="9037"/>
    <cellStyle name="常规 155" xfId="9038"/>
    <cellStyle name="常规 156" xfId="9039"/>
    <cellStyle name="常规 157" xfId="9040"/>
    <cellStyle name="常规 158" xfId="9041"/>
    <cellStyle name="常规 159" xfId="9042"/>
    <cellStyle name="常规 16" xfId="4390"/>
    <cellStyle name="常规 16 2" xfId="4391"/>
    <cellStyle name="常规 16 2 2" xfId="4392"/>
    <cellStyle name="常规 16 2 2 2" xfId="4393"/>
    <cellStyle name="常规 16 2 3" xfId="4394"/>
    <cellStyle name="常规 16 3" xfId="4395"/>
    <cellStyle name="常规 16 3 2" xfId="4396"/>
    <cellStyle name="常规 16 4" xfId="4397"/>
    <cellStyle name="常规 16 4 2" xfId="4398"/>
    <cellStyle name="常规 16 5" xfId="4399"/>
    <cellStyle name="常规 160" xfId="9043"/>
    <cellStyle name="常规 161" xfId="9044"/>
    <cellStyle name="常规 162" xfId="9045"/>
    <cellStyle name="常规 163" xfId="9046"/>
    <cellStyle name="常规 164" xfId="9047"/>
    <cellStyle name="常规 165" xfId="9048"/>
    <cellStyle name="常规 166" xfId="9049"/>
    <cellStyle name="常规 167" xfId="9050"/>
    <cellStyle name="常规 168" xfId="9051"/>
    <cellStyle name="常规 169" xfId="9052"/>
    <cellStyle name="常规 17" xfId="4400"/>
    <cellStyle name="常规 17 2" xfId="4401"/>
    <cellStyle name="常规 17 2 2" xfId="4402"/>
    <cellStyle name="常规 17 2 2 2" xfId="4403"/>
    <cellStyle name="常规 17 2 3" xfId="4404"/>
    <cellStyle name="常规 17 3" xfId="4405"/>
    <cellStyle name="常规 17 3 2" xfId="4406"/>
    <cellStyle name="常规 17 4" xfId="4407"/>
    <cellStyle name="常规 17 4 2" xfId="4408"/>
    <cellStyle name="常规 17 5" xfId="4409"/>
    <cellStyle name="常规 17 6" xfId="8597"/>
    <cellStyle name="常规 170" xfId="9053"/>
    <cellStyle name="常规 171" xfId="9054"/>
    <cellStyle name="常规 172" xfId="9055"/>
    <cellStyle name="常规 173" xfId="9056"/>
    <cellStyle name="常规 174" xfId="9057"/>
    <cellStyle name="常规 175" xfId="9058"/>
    <cellStyle name="常规 176" xfId="9059"/>
    <cellStyle name="常规 177" xfId="9060"/>
    <cellStyle name="常规 178" xfId="9061"/>
    <cellStyle name="常规 179" xfId="9062"/>
    <cellStyle name="常规 18" xfId="4410"/>
    <cellStyle name="常规 18 2" xfId="4411"/>
    <cellStyle name="常规 18 2 2" xfId="4412"/>
    <cellStyle name="常规 18 2 2 2" xfId="4413"/>
    <cellStyle name="常规 18 2 3" xfId="4414"/>
    <cellStyle name="常规 18 3" xfId="4415"/>
    <cellStyle name="常规 18 3 2" xfId="4416"/>
    <cellStyle name="常规 18 3 3" xfId="8593"/>
    <cellStyle name="常规 18 4" xfId="4417"/>
    <cellStyle name="常规 18 4 2" xfId="4418"/>
    <cellStyle name="常规 18 5" xfId="4419"/>
    <cellStyle name="常规 180" xfId="9063"/>
    <cellStyle name="常规 181" xfId="9064"/>
    <cellStyle name="常规 182" xfId="9065"/>
    <cellStyle name="常规 183" xfId="9066"/>
    <cellStyle name="常规 184" xfId="9067"/>
    <cellStyle name="常规 185" xfId="9068"/>
    <cellStyle name="常规 186" xfId="9069"/>
    <cellStyle name="常规 187" xfId="9070"/>
    <cellStyle name="常规 188" xfId="9071"/>
    <cellStyle name="常规 189" xfId="9072"/>
    <cellStyle name="常规 19" xfId="4420"/>
    <cellStyle name="常规 19 2" xfId="4421"/>
    <cellStyle name="常规 19 2 2" xfId="4422"/>
    <cellStyle name="常规 19 2 2 2" xfId="4423"/>
    <cellStyle name="常规 19 2 3" xfId="4424"/>
    <cellStyle name="常规 19 3" xfId="4425"/>
    <cellStyle name="常规 19 3 2" xfId="4426"/>
    <cellStyle name="常规 19 4" xfId="4427"/>
    <cellStyle name="常规 19 4 2" xfId="4428"/>
    <cellStyle name="常规 19 5" xfId="4429"/>
    <cellStyle name="常规 190" xfId="9073"/>
    <cellStyle name="常规 191" xfId="9074"/>
    <cellStyle name="常规 192" xfId="9075"/>
    <cellStyle name="常规 193" xfId="9076"/>
    <cellStyle name="常规 194" xfId="9077"/>
    <cellStyle name="常规 195" xfId="9078"/>
    <cellStyle name="常规 196" xfId="9079"/>
    <cellStyle name="常规 197" xfId="9080"/>
    <cellStyle name="常规 198" xfId="9081"/>
    <cellStyle name="常规 199" xfId="9082"/>
    <cellStyle name="常规 2" xfId="4430"/>
    <cellStyle name="常规 2 10" xfId="4431"/>
    <cellStyle name="常规 2 10 2" xfId="4432"/>
    <cellStyle name="常规 2 10 2 2" xfId="4433"/>
    <cellStyle name="常规 2 10 3" xfId="4434"/>
    <cellStyle name="常规 2 10 4" xfId="4435"/>
    <cellStyle name="常规 2 11" xfId="4436"/>
    <cellStyle name="常规 2 11 2" xfId="4437"/>
    <cellStyle name="常规 2 11 2 2" xfId="4438"/>
    <cellStyle name="常规 2 11 3" xfId="4439"/>
    <cellStyle name="常规 2 11 4" xfId="4440"/>
    <cellStyle name="常规 2 12" xfId="4441"/>
    <cellStyle name="常规 2 12 2" xfId="4442"/>
    <cellStyle name="常规 2 12 3" xfId="8596"/>
    <cellStyle name="常规 2 13" xfId="4443"/>
    <cellStyle name="常规 2 13 2" xfId="4444"/>
    <cellStyle name="常规 2 14" xfId="4445"/>
    <cellStyle name="常规 2 14 2" xfId="4446"/>
    <cellStyle name="常规 2 15" xfId="4447"/>
    <cellStyle name="常规 2 16" xfId="4448"/>
    <cellStyle name="常规 2 17" xfId="8600"/>
    <cellStyle name="常规 2 18" xfId="8756"/>
    <cellStyle name="常规 2 18 2" xfId="9367"/>
    <cellStyle name="常规 2 19" xfId="8883"/>
    <cellStyle name="常规 2 19 2" xfId="9394"/>
    <cellStyle name="常规 2 2" xfId="4449"/>
    <cellStyle name="常规 2 2 10" xfId="4450"/>
    <cellStyle name="常规 2 2 10 2" xfId="8907"/>
    <cellStyle name="常规 2 2 11" xfId="8757"/>
    <cellStyle name="常规 2 2 12" xfId="8910"/>
    <cellStyle name="常规 2 2 13" xfId="8975"/>
    <cellStyle name="常规 2 2 14" xfId="9188"/>
    <cellStyle name="常规 2 2 15" xfId="9214"/>
    <cellStyle name="常规 2 2 15 2" xfId="9438"/>
    <cellStyle name="常规 2 2 16" xfId="9223"/>
    <cellStyle name="常规 2 2 17" xfId="9264"/>
    <cellStyle name="常规 2 2 17 2" xfId="9459"/>
    <cellStyle name="常规 2 2 2" xfId="4451"/>
    <cellStyle name="常规 2 2 2 10" xfId="9265"/>
    <cellStyle name="常规 2 2 2 10 2" xfId="9460"/>
    <cellStyle name="常规 2 2 2 2" xfId="4452"/>
    <cellStyle name="常规 2 2 2 2 2" xfId="4453"/>
    <cellStyle name="常规 2 2 2 2 2 2" xfId="4454"/>
    <cellStyle name="常规 2 2 2 2 2 2 2" xfId="4455"/>
    <cellStyle name="常规 2 2 2 2 2 3" xfId="4456"/>
    <cellStyle name="常规 2 2 2 2 2 4" xfId="4457"/>
    <cellStyle name="常规 2 2 2 2 3" xfId="4458"/>
    <cellStyle name="常规 2 2 2 2 3 2" xfId="4459"/>
    <cellStyle name="常规 2 2 2 2 4" xfId="4460"/>
    <cellStyle name="常规 2 2 2 2 4 2" xfId="4461"/>
    <cellStyle name="常规 2 2 2 2 5" xfId="4462"/>
    <cellStyle name="常规 2 2 2 2 6" xfId="4463"/>
    <cellStyle name="常规 2 2 2 3" xfId="4464"/>
    <cellStyle name="常规 2 2 2 3 2" xfId="4465"/>
    <cellStyle name="常规 2 2 2 3 2 2" xfId="4466"/>
    <cellStyle name="常规 2 2 2 3 3" xfId="4467"/>
    <cellStyle name="常规 2 2 2 3 4" xfId="4468"/>
    <cellStyle name="常规 2 2 2 4" xfId="4469"/>
    <cellStyle name="常规 2 2 2 4 2" xfId="4470"/>
    <cellStyle name="常规 2 2 2 5" xfId="4471"/>
    <cellStyle name="常规 2 2 2 5 2" xfId="4472"/>
    <cellStyle name="常规 2 2 2 6" xfId="4473"/>
    <cellStyle name="常规 2 2 2 7" xfId="4474"/>
    <cellStyle name="常规 2 2 2 8" xfId="8891"/>
    <cellStyle name="常规 2 2 2 9" xfId="8976"/>
    <cellStyle name="常规 2 2 3" xfId="4475"/>
    <cellStyle name="常规 2 2 3 2" xfId="4476"/>
    <cellStyle name="常规 2 2 3 2 2" xfId="4477"/>
    <cellStyle name="常规 2 2 3 2 2 2" xfId="4478"/>
    <cellStyle name="常规 2 2 3 2 3" xfId="4479"/>
    <cellStyle name="常规 2 2 3 2 4" xfId="4480"/>
    <cellStyle name="常规 2 2 3 3" xfId="4481"/>
    <cellStyle name="常规 2 2 3 3 2" xfId="4482"/>
    <cellStyle name="常规 2 2 3 4" xfId="4483"/>
    <cellStyle name="常规 2 2 3 4 2" xfId="4484"/>
    <cellStyle name="常规 2 2 3 5" xfId="4485"/>
    <cellStyle name="常规 2 2 3 6" xfId="4486"/>
    <cellStyle name="常规 2 2 4" xfId="4487"/>
    <cellStyle name="常规 2 2 4 2" xfId="4488"/>
    <cellStyle name="常规 2 2 4 2 2" xfId="4489"/>
    <cellStyle name="常规 2 2 4 2 2 2" xfId="4490"/>
    <cellStyle name="常规 2 2 4 2 3" xfId="4491"/>
    <cellStyle name="常规 2 2 4 2 4" xfId="4492"/>
    <cellStyle name="常规 2 2 4 3" xfId="4493"/>
    <cellStyle name="常规 2 2 4 3 2" xfId="4494"/>
    <cellStyle name="常规 2 2 4 4" xfId="4495"/>
    <cellStyle name="常规 2 2 4 4 2" xfId="4496"/>
    <cellStyle name="常规 2 2 4 5" xfId="4497"/>
    <cellStyle name="常规 2 2 4 6" xfId="4498"/>
    <cellStyle name="常规 2 2 5" xfId="4499"/>
    <cellStyle name="常规 2 2 5 2" xfId="4500"/>
    <cellStyle name="常规 2 2 5 2 2" xfId="4501"/>
    <cellStyle name="常规 2 2 5 3" xfId="4502"/>
    <cellStyle name="常规 2 2 5 4" xfId="4503"/>
    <cellStyle name="常规 2 2 6" xfId="4504"/>
    <cellStyle name="常规 2 2 6 2" xfId="4505"/>
    <cellStyle name="常规 2 2 7" xfId="4506"/>
    <cellStyle name="常规 2 2 7 2" xfId="4507"/>
    <cellStyle name="常规 2 2 8" xfId="4508"/>
    <cellStyle name="常规 2 2 8 2" xfId="4509"/>
    <cellStyle name="常规 2 2 9" xfId="4510"/>
    <cellStyle name="常规 2 20" xfId="8960"/>
    <cellStyle name="常规 2 20 2" xfId="9416"/>
    <cellStyle name="常规 2 21" xfId="8974"/>
    <cellStyle name="常规 2 22" xfId="8997"/>
    <cellStyle name="常规 2 22 2" xfId="9425"/>
    <cellStyle name="常规 2 23" xfId="9171"/>
    <cellStyle name="常规 2 24" xfId="9210"/>
    <cellStyle name="常规 2 24 2" xfId="9435"/>
    <cellStyle name="常规 2 25" xfId="9217"/>
    <cellStyle name="常规 2 26" xfId="9222"/>
    <cellStyle name="常规 2 27" xfId="9246"/>
    <cellStyle name="常规 2 27 2" xfId="9441"/>
    <cellStyle name="常规 2 28" xfId="9250"/>
    <cellStyle name="常规 2 28 2" xfId="9445"/>
    <cellStyle name="常规 2 3" xfId="4511"/>
    <cellStyle name="常规 2 3 10" xfId="8977"/>
    <cellStyle name="常规 2 3 11" xfId="9224"/>
    <cellStyle name="常规 2 3 12" xfId="9266"/>
    <cellStyle name="常规 2 3 12 2" xfId="9461"/>
    <cellStyle name="常规 2 3 2" xfId="4512"/>
    <cellStyle name="常规 2 3 2 2" xfId="4513"/>
    <cellStyle name="常规 2 3 2 2 2" xfId="4514"/>
    <cellStyle name="常规 2 3 2 2 2 2" xfId="4515"/>
    <cellStyle name="常规 2 3 2 2 3" xfId="4516"/>
    <cellStyle name="常规 2 3 2 2 4" xfId="4517"/>
    <cellStyle name="常规 2 3 2 3" xfId="4518"/>
    <cellStyle name="常规 2 3 2 3 2" xfId="4519"/>
    <cellStyle name="常规 2 3 2 4" xfId="4520"/>
    <cellStyle name="常规 2 3 2 4 2" xfId="4521"/>
    <cellStyle name="常规 2 3 2 5" xfId="4522"/>
    <cellStyle name="常规 2 3 2 6" xfId="4523"/>
    <cellStyle name="常规 2 3 3" xfId="4524"/>
    <cellStyle name="常规 2 3 3 2" xfId="4525"/>
    <cellStyle name="常规 2 3 3 2 2" xfId="4526"/>
    <cellStyle name="常规 2 3 3 3" xfId="4527"/>
    <cellStyle name="常规 2 3 3 4" xfId="4528"/>
    <cellStyle name="常规 2 3 4" xfId="4529"/>
    <cellStyle name="常规 2 3 4 2" xfId="4530"/>
    <cellStyle name="常规 2 3 4 2 2" xfId="4531"/>
    <cellStyle name="常规 2 3 4 3" xfId="4532"/>
    <cellStyle name="常规 2 3 4 4" xfId="4533"/>
    <cellStyle name="常规 2 3 5" xfId="4534"/>
    <cellStyle name="常规 2 3 5 2" xfId="4535"/>
    <cellStyle name="常规 2 3 6" xfId="4536"/>
    <cellStyle name="常规 2 3 6 2" xfId="4537"/>
    <cellStyle name="常规 2 3 7" xfId="4538"/>
    <cellStyle name="常规 2 3 8" xfId="8758"/>
    <cellStyle name="常规 2 3 8 2" xfId="9368"/>
    <cellStyle name="常规 2 3 9" xfId="8915"/>
    <cellStyle name="常规 2 4" xfId="4539"/>
    <cellStyle name="常规 2 4 2" xfId="4540"/>
    <cellStyle name="常规 2 4 2 2" xfId="4541"/>
    <cellStyle name="常规 2 4 2 2 2" xfId="4542"/>
    <cellStyle name="常规 2 4 2 2 2 2" xfId="4543"/>
    <cellStyle name="常规 2 4 2 2 3" xfId="4544"/>
    <cellStyle name="常规 2 4 2 2 4" xfId="4545"/>
    <cellStyle name="常规 2 4 2 3" xfId="4546"/>
    <cellStyle name="常规 2 4 2 3 2" xfId="4547"/>
    <cellStyle name="常规 2 4 2 4" xfId="4548"/>
    <cellStyle name="常规 2 4 2 4 2" xfId="4549"/>
    <cellStyle name="常规 2 4 2 5" xfId="4550"/>
    <cellStyle name="常规 2 4 2 6" xfId="4551"/>
    <cellStyle name="常规 2 4 2 7" xfId="8916"/>
    <cellStyle name="常规 2 4 3" xfId="4552"/>
    <cellStyle name="常规 2 4 3 2" xfId="4553"/>
    <cellStyle name="常规 2 4 3 2 2" xfId="4554"/>
    <cellStyle name="常规 2 4 3 3" xfId="4555"/>
    <cellStyle name="常规 2 4 3 4" xfId="4556"/>
    <cellStyle name="常规 2 4 4" xfId="4557"/>
    <cellStyle name="常规 2 4 4 2" xfId="4558"/>
    <cellStyle name="常规 2 4 5" xfId="4559"/>
    <cellStyle name="常规 2 4 5 2" xfId="4560"/>
    <cellStyle name="常规 2 4 6" xfId="4561"/>
    <cellStyle name="常规 2 4 7" xfId="4562"/>
    <cellStyle name="常规 2 4 8" xfId="8894"/>
    <cellStyle name="常规 2 4 8 2" xfId="9395"/>
    <cellStyle name="常规 2 5" xfId="4563"/>
    <cellStyle name="常规 2 5 2" xfId="4564"/>
    <cellStyle name="常规 2 5 2 2" xfId="4565"/>
    <cellStyle name="常规 2 5 2 2 2" xfId="4566"/>
    <cellStyle name="常规 2 5 2 3" xfId="4567"/>
    <cellStyle name="常规 2 5 2 4" xfId="4568"/>
    <cellStyle name="常规 2 5 3" xfId="4569"/>
    <cellStyle name="常规 2 5 3 2" xfId="4570"/>
    <cellStyle name="常规 2 5 4" xfId="4571"/>
    <cellStyle name="常规 2 5 4 2" xfId="4572"/>
    <cellStyle name="常规 2 5 5" xfId="4573"/>
    <cellStyle name="常规 2 5 6" xfId="4574"/>
    <cellStyle name="常规 2 5 7" xfId="8978"/>
    <cellStyle name="常规 2 5 8" xfId="9267"/>
    <cellStyle name="常规 2 5 8 2" xfId="9462"/>
    <cellStyle name="常规 2 6" xfId="4575"/>
    <cellStyle name="常规 2 6 2" xfId="4576"/>
    <cellStyle name="常规 2 6 2 2" xfId="4577"/>
    <cellStyle name="常规 2 6 2 2 2" xfId="4578"/>
    <cellStyle name="常规 2 6 2 3" xfId="4579"/>
    <cellStyle name="常规 2 6 3" xfId="4580"/>
    <cellStyle name="常规 2 6 3 2" xfId="4581"/>
    <cellStyle name="常规 2 6 4" xfId="4582"/>
    <cellStyle name="常规 2 6 4 2" xfId="4583"/>
    <cellStyle name="常规 2 6 5" xfId="4584"/>
    <cellStyle name="常规 2 7" xfId="4585"/>
    <cellStyle name="常规 2 7 2" xfId="8892"/>
    <cellStyle name="常规 2 8" xfId="4586"/>
    <cellStyle name="常规 2 8 2" xfId="4587"/>
    <cellStyle name="常规 2 8 2 2" xfId="4588"/>
    <cellStyle name="常规 2 8 2 2 2" xfId="4589"/>
    <cellStyle name="常规 2 8 2 3" xfId="4590"/>
    <cellStyle name="常规 2 8 2 4" xfId="4591"/>
    <cellStyle name="常规 2 8 3" xfId="4592"/>
    <cellStyle name="常规 2 8 3 2" xfId="4593"/>
    <cellStyle name="常规 2 8 4" xfId="4594"/>
    <cellStyle name="常规 2 8 4 2" xfId="4595"/>
    <cellStyle name="常规 2 8 5" xfId="4596"/>
    <cellStyle name="常规 2 8 6" xfId="4597"/>
    <cellStyle name="常规 2 9" xfId="4598"/>
    <cellStyle name="常规 2 9 2" xfId="4599"/>
    <cellStyle name="常规 2 9 2 2" xfId="4600"/>
    <cellStyle name="常规 2 9 2 2 2" xfId="4601"/>
    <cellStyle name="常规 2 9 2 3" xfId="4602"/>
    <cellStyle name="常规 2 9 2 4" xfId="4603"/>
    <cellStyle name="常规 2 9 3" xfId="4604"/>
    <cellStyle name="常规 2 9 3 2" xfId="4605"/>
    <cellStyle name="常规 2 9 4" xfId="4606"/>
    <cellStyle name="常规 2 9 4 2" xfId="4607"/>
    <cellStyle name="常规 2 9 5" xfId="4608"/>
    <cellStyle name="常规 2 9 6" xfId="4609"/>
    <cellStyle name="常规 2_统筹-校长（暂估）" xfId="4610"/>
    <cellStyle name="常规 20" xfId="4611"/>
    <cellStyle name="常规 200" xfId="9083"/>
    <cellStyle name="常规 201" xfId="9084"/>
    <cellStyle name="常规 202" xfId="9085"/>
    <cellStyle name="常规 203" xfId="9086"/>
    <cellStyle name="常规 204" xfId="9087"/>
    <cellStyle name="常规 205" xfId="9088"/>
    <cellStyle name="常规 206" xfId="9089"/>
    <cellStyle name="常规 207" xfId="9090"/>
    <cellStyle name="常规 208" xfId="9091"/>
    <cellStyle name="常规 209" xfId="9092"/>
    <cellStyle name="常规 21" xfId="4612"/>
    <cellStyle name="常规 21 2" xfId="4613"/>
    <cellStyle name="常规 21 2 2" xfId="4614"/>
    <cellStyle name="常规 21 2 2 2" xfId="4615"/>
    <cellStyle name="常规 21 2 3" xfId="4616"/>
    <cellStyle name="常规 21 3" xfId="4617"/>
    <cellStyle name="常规 21 3 2" xfId="4618"/>
    <cellStyle name="常规 21 4" xfId="4619"/>
    <cellStyle name="常规 21 4 2" xfId="4620"/>
    <cellStyle name="常规 21 5" xfId="4621"/>
    <cellStyle name="常规 210" xfId="9093"/>
    <cellStyle name="常规 211" xfId="9094"/>
    <cellStyle name="常规 212" xfId="9095"/>
    <cellStyle name="常规 213" xfId="9096"/>
    <cellStyle name="常规 214" xfId="9097"/>
    <cellStyle name="常规 215" xfId="9098"/>
    <cellStyle name="常规 216" xfId="9099"/>
    <cellStyle name="常规 217" xfId="9100"/>
    <cellStyle name="常规 218" xfId="9101"/>
    <cellStyle name="常规 219" xfId="9102"/>
    <cellStyle name="常规 22" xfId="4622"/>
    <cellStyle name="常规 220" xfId="9103"/>
    <cellStyle name="常规 221" xfId="9104"/>
    <cellStyle name="常规 222" xfId="9105"/>
    <cellStyle name="常规 223" xfId="9106"/>
    <cellStyle name="常规 224" xfId="9107"/>
    <cellStyle name="常规 225" xfId="9108"/>
    <cellStyle name="常规 226" xfId="9109"/>
    <cellStyle name="常规 227" xfId="9110"/>
    <cellStyle name="常规 228" xfId="9111"/>
    <cellStyle name="常规 229" xfId="9112"/>
    <cellStyle name="常规 23" xfId="4623"/>
    <cellStyle name="常规 23 2" xfId="4624"/>
    <cellStyle name="常规 23 2 2" xfId="4625"/>
    <cellStyle name="常规 23 2 2 2" xfId="4626"/>
    <cellStyle name="常规 23 2 3" xfId="4627"/>
    <cellStyle name="常规 23 3" xfId="4628"/>
    <cellStyle name="常规 23 3 2" xfId="4629"/>
    <cellStyle name="常规 23 4" xfId="4630"/>
    <cellStyle name="常规 23 4 2" xfId="4631"/>
    <cellStyle name="常规 23 5" xfId="4632"/>
    <cellStyle name="常规 230" xfId="9113"/>
    <cellStyle name="常规 231" xfId="9114"/>
    <cellStyle name="常规 232" xfId="9115"/>
    <cellStyle name="常规 233" xfId="9116"/>
    <cellStyle name="常规 234" xfId="9117"/>
    <cellStyle name="常规 235" xfId="9118"/>
    <cellStyle name="常规 236" xfId="9119"/>
    <cellStyle name="常规 237" xfId="9120"/>
    <cellStyle name="常规 238" xfId="9121"/>
    <cellStyle name="常规 239" xfId="9122"/>
    <cellStyle name="常规 24" xfId="4633"/>
    <cellStyle name="常规 240" xfId="9123"/>
    <cellStyle name="常规 241" xfId="9124"/>
    <cellStyle name="常规 242" xfId="9125"/>
    <cellStyle name="常规 243" xfId="9126"/>
    <cellStyle name="常规 244" xfId="9127"/>
    <cellStyle name="常规 245" xfId="9128"/>
    <cellStyle name="常规 246" xfId="9129"/>
    <cellStyle name="常规 247" xfId="9130"/>
    <cellStyle name="常规 248" xfId="9131"/>
    <cellStyle name="常规 249" xfId="9132"/>
    <cellStyle name="常规 25" xfId="4634"/>
    <cellStyle name="常规 25 2" xfId="4635"/>
    <cellStyle name="常规 25 2 2" xfId="4636"/>
    <cellStyle name="常规 25 2 2 2" xfId="4637"/>
    <cellStyle name="常规 25 2 3" xfId="4638"/>
    <cellStyle name="常规 25 3" xfId="4639"/>
    <cellStyle name="常规 25 3 2" xfId="4640"/>
    <cellStyle name="常规 25 4" xfId="4641"/>
    <cellStyle name="常规 25 4 2" xfId="4642"/>
    <cellStyle name="常规 25 5" xfId="4643"/>
    <cellStyle name="常规 250" xfId="9133"/>
    <cellStyle name="常规 251" xfId="9134"/>
    <cellStyle name="常规 252" xfId="9135"/>
    <cellStyle name="常规 253" xfId="9136"/>
    <cellStyle name="常规 254" xfId="9137"/>
    <cellStyle name="常规 255" xfId="9138"/>
    <cellStyle name="常规 256" xfId="9139"/>
    <cellStyle name="常规 257" xfId="9140"/>
    <cellStyle name="常规 258" xfId="9141"/>
    <cellStyle name="常规 259" xfId="9142"/>
    <cellStyle name="常规 26" xfId="4644"/>
    <cellStyle name="常规 26 2" xfId="4645"/>
    <cellStyle name="常规 26 2 2" xfId="4646"/>
    <cellStyle name="常规 26 2 2 2" xfId="4647"/>
    <cellStyle name="常规 26 2 3" xfId="4648"/>
    <cellStyle name="常规 26 3" xfId="4649"/>
    <cellStyle name="常规 26 3 2" xfId="4650"/>
    <cellStyle name="常规 26 4" xfId="4651"/>
    <cellStyle name="常规 26 4 2" xfId="4652"/>
    <cellStyle name="常规 26 5" xfId="4653"/>
    <cellStyle name="常规 260" xfId="9143"/>
    <cellStyle name="常规 261" xfId="9144"/>
    <cellStyle name="常规 262" xfId="9145"/>
    <cellStyle name="常规 263" xfId="9146"/>
    <cellStyle name="常规 264" xfId="9147"/>
    <cellStyle name="常规 265" xfId="9148"/>
    <cellStyle name="常规 266" xfId="9149"/>
    <cellStyle name="常规 267" xfId="9150"/>
    <cellStyle name="常规 268" xfId="9151"/>
    <cellStyle name="常规 269" xfId="9152"/>
    <cellStyle name="常规 27" xfId="4654"/>
    <cellStyle name="常规 27 2" xfId="4655"/>
    <cellStyle name="常规 27 2 2" xfId="4656"/>
    <cellStyle name="常规 27 2 2 2" xfId="4657"/>
    <cellStyle name="常规 27 2 3" xfId="4658"/>
    <cellStyle name="常规 27 3" xfId="4659"/>
    <cellStyle name="常规 27 3 2" xfId="4660"/>
    <cellStyle name="常规 27 4" xfId="4661"/>
    <cellStyle name="常规 27 4 2" xfId="4662"/>
    <cellStyle name="常规 27 5" xfId="4663"/>
    <cellStyle name="常规 270" xfId="9153"/>
    <cellStyle name="常规 271" xfId="9154"/>
    <cellStyle name="常规 272" xfId="9155"/>
    <cellStyle name="常规 273" xfId="9156"/>
    <cellStyle name="常规 274" xfId="9157"/>
    <cellStyle name="常规 275" xfId="9158"/>
    <cellStyle name="常规 276" xfId="9159"/>
    <cellStyle name="常规 277" xfId="9160"/>
    <cellStyle name="常规 278" xfId="9161"/>
    <cellStyle name="常规 279" xfId="9162"/>
    <cellStyle name="常规 28" xfId="4664"/>
    <cellStyle name="常规 28 2" xfId="4665"/>
    <cellStyle name="常规 28 2 2" xfId="4666"/>
    <cellStyle name="常规 28 2 2 2" xfId="4667"/>
    <cellStyle name="常规 28 2 3" xfId="4668"/>
    <cellStyle name="常规 28 3" xfId="4669"/>
    <cellStyle name="常规 28 3 2" xfId="4670"/>
    <cellStyle name="常规 28 4" xfId="4671"/>
    <cellStyle name="常规 28 4 2" xfId="4672"/>
    <cellStyle name="常规 28 5" xfId="4673"/>
    <cellStyle name="常规 280" xfId="9163"/>
    <cellStyle name="常规 281" xfId="9164"/>
    <cellStyle name="常规 282" xfId="9165"/>
    <cellStyle name="常规 283" xfId="9166"/>
    <cellStyle name="常规 284" xfId="9167"/>
    <cellStyle name="常规 285" xfId="9194"/>
    <cellStyle name="常规 286" xfId="9195"/>
    <cellStyle name="常规 287" xfId="9197"/>
    <cellStyle name="常规 288" xfId="9196"/>
    <cellStyle name="常规 289" xfId="9198"/>
    <cellStyle name="常规 29" xfId="4674"/>
    <cellStyle name="常规 29 2" xfId="4675"/>
    <cellStyle name="常规 29 2 2" xfId="4676"/>
    <cellStyle name="常规 29 2 2 2" xfId="4677"/>
    <cellStyle name="常规 29 2 3" xfId="4678"/>
    <cellStyle name="常规 29 3" xfId="4679"/>
    <cellStyle name="常规 29 3 2" xfId="4680"/>
    <cellStyle name="常规 29 4" xfId="4681"/>
    <cellStyle name="常规 29 4 2" xfId="4682"/>
    <cellStyle name="常规 29 5" xfId="4683"/>
    <cellStyle name="常规 290" xfId="9201"/>
    <cellStyle name="常规 291" xfId="9199"/>
    <cellStyle name="常规 292" xfId="19"/>
    <cellStyle name="常规 293" xfId="20"/>
    <cellStyle name="常规 294" xfId="9206"/>
    <cellStyle name="常规 294 2" xfId="9213"/>
    <cellStyle name="常规 294 2 2" xfId="9437"/>
    <cellStyle name="常规 294 3" xfId="9218"/>
    <cellStyle name="常规 295" xfId="9203"/>
    <cellStyle name="常规 296" xfId="9205"/>
    <cellStyle name="常规 297" xfId="9204"/>
    <cellStyle name="常规 298" xfId="9216"/>
    <cellStyle name="常规 299" xfId="9220"/>
    <cellStyle name="常规 3" xfId="4684"/>
    <cellStyle name="常规 3 10" xfId="4685"/>
    <cellStyle name="常规 3 10 2" xfId="4686"/>
    <cellStyle name="常规 3 11" xfId="4687"/>
    <cellStyle name="常规 3 11 2" xfId="4688"/>
    <cellStyle name="常规 3 12" xfId="4689"/>
    <cellStyle name="常规 3 13" xfId="4690"/>
    <cellStyle name="常规 3 14" xfId="8759"/>
    <cellStyle name="常规 3 14 2" xfId="9369"/>
    <cellStyle name="常规 3 15" xfId="8896"/>
    <cellStyle name="常规 3 16" xfId="8961"/>
    <cellStyle name="常规 3 16 2" xfId="9417"/>
    <cellStyle name="常规 3 17" xfId="8979"/>
    <cellStyle name="常规 3 18" xfId="8998"/>
    <cellStyle name="常规 3 18 2" xfId="9426"/>
    <cellStyle name="常规 3 19" xfId="9211"/>
    <cellStyle name="常规 3 19 2" xfId="9436"/>
    <cellStyle name="常规 3 2" xfId="5"/>
    <cellStyle name="常规 3 2 10" xfId="4692"/>
    <cellStyle name="常规 3 2 10 2" xfId="4693"/>
    <cellStyle name="常规 3 2 11" xfId="4694"/>
    <cellStyle name="常规 3 2 12" xfId="8760"/>
    <cellStyle name="常规 3 2 12 2" xfId="9370"/>
    <cellStyle name="常规 3 2 13" xfId="8906"/>
    <cellStyle name="常规 3 2 14" xfId="8980"/>
    <cellStyle name="常规 3 2 15" xfId="9189"/>
    <cellStyle name="常规 3 2 16" xfId="4691"/>
    <cellStyle name="常规 3 2 17" xfId="9215"/>
    <cellStyle name="常规 3 2 17 2" xfId="9439"/>
    <cellStyle name="常规 3 2 18" xfId="9226"/>
    <cellStyle name="常规 3 2 19" xfId="9252"/>
    <cellStyle name="常规 3 2 19 2" xfId="9447"/>
    <cellStyle name="常规 3 2 2" xfId="10"/>
    <cellStyle name="常规 3 2 2 2" xfId="4696"/>
    <cellStyle name="常规 3 2 2 2 2" xfId="4697"/>
    <cellStyle name="常规 3 2 2 2 2 2" xfId="4698"/>
    <cellStyle name="常规 3 2 2 2 2 2 2" xfId="4699"/>
    <cellStyle name="常规 3 2 2 2 2 3" xfId="4700"/>
    <cellStyle name="常规 3 2 2 2 3" xfId="4701"/>
    <cellStyle name="常规 3 2 2 2 3 2" xfId="4702"/>
    <cellStyle name="常规 3 2 2 2 4" xfId="4703"/>
    <cellStyle name="常规 3 2 2 2 4 2" xfId="4704"/>
    <cellStyle name="常规 3 2 2 2 5" xfId="4705"/>
    <cellStyle name="常规 3 2 2 3" xfId="4706"/>
    <cellStyle name="常规 3 2 2 3 2" xfId="4707"/>
    <cellStyle name="常规 3 2 2 3 2 2" xfId="4708"/>
    <cellStyle name="常规 3 2 2 3 3" xfId="4709"/>
    <cellStyle name="常规 3 2 2 4" xfId="4710"/>
    <cellStyle name="常规 3 2 2 4 2" xfId="4711"/>
    <cellStyle name="常规 3 2 2 5" xfId="4712"/>
    <cellStyle name="常规 3 2 2 5 2" xfId="4713"/>
    <cellStyle name="常规 3 2 2 6" xfId="4714"/>
    <cellStyle name="常规 3 2 2 7" xfId="4695"/>
    <cellStyle name="常规 3 2 3" xfId="4715"/>
    <cellStyle name="常规 3 2 3 2" xfId="4716"/>
    <cellStyle name="常规 3 2 3 2 2" xfId="4717"/>
    <cellStyle name="常规 3 2 3 2 2 2" xfId="4718"/>
    <cellStyle name="常规 3 2 3 2 3" xfId="4719"/>
    <cellStyle name="常规 3 2 3 3" xfId="4720"/>
    <cellStyle name="常规 3 2 3 3 2" xfId="4721"/>
    <cellStyle name="常规 3 2 3 4" xfId="4722"/>
    <cellStyle name="常规 3 2 3 4 2" xfId="4723"/>
    <cellStyle name="常规 3 2 3 5" xfId="4724"/>
    <cellStyle name="常规 3 2 4" xfId="4725"/>
    <cellStyle name="常规 3 2 4 2" xfId="4726"/>
    <cellStyle name="常规 3 2 4 2 2" xfId="4727"/>
    <cellStyle name="常规 3 2 4 2 2 2" xfId="4728"/>
    <cellStyle name="常规 3 2 4 2 3" xfId="4729"/>
    <cellStyle name="常规 3 2 4 3" xfId="4730"/>
    <cellStyle name="常规 3 2 4 3 2" xfId="4731"/>
    <cellStyle name="常规 3 2 4 4" xfId="4732"/>
    <cellStyle name="常规 3 2 4 4 2" xfId="4733"/>
    <cellStyle name="常规 3 2 4 5" xfId="4734"/>
    <cellStyle name="常规 3 2 5" xfId="4735"/>
    <cellStyle name="常规 3 2 5 2" xfId="4736"/>
    <cellStyle name="常规 3 2 5 2 2" xfId="4737"/>
    <cellStyle name="常规 3 2 5 2 2 2" xfId="4738"/>
    <cellStyle name="常规 3 2 5 2 3" xfId="4739"/>
    <cellStyle name="常规 3 2 5 3" xfId="4740"/>
    <cellStyle name="常规 3 2 5 3 2" xfId="4741"/>
    <cellStyle name="常规 3 2 5 4" xfId="4742"/>
    <cellStyle name="常规 3 2 5 4 2" xfId="4743"/>
    <cellStyle name="常规 3 2 5 5" xfId="4744"/>
    <cellStyle name="常规 3 2 6" xfId="4745"/>
    <cellStyle name="常规 3 2 6 2" xfId="4746"/>
    <cellStyle name="常规 3 2 6 2 2" xfId="4747"/>
    <cellStyle name="常规 3 2 6 3" xfId="4748"/>
    <cellStyle name="常规 3 2 7" xfId="4749"/>
    <cellStyle name="常规 3 2 7 2" xfId="4750"/>
    <cellStyle name="常规 3 2 7 2 2" xfId="4751"/>
    <cellStyle name="常规 3 2 7 3" xfId="4752"/>
    <cellStyle name="常规 3 2 8" xfId="4753"/>
    <cellStyle name="常规 3 2 8 2" xfId="4754"/>
    <cellStyle name="常规 3 2 9" xfId="4755"/>
    <cellStyle name="常规 3 2 9 2" xfId="4756"/>
    <cellStyle name="常规 3 20" xfId="9219"/>
    <cellStyle name="常规 3 21" xfId="9225"/>
    <cellStyle name="常规 3 22" xfId="9247"/>
    <cellStyle name="常规 3 22 2" xfId="9442"/>
    <cellStyle name="常规 3 23" xfId="9268"/>
    <cellStyle name="常规 3 23 2" xfId="9463"/>
    <cellStyle name="常规 3 3" xfId="4757"/>
    <cellStyle name="常规 3 3 10" xfId="4758"/>
    <cellStyle name="常规 3 3 11" xfId="8942"/>
    <cellStyle name="常规 3 3 2" xfId="4759"/>
    <cellStyle name="常规 3 3 2 2" xfId="4760"/>
    <cellStyle name="常规 3 3 2 2 2" xfId="4761"/>
    <cellStyle name="常规 3 3 2 2 2 2" xfId="4762"/>
    <cellStyle name="常规 3 3 2 2 2 2 2" xfId="4763"/>
    <cellStyle name="常规 3 3 2 2 2 3" xfId="4764"/>
    <cellStyle name="常规 3 3 2 2 3" xfId="4765"/>
    <cellStyle name="常规 3 3 2 2 3 2" xfId="4766"/>
    <cellStyle name="常规 3 3 2 2 4" xfId="4767"/>
    <cellStyle name="常规 3 3 2 2 4 2" xfId="4768"/>
    <cellStyle name="常规 3 3 2 2 5" xfId="4769"/>
    <cellStyle name="常规 3 3 2 3" xfId="4770"/>
    <cellStyle name="常规 3 3 2 3 2" xfId="4771"/>
    <cellStyle name="常规 3 3 2 3 2 2" xfId="4772"/>
    <cellStyle name="常规 3 3 2 3 3" xfId="4773"/>
    <cellStyle name="常规 3 3 2 4" xfId="4774"/>
    <cellStyle name="常规 3 3 2 4 2" xfId="4775"/>
    <cellStyle name="常规 3 3 2 5" xfId="4776"/>
    <cellStyle name="常规 3 3 2 5 2" xfId="4777"/>
    <cellStyle name="常规 3 3 2 6" xfId="4778"/>
    <cellStyle name="常规 3 3 3" xfId="4779"/>
    <cellStyle name="常规 3 3 3 2" xfId="4780"/>
    <cellStyle name="常规 3 3 3 2 2" xfId="4781"/>
    <cellStyle name="常规 3 3 3 2 2 2" xfId="4782"/>
    <cellStyle name="常规 3 3 3 2 3" xfId="4783"/>
    <cellStyle name="常规 3 3 3 3" xfId="4784"/>
    <cellStyle name="常规 3 3 3 3 2" xfId="4785"/>
    <cellStyle name="常规 3 3 3 4" xfId="4786"/>
    <cellStyle name="常规 3 3 3 4 2" xfId="4787"/>
    <cellStyle name="常规 3 3 3 5" xfId="4788"/>
    <cellStyle name="常规 3 3 4" xfId="4789"/>
    <cellStyle name="常规 3 3 4 2" xfId="4790"/>
    <cellStyle name="常规 3 3 4 2 2" xfId="4791"/>
    <cellStyle name="常规 3 3 4 2 2 2" xfId="4792"/>
    <cellStyle name="常规 3 3 4 2 3" xfId="4793"/>
    <cellStyle name="常规 3 3 4 3" xfId="4794"/>
    <cellStyle name="常规 3 3 4 3 2" xfId="4795"/>
    <cellStyle name="常规 3 3 4 4" xfId="4796"/>
    <cellStyle name="常规 3 3 4 4 2" xfId="4797"/>
    <cellStyle name="常规 3 3 4 5" xfId="4798"/>
    <cellStyle name="常规 3 3 5" xfId="4799"/>
    <cellStyle name="常规 3 3 5 2" xfId="4800"/>
    <cellStyle name="常规 3 3 5 2 2" xfId="4801"/>
    <cellStyle name="常规 3 3 5 2 2 2" xfId="4802"/>
    <cellStyle name="常规 3 3 5 2 3" xfId="4803"/>
    <cellStyle name="常规 3 3 5 3" xfId="4804"/>
    <cellStyle name="常规 3 3 5 3 2" xfId="4805"/>
    <cellStyle name="常规 3 3 5 4" xfId="4806"/>
    <cellStyle name="常规 3 3 5 4 2" xfId="4807"/>
    <cellStyle name="常规 3 3 5 5" xfId="4808"/>
    <cellStyle name="常规 3 3 6" xfId="4809"/>
    <cellStyle name="常规 3 3 6 2" xfId="4810"/>
    <cellStyle name="常规 3 3 6 2 2" xfId="4811"/>
    <cellStyle name="常规 3 3 6 3" xfId="4812"/>
    <cellStyle name="常规 3 3 7" xfId="4813"/>
    <cellStyle name="常规 3 3 7 2" xfId="4814"/>
    <cellStyle name="常规 3 3 8" xfId="4815"/>
    <cellStyle name="常规 3 3 8 2" xfId="4816"/>
    <cellStyle name="常规 3 3 9" xfId="4817"/>
    <cellStyle name="常规 3 3 9 2" xfId="4818"/>
    <cellStyle name="常规 3 4" xfId="4819"/>
    <cellStyle name="常规 3 4 2" xfId="4820"/>
    <cellStyle name="常规 3 4 2 2" xfId="4821"/>
    <cellStyle name="常规 3 4 2 2 2" xfId="4822"/>
    <cellStyle name="常规 3 4 2 2 2 2" xfId="4823"/>
    <cellStyle name="常规 3 4 2 2 3" xfId="4824"/>
    <cellStyle name="常规 3 4 2 2 4" xfId="4825"/>
    <cellStyle name="常规 3 4 2 3" xfId="4826"/>
    <cellStyle name="常规 3 4 2 3 2" xfId="4827"/>
    <cellStyle name="常规 3 4 2 4" xfId="4828"/>
    <cellStyle name="常规 3 4 2 4 2" xfId="4829"/>
    <cellStyle name="常规 3 4 2 5" xfId="4830"/>
    <cellStyle name="常规 3 4 2 6" xfId="4831"/>
    <cellStyle name="常规 3 4 3" xfId="4832"/>
    <cellStyle name="常规 3 4 3 2" xfId="4833"/>
    <cellStyle name="常规 3 4 3 2 2" xfId="4834"/>
    <cellStyle name="常规 3 4 3 3" xfId="4835"/>
    <cellStyle name="常规 3 4 3 4" xfId="4836"/>
    <cellStyle name="常规 3 4 4" xfId="4837"/>
    <cellStyle name="常规 3 4 4 2" xfId="4838"/>
    <cellStyle name="常规 3 4 4 2 2" xfId="4839"/>
    <cellStyle name="常规 3 4 4 3" xfId="4840"/>
    <cellStyle name="常规 3 4 4 4" xfId="4841"/>
    <cellStyle name="常规 3 4 5" xfId="4842"/>
    <cellStyle name="常规 3 4 5 2" xfId="4843"/>
    <cellStyle name="常规 3 4 6" xfId="4844"/>
    <cellStyle name="常规 3 4 6 2" xfId="4845"/>
    <cellStyle name="常规 3 4 7" xfId="4846"/>
    <cellStyle name="常规 3 4 8" xfId="8908"/>
    <cellStyle name="常规 3 5" xfId="4847"/>
    <cellStyle name="常规 3 5 2" xfId="4848"/>
    <cellStyle name="常规 3 5 2 2" xfId="4849"/>
    <cellStyle name="常规 3 5 2 2 2" xfId="4850"/>
    <cellStyle name="常规 3 5 2 3" xfId="4851"/>
    <cellStyle name="常规 3 5 2 4" xfId="4852"/>
    <cellStyle name="常规 3 5 3" xfId="4853"/>
    <cellStyle name="常规 3 5 3 2" xfId="4854"/>
    <cellStyle name="常规 3 5 4" xfId="4855"/>
    <cellStyle name="常规 3 5 4 2" xfId="4856"/>
    <cellStyle name="常规 3 5 5" xfId="4857"/>
    <cellStyle name="常规 3 5 6" xfId="4858"/>
    <cellStyle name="常规 3 6" xfId="4859"/>
    <cellStyle name="常规 3 6 2" xfId="4860"/>
    <cellStyle name="常规 3 6 2 2" xfId="4861"/>
    <cellStyle name="常规 3 6 3" xfId="4862"/>
    <cellStyle name="常规 3 6 3 2" xfId="4863"/>
    <cellStyle name="常规 3 6 4" xfId="4864"/>
    <cellStyle name="常规 3 7" xfId="4865"/>
    <cellStyle name="常规 3 7 2" xfId="4866"/>
    <cellStyle name="常规 3 7 2 2" xfId="4867"/>
    <cellStyle name="常规 3 7 2 2 2" xfId="4868"/>
    <cellStyle name="常规 3 7 2 3" xfId="4869"/>
    <cellStyle name="常规 3 7 2 4" xfId="4870"/>
    <cellStyle name="常规 3 7 3" xfId="4871"/>
    <cellStyle name="常规 3 7 3 2" xfId="4872"/>
    <cellStyle name="常规 3 7 4" xfId="4873"/>
    <cellStyle name="常规 3 7 4 2" xfId="4874"/>
    <cellStyle name="常规 3 7 5" xfId="4875"/>
    <cellStyle name="常规 3 7 6" xfId="4876"/>
    <cellStyle name="常规 3 8" xfId="4877"/>
    <cellStyle name="常规 3 8 2" xfId="4878"/>
    <cellStyle name="常规 3 8 2 2" xfId="4879"/>
    <cellStyle name="常规 3 8 3" xfId="4880"/>
    <cellStyle name="常规 3 8 4" xfId="4881"/>
    <cellStyle name="常规 3 9" xfId="4882"/>
    <cellStyle name="常规 3 9 2" xfId="4883"/>
    <cellStyle name="常规 3_统筹-校长（暂估）" xfId="4884"/>
    <cellStyle name="常规 30" xfId="4885"/>
    <cellStyle name="常规 30 2" xfId="4886"/>
    <cellStyle name="常规 30 2 2" xfId="4887"/>
    <cellStyle name="常规 30 2 2 2" xfId="4888"/>
    <cellStyle name="常规 30 2 3" xfId="4889"/>
    <cellStyle name="常规 30 3" xfId="4890"/>
    <cellStyle name="常规 30 3 2" xfId="4891"/>
    <cellStyle name="常规 30 4" xfId="4892"/>
    <cellStyle name="常规 30 4 2" xfId="4893"/>
    <cellStyle name="常规 30 5" xfId="4894"/>
    <cellStyle name="常规 300" xfId="9221"/>
    <cellStyle name="常规 301" xfId="9245"/>
    <cellStyle name="常规 301 2" xfId="9440"/>
    <cellStyle name="常规 302" xfId="9249"/>
    <cellStyle name="常规 302 2" xfId="9444"/>
    <cellStyle name="常规 303" xfId="9280"/>
    <cellStyle name="常规 303 2" xfId="9475"/>
    <cellStyle name="常规 304" xfId="9287"/>
    <cellStyle name="常规 304 2" xfId="9482"/>
    <cellStyle name="常规 305" xfId="9291"/>
    <cellStyle name="常规 305 2" xfId="9486"/>
    <cellStyle name="常规 306" xfId="9292"/>
    <cellStyle name="常规 306 2" xfId="9487"/>
    <cellStyle name="常规 307" xfId="9293"/>
    <cellStyle name="常规 307 2" xfId="9488"/>
    <cellStyle name="常规 31" xfId="4895"/>
    <cellStyle name="常规 31 2" xfId="4896"/>
    <cellStyle name="常规 31 2 2" xfId="4897"/>
    <cellStyle name="常规 31 2 2 2" xfId="4898"/>
    <cellStyle name="常规 31 2 3" xfId="4899"/>
    <cellStyle name="常规 31 3" xfId="4900"/>
    <cellStyle name="常规 31 3 2" xfId="4901"/>
    <cellStyle name="常规 31 4" xfId="4902"/>
    <cellStyle name="常规 31 4 2" xfId="4903"/>
    <cellStyle name="常规 31 5" xfId="4904"/>
    <cellStyle name="常规 31 6" xfId="8895"/>
    <cellStyle name="常规 32" xfId="4905"/>
    <cellStyle name="常规 32 2" xfId="4906"/>
    <cellStyle name="常规 32 2 2" xfId="4907"/>
    <cellStyle name="常规 32 2 2 2" xfId="4908"/>
    <cellStyle name="常规 32 2 3" xfId="4909"/>
    <cellStyle name="常规 32 3" xfId="4910"/>
    <cellStyle name="常规 32 3 2" xfId="4911"/>
    <cellStyle name="常规 32 4" xfId="4912"/>
    <cellStyle name="常规 32 4 2" xfId="4913"/>
    <cellStyle name="常规 32 5" xfId="4914"/>
    <cellStyle name="常规 33" xfId="4915"/>
    <cellStyle name="常规 33 2" xfId="4916"/>
    <cellStyle name="常规 33 2 2" xfId="4917"/>
    <cellStyle name="常规 33 2 2 2" xfId="4918"/>
    <cellStyle name="常规 33 2 3" xfId="4919"/>
    <cellStyle name="常规 33 3" xfId="4920"/>
    <cellStyle name="常规 33 3 2" xfId="4921"/>
    <cellStyle name="常规 33 4" xfId="4922"/>
    <cellStyle name="常规 33 4 2" xfId="4923"/>
    <cellStyle name="常规 33 5" xfId="4924"/>
    <cellStyle name="常规 34" xfId="4925"/>
    <cellStyle name="常规 34 2" xfId="4926"/>
    <cellStyle name="常规 34 2 2" xfId="4927"/>
    <cellStyle name="常规 34 2 2 2" xfId="4928"/>
    <cellStyle name="常规 34 2 3" xfId="4929"/>
    <cellStyle name="常规 34 3" xfId="4930"/>
    <cellStyle name="常规 34 3 2" xfId="4931"/>
    <cellStyle name="常规 34 4" xfId="4932"/>
    <cellStyle name="常规 34 4 2" xfId="4933"/>
    <cellStyle name="常规 34 5" xfId="4934"/>
    <cellStyle name="常规 35" xfId="4935"/>
    <cellStyle name="常规 35 2" xfId="4936"/>
    <cellStyle name="常规 35 2 2" xfId="4937"/>
    <cellStyle name="常规 35 2 2 2" xfId="4938"/>
    <cellStyle name="常规 35 2 3" xfId="4939"/>
    <cellStyle name="常规 35 3" xfId="4940"/>
    <cellStyle name="常规 35 3 2" xfId="4941"/>
    <cellStyle name="常规 35 4" xfId="4942"/>
    <cellStyle name="常规 35 4 2" xfId="4943"/>
    <cellStyle name="常规 35 5" xfId="4944"/>
    <cellStyle name="常规 36" xfId="4945"/>
    <cellStyle name="常规 36 2" xfId="4946"/>
    <cellStyle name="常规 36 2 2" xfId="4947"/>
    <cellStyle name="常规 36 2 2 2" xfId="4948"/>
    <cellStyle name="常规 36 2 3" xfId="4949"/>
    <cellStyle name="常规 36 3" xfId="4950"/>
    <cellStyle name="常规 36 3 2" xfId="4951"/>
    <cellStyle name="常规 36 4" xfId="4952"/>
    <cellStyle name="常规 36 4 2" xfId="4953"/>
    <cellStyle name="常规 36 5" xfId="4954"/>
    <cellStyle name="常规 37" xfId="4955"/>
    <cellStyle name="常规 37 2" xfId="4956"/>
    <cellStyle name="常规 37 2 2" xfId="4957"/>
    <cellStyle name="常规 37 2 2 2" xfId="4958"/>
    <cellStyle name="常规 37 2 3" xfId="4959"/>
    <cellStyle name="常规 37 3" xfId="4960"/>
    <cellStyle name="常规 37 3 2" xfId="4961"/>
    <cellStyle name="常规 37 4" xfId="4962"/>
    <cellStyle name="常规 37 4 2" xfId="4963"/>
    <cellStyle name="常规 37 5" xfId="4964"/>
    <cellStyle name="常规 38" xfId="4965"/>
    <cellStyle name="常规 38 2" xfId="4966"/>
    <cellStyle name="常规 38 2 2" xfId="4967"/>
    <cellStyle name="常规 38 2 2 2" xfId="4968"/>
    <cellStyle name="常规 38 2 3" xfId="4969"/>
    <cellStyle name="常规 38 3" xfId="4970"/>
    <cellStyle name="常规 38 3 2" xfId="4971"/>
    <cellStyle name="常规 38 4" xfId="4972"/>
    <cellStyle name="常规 38 4 2" xfId="4973"/>
    <cellStyle name="常规 38 5" xfId="4974"/>
    <cellStyle name="常规 39" xfId="4975"/>
    <cellStyle name="常规 39 2" xfId="4976"/>
    <cellStyle name="常规 39 2 2" xfId="4977"/>
    <cellStyle name="常规 39 2 2 2" xfId="4978"/>
    <cellStyle name="常规 39 2 3" xfId="4979"/>
    <cellStyle name="常规 39 3" xfId="4980"/>
    <cellStyle name="常规 39 3 2" xfId="4981"/>
    <cellStyle name="常规 39 4" xfId="4982"/>
    <cellStyle name="常规 39 4 2" xfId="4983"/>
    <cellStyle name="常规 39 5" xfId="4984"/>
    <cellStyle name="常规 4" xfId="4985"/>
    <cellStyle name="常规 4 10" xfId="4986"/>
    <cellStyle name="常规 4 10 2" xfId="4987"/>
    <cellStyle name="常规 4 11" xfId="4988"/>
    <cellStyle name="常规 4 11 2" xfId="4989"/>
    <cellStyle name="常规 4 12" xfId="4990"/>
    <cellStyle name="常规 4 13" xfId="8604"/>
    <cellStyle name="常规 4 14" xfId="8761"/>
    <cellStyle name="常规 4 14 2" xfId="9371"/>
    <cellStyle name="常规 4 15" xfId="8889"/>
    <cellStyle name="常规 4 16" xfId="8981"/>
    <cellStyle name="常规 4 16 2" xfId="9419"/>
    <cellStyle name="常规 4 17" xfId="9172"/>
    <cellStyle name="常规 4 17 2" xfId="9429"/>
    <cellStyle name="常规 4 18" xfId="9209"/>
    <cellStyle name="常规 4 19" xfId="9227"/>
    <cellStyle name="常规 4 2" xfId="4991"/>
    <cellStyle name="常规 4 2 10" xfId="9228"/>
    <cellStyle name="常规 4 2 2" xfId="4992"/>
    <cellStyle name="常规 4 2 2 2" xfId="4993"/>
    <cellStyle name="常规 4 2 2 2 2" xfId="4994"/>
    <cellStyle name="常规 4 2 2 2 2 2" xfId="4995"/>
    <cellStyle name="常规 4 2 2 2 3" xfId="4996"/>
    <cellStyle name="常规 4 2 2 3" xfId="4997"/>
    <cellStyle name="常规 4 2 2 3 2" xfId="4998"/>
    <cellStyle name="常规 4 2 2 4" xfId="4999"/>
    <cellStyle name="常规 4 2 2 4 2" xfId="5000"/>
    <cellStyle name="常规 4 2 2 5" xfId="5001"/>
    <cellStyle name="常规 4 2 3" xfId="5002"/>
    <cellStyle name="常规 4 2 3 2" xfId="5003"/>
    <cellStyle name="常规 4 2 3 2 2" xfId="5004"/>
    <cellStyle name="常规 4 2 3 3" xfId="5005"/>
    <cellStyle name="常规 4 2 4" xfId="5006"/>
    <cellStyle name="常规 4 2 4 2" xfId="5007"/>
    <cellStyle name="常规 4 2 5" xfId="5008"/>
    <cellStyle name="常规 4 2 5 2" xfId="5009"/>
    <cellStyle name="常规 4 2 6" xfId="5010"/>
    <cellStyle name="常规 4 2 7" xfId="8762"/>
    <cellStyle name="常规 4 2 7 2" xfId="9372"/>
    <cellStyle name="常规 4 2 8" xfId="8918"/>
    <cellStyle name="常规 4 2 9" xfId="9190"/>
    <cellStyle name="常规 4 20" xfId="9248"/>
    <cellStyle name="常规 4 20 2" xfId="9443"/>
    <cellStyle name="常规 4 21" xfId="9251"/>
    <cellStyle name="常规 4 21 2" xfId="9446"/>
    <cellStyle name="常规 4 3" xfId="5011"/>
    <cellStyle name="常规 4 3 2" xfId="5012"/>
    <cellStyle name="常规 4 3 2 2" xfId="5013"/>
    <cellStyle name="常规 4 3 2 2 2" xfId="5014"/>
    <cellStyle name="常规 4 3 2 3" xfId="5015"/>
    <cellStyle name="常规 4 3 3" xfId="5016"/>
    <cellStyle name="常规 4 3 3 2" xfId="5017"/>
    <cellStyle name="常规 4 3 4" xfId="5018"/>
    <cellStyle name="常规 4 3 4 2" xfId="5019"/>
    <cellStyle name="常规 4 3 5" xfId="5020"/>
    <cellStyle name="常规 4 4" xfId="5021"/>
    <cellStyle name="常规 4 4 2" xfId="5022"/>
    <cellStyle name="常规 4 4 2 2" xfId="5023"/>
    <cellStyle name="常规 4 4 2 2 2" xfId="5024"/>
    <cellStyle name="常规 4 4 2 3" xfId="5025"/>
    <cellStyle name="常规 4 4 3" xfId="5026"/>
    <cellStyle name="常规 4 4 3 2" xfId="5027"/>
    <cellStyle name="常规 4 4 4" xfId="5028"/>
    <cellStyle name="常规 4 4 4 2" xfId="5029"/>
    <cellStyle name="常规 4 4 5" xfId="5030"/>
    <cellStyle name="常规 4 5" xfId="5031"/>
    <cellStyle name="常规 4 5 2" xfId="5032"/>
    <cellStyle name="常规 4 5 2 2" xfId="5033"/>
    <cellStyle name="常规 4 5 2 2 2" xfId="5034"/>
    <cellStyle name="常规 4 5 2 3" xfId="5035"/>
    <cellStyle name="常规 4 5 3" xfId="5036"/>
    <cellStyle name="常规 4 5 3 2" xfId="5037"/>
    <cellStyle name="常规 4 5 4" xfId="5038"/>
    <cellStyle name="常规 4 5 4 2" xfId="5039"/>
    <cellStyle name="常规 4 5 5" xfId="5040"/>
    <cellStyle name="常规 4 6" xfId="5041"/>
    <cellStyle name="常规 4 6 2" xfId="5042"/>
    <cellStyle name="常规 4 6 2 2" xfId="5043"/>
    <cellStyle name="常规 4 6 2 2 2" xfId="5044"/>
    <cellStyle name="常规 4 6 2 3" xfId="5045"/>
    <cellStyle name="常规 4 6 3" xfId="5046"/>
    <cellStyle name="常规 4 6 3 2" xfId="5047"/>
    <cellStyle name="常规 4 6 4" xfId="5048"/>
    <cellStyle name="常规 4 6 4 2" xfId="5049"/>
    <cellStyle name="常规 4 6 5" xfId="5050"/>
    <cellStyle name="常规 4 7" xfId="5051"/>
    <cellStyle name="常规 4 7 2" xfId="5052"/>
    <cellStyle name="常规 4 7 2 2" xfId="5053"/>
    <cellStyle name="常规 4 7 3" xfId="5054"/>
    <cellStyle name="常规 4 8" xfId="5055"/>
    <cellStyle name="常规 4 8 2" xfId="5056"/>
    <cellStyle name="常规 4 8 2 2" xfId="5057"/>
    <cellStyle name="常规 4 8 3" xfId="5058"/>
    <cellStyle name="常规 4 9" xfId="5059"/>
    <cellStyle name="常规 4 9 2" xfId="5060"/>
    <cellStyle name="常规 40" xfId="5061"/>
    <cellStyle name="常规 40 2" xfId="5062"/>
    <cellStyle name="常规 40 2 2" xfId="5063"/>
    <cellStyle name="常规 40 2 2 2" xfId="5064"/>
    <cellStyle name="常规 40 2 3" xfId="5065"/>
    <cellStyle name="常规 40 3" xfId="5066"/>
    <cellStyle name="常规 40 3 2" xfId="5067"/>
    <cellStyle name="常规 40 4" xfId="5068"/>
    <cellStyle name="常规 40 4 2" xfId="5069"/>
    <cellStyle name="常规 40 5" xfId="5070"/>
    <cellStyle name="常规 41" xfId="5071"/>
    <cellStyle name="常规 41 2" xfId="5072"/>
    <cellStyle name="常规 41 2 2" xfId="5073"/>
    <cellStyle name="常规 41 2 2 2" xfId="5074"/>
    <cellStyle name="常规 41 2 3" xfId="5075"/>
    <cellStyle name="常规 41 3" xfId="5076"/>
    <cellStyle name="常规 41 3 2" xfId="5077"/>
    <cellStyle name="常规 41 4" xfId="5078"/>
    <cellStyle name="常规 41 4 2" xfId="5079"/>
    <cellStyle name="常规 41 5" xfId="5080"/>
    <cellStyle name="常规 42" xfId="5081"/>
    <cellStyle name="常规 42 2" xfId="5082"/>
    <cellStyle name="常规 42 2 2" xfId="5083"/>
    <cellStyle name="常规 42 2 2 2" xfId="5084"/>
    <cellStyle name="常规 42 2 3" xfId="5085"/>
    <cellStyle name="常规 42 3" xfId="5086"/>
    <cellStyle name="常规 42 3 2" xfId="5087"/>
    <cellStyle name="常规 42 4" xfId="5088"/>
    <cellStyle name="常规 42 4 2" xfId="5089"/>
    <cellStyle name="常规 42 5" xfId="5090"/>
    <cellStyle name="常规 43" xfId="5091"/>
    <cellStyle name="常规 43 2" xfId="5092"/>
    <cellStyle name="常规 43 2 2" xfId="5093"/>
    <cellStyle name="常规 43 2 2 2" xfId="5094"/>
    <cellStyle name="常规 43 2 3" xfId="5095"/>
    <cellStyle name="常规 43 3" xfId="5096"/>
    <cellStyle name="常规 43 3 2" xfId="5097"/>
    <cellStyle name="常规 43 4" xfId="5098"/>
    <cellStyle name="常规 43 4 2" xfId="5099"/>
    <cellStyle name="常规 43 5" xfId="5100"/>
    <cellStyle name="常规 44" xfId="5101"/>
    <cellStyle name="常规 44 2" xfId="5102"/>
    <cellStyle name="常规 44 2 2" xfId="5103"/>
    <cellStyle name="常规 44 2 2 2" xfId="5104"/>
    <cellStyle name="常规 44 2 3" xfId="5105"/>
    <cellStyle name="常规 44 3" xfId="5106"/>
    <cellStyle name="常规 44 3 2" xfId="5107"/>
    <cellStyle name="常规 44 4" xfId="5108"/>
    <cellStyle name="常规 44 4 2" xfId="5109"/>
    <cellStyle name="常规 44 5" xfId="5110"/>
    <cellStyle name="常规 45" xfId="5111"/>
    <cellStyle name="常规 45 2" xfId="5112"/>
    <cellStyle name="常规 45 2 2" xfId="5113"/>
    <cellStyle name="常规 45 2 2 2" xfId="5114"/>
    <cellStyle name="常规 45 2 3" xfId="5115"/>
    <cellStyle name="常规 45 3" xfId="5116"/>
    <cellStyle name="常规 45 3 2" xfId="5117"/>
    <cellStyle name="常规 45 4" xfId="5118"/>
    <cellStyle name="常规 45 4 2" xfId="5119"/>
    <cellStyle name="常规 45 5" xfId="5120"/>
    <cellStyle name="常规 46" xfId="5121"/>
    <cellStyle name="常规 46 2" xfId="5122"/>
    <cellStyle name="常规 46 2 2" xfId="5123"/>
    <cellStyle name="常规 46 2 2 2" xfId="5124"/>
    <cellStyle name="常规 46 2 3" xfId="5125"/>
    <cellStyle name="常规 46 3" xfId="5126"/>
    <cellStyle name="常规 46 3 2" xfId="5127"/>
    <cellStyle name="常规 46 4" xfId="5128"/>
    <cellStyle name="常规 46 4 2" xfId="5129"/>
    <cellStyle name="常规 46 5" xfId="5130"/>
    <cellStyle name="常规 47" xfId="5131"/>
    <cellStyle name="常规 47 2" xfId="5132"/>
    <cellStyle name="常规 47 2 2" xfId="5133"/>
    <cellStyle name="常规 47 2 2 2" xfId="5134"/>
    <cellStyle name="常规 47 2 3" xfId="5135"/>
    <cellStyle name="常规 47 3" xfId="5136"/>
    <cellStyle name="常规 47 3 2" xfId="5137"/>
    <cellStyle name="常规 47 4" xfId="5138"/>
    <cellStyle name="常规 47 4 2" xfId="5139"/>
    <cellStyle name="常规 47 5" xfId="5140"/>
    <cellStyle name="常规 48" xfId="5141"/>
    <cellStyle name="常规 48 2" xfId="5142"/>
    <cellStyle name="常规 48 2 2" xfId="5143"/>
    <cellStyle name="常规 48 2 2 2" xfId="5144"/>
    <cellStyle name="常规 48 2 3" xfId="5145"/>
    <cellStyle name="常规 48 3" xfId="5146"/>
    <cellStyle name="常规 48 3 2" xfId="5147"/>
    <cellStyle name="常规 48 4" xfId="5148"/>
    <cellStyle name="常规 48 4 2" xfId="5149"/>
    <cellStyle name="常规 48 5" xfId="5150"/>
    <cellStyle name="常规 49" xfId="5151"/>
    <cellStyle name="常规 49 2" xfId="5152"/>
    <cellStyle name="常规 49 2 2" xfId="5153"/>
    <cellStyle name="常规 49 2 2 2" xfId="5154"/>
    <cellStyle name="常规 49 2 3" xfId="5155"/>
    <cellStyle name="常规 49 3" xfId="5156"/>
    <cellStyle name="常规 49 3 2" xfId="5157"/>
    <cellStyle name="常规 49 4" xfId="5158"/>
    <cellStyle name="常规 49 4 2" xfId="5159"/>
    <cellStyle name="常规 49 5" xfId="5160"/>
    <cellStyle name="常规 5" xfId="5161"/>
    <cellStyle name="常规 5 10" xfId="5162"/>
    <cellStyle name="常规 5 11" xfId="8763"/>
    <cellStyle name="常规 5 12" xfId="8897"/>
    <cellStyle name="常规 5 13" xfId="9173"/>
    <cellStyle name="常规 5 13 2" xfId="9430"/>
    <cellStyle name="常规 5 14" xfId="9212"/>
    <cellStyle name="常规 5 15" xfId="9229"/>
    <cellStyle name="常规 5 2" xfId="5163"/>
    <cellStyle name="常规 5 2 2" xfId="5164"/>
    <cellStyle name="常规 5 2 2 2" xfId="5165"/>
    <cellStyle name="常规 5 2 2 2 2" xfId="5166"/>
    <cellStyle name="常规 5 2 2 2 2 2" xfId="5167"/>
    <cellStyle name="常规 5 2 2 2 3" xfId="5168"/>
    <cellStyle name="常规 5 2 2 3" xfId="5169"/>
    <cellStyle name="常规 5 2 2 3 2" xfId="5170"/>
    <cellStyle name="常规 5 2 2 4" xfId="5171"/>
    <cellStyle name="常规 5 2 2 4 2" xfId="5172"/>
    <cellStyle name="常规 5 2 2 5" xfId="5173"/>
    <cellStyle name="常规 5 2 3" xfId="5174"/>
    <cellStyle name="常规 5 2 3 2" xfId="5175"/>
    <cellStyle name="常规 5 2 3 2 2" xfId="5176"/>
    <cellStyle name="常规 5 2 3 3" xfId="5177"/>
    <cellStyle name="常规 5 2 4" xfId="5178"/>
    <cellStyle name="常规 5 2 4 2" xfId="5179"/>
    <cellStyle name="常规 5 2 5" xfId="5180"/>
    <cellStyle name="常规 5 2 5 2" xfId="5181"/>
    <cellStyle name="常规 5 2 6" xfId="5182"/>
    <cellStyle name="常规 5 2 7" xfId="8914"/>
    <cellStyle name="常规 5 2 8" xfId="9191"/>
    <cellStyle name="常规 5 2 9" xfId="9230"/>
    <cellStyle name="常规 5 3" xfId="5183"/>
    <cellStyle name="常规 5 3 2" xfId="5184"/>
    <cellStyle name="常规 5 3 2 2" xfId="5185"/>
    <cellStyle name="常规 5 3 2 2 2" xfId="5186"/>
    <cellStyle name="常规 5 3 2 3" xfId="5187"/>
    <cellStyle name="常规 5 3 3" xfId="5188"/>
    <cellStyle name="常规 5 3 3 2" xfId="5189"/>
    <cellStyle name="常规 5 3 4" xfId="5190"/>
    <cellStyle name="常规 5 3 4 2" xfId="5191"/>
    <cellStyle name="常规 5 3 5" xfId="5192"/>
    <cellStyle name="常规 5 4" xfId="5193"/>
    <cellStyle name="常规 5 4 2" xfId="5194"/>
    <cellStyle name="常规 5 4 2 2" xfId="5195"/>
    <cellStyle name="常规 5 4 2 2 2" xfId="5196"/>
    <cellStyle name="常规 5 4 2 3" xfId="5197"/>
    <cellStyle name="常规 5 4 3" xfId="5198"/>
    <cellStyle name="常规 5 4 3 2" xfId="5199"/>
    <cellStyle name="常规 5 4 4" xfId="5200"/>
    <cellStyle name="常规 5 4 4 2" xfId="5201"/>
    <cellStyle name="常规 5 4 5" xfId="5202"/>
    <cellStyle name="常规 5 5" xfId="5203"/>
    <cellStyle name="常规 5 5 2" xfId="5204"/>
    <cellStyle name="常规 5 5 2 2" xfId="5205"/>
    <cellStyle name="常规 5 5 2 2 2" xfId="5206"/>
    <cellStyle name="常规 5 5 2 3" xfId="5207"/>
    <cellStyle name="常规 5 5 3" xfId="5208"/>
    <cellStyle name="常规 5 5 3 2" xfId="5209"/>
    <cellStyle name="常规 5 5 4" xfId="5210"/>
    <cellStyle name="常规 5 5 4 2" xfId="5211"/>
    <cellStyle name="常规 5 5 5" xfId="5212"/>
    <cellStyle name="常规 5 6" xfId="5213"/>
    <cellStyle name="常规 5 6 2" xfId="5214"/>
    <cellStyle name="常规 5 6 2 2" xfId="5215"/>
    <cellStyle name="常规 5 6 3" xfId="5216"/>
    <cellStyle name="常规 5 7" xfId="5217"/>
    <cellStyle name="常规 5 7 2" xfId="5218"/>
    <cellStyle name="常规 5 8" xfId="5219"/>
    <cellStyle name="常规 5 8 2" xfId="5220"/>
    <cellStyle name="常规 5 9" xfId="5221"/>
    <cellStyle name="常规 5 9 2" xfId="5222"/>
    <cellStyle name="常规 50" xfId="5223"/>
    <cellStyle name="常规 50 2" xfId="5224"/>
    <cellStyle name="常规 50 2 2" xfId="5225"/>
    <cellStyle name="常规 50 2 2 2" xfId="5226"/>
    <cellStyle name="常规 50 2 3" xfId="5227"/>
    <cellStyle name="常规 50 3" xfId="5228"/>
    <cellStyle name="常规 50 3 2" xfId="5229"/>
    <cellStyle name="常规 50 4" xfId="5230"/>
    <cellStyle name="常规 50 4 2" xfId="5231"/>
    <cellStyle name="常规 50 5" xfId="5232"/>
    <cellStyle name="常规 51" xfId="5233"/>
    <cellStyle name="常规 51 2" xfId="5234"/>
    <cellStyle name="常规 51 2 2" xfId="5235"/>
    <cellStyle name="常规 51 2 2 2" xfId="5236"/>
    <cellStyle name="常规 51 2 3" xfId="5237"/>
    <cellStyle name="常规 51 3" xfId="5238"/>
    <cellStyle name="常规 51 3 2" xfId="5239"/>
    <cellStyle name="常规 51 4" xfId="5240"/>
    <cellStyle name="常规 51 4 2" xfId="5241"/>
    <cellStyle name="常规 51 5" xfId="5242"/>
    <cellStyle name="常规 52" xfId="5243"/>
    <cellStyle name="常规 52 2" xfId="5244"/>
    <cellStyle name="常规 52 2 2" xfId="5245"/>
    <cellStyle name="常规 52 2 2 2" xfId="5246"/>
    <cellStyle name="常规 52 2 3" xfId="5247"/>
    <cellStyle name="常规 52 3" xfId="5248"/>
    <cellStyle name="常规 52 3 2" xfId="5249"/>
    <cellStyle name="常规 52 4" xfId="5250"/>
    <cellStyle name="常规 52 4 2" xfId="5251"/>
    <cellStyle name="常规 52 5" xfId="5252"/>
    <cellStyle name="常规 53" xfId="5253"/>
    <cellStyle name="常规 53 2" xfId="5254"/>
    <cellStyle name="常规 53 2 2" xfId="5255"/>
    <cellStyle name="常规 53 2 2 2" xfId="5256"/>
    <cellStyle name="常规 53 2 3" xfId="5257"/>
    <cellStyle name="常规 53 3" xfId="5258"/>
    <cellStyle name="常规 53 3 2" xfId="5259"/>
    <cellStyle name="常规 53 4" xfId="5260"/>
    <cellStyle name="常规 53 4 2" xfId="5261"/>
    <cellStyle name="常规 53 5" xfId="5262"/>
    <cellStyle name="常规 54" xfId="5263"/>
    <cellStyle name="常规 54 2" xfId="5264"/>
    <cellStyle name="常规 54 2 2" xfId="5265"/>
    <cellStyle name="常规 54 2 2 2" xfId="5266"/>
    <cellStyle name="常规 54 2 3" xfId="5267"/>
    <cellStyle name="常规 54 3" xfId="5268"/>
    <cellStyle name="常规 54 3 2" xfId="5269"/>
    <cellStyle name="常规 54 4" xfId="5270"/>
    <cellStyle name="常规 54 4 2" xfId="5271"/>
    <cellStyle name="常规 54 5" xfId="5272"/>
    <cellStyle name="常规 55" xfId="5273"/>
    <cellStyle name="常规 55 2" xfId="5274"/>
    <cellStyle name="常规 55 2 2" xfId="5275"/>
    <cellStyle name="常规 55 2 2 2" xfId="5276"/>
    <cellStyle name="常规 55 2 3" xfId="5277"/>
    <cellStyle name="常规 55 3" xfId="5278"/>
    <cellStyle name="常规 55 3 2" xfId="5279"/>
    <cellStyle name="常规 55 4" xfId="5280"/>
    <cellStyle name="常规 55 4 2" xfId="5281"/>
    <cellStyle name="常规 55 5" xfId="5282"/>
    <cellStyle name="常规 56" xfId="5283"/>
    <cellStyle name="常规 56 2" xfId="5284"/>
    <cellStyle name="常规 56 2 2" xfId="5285"/>
    <cellStyle name="常规 56 2 2 2" xfId="5286"/>
    <cellStyle name="常规 56 2 3" xfId="5287"/>
    <cellStyle name="常规 56 3" xfId="5288"/>
    <cellStyle name="常规 56 3 2" xfId="5289"/>
    <cellStyle name="常规 56 4" xfId="5290"/>
    <cellStyle name="常规 56 4 2" xfId="5291"/>
    <cellStyle name="常规 56 5" xfId="5292"/>
    <cellStyle name="常规 57" xfId="5293"/>
    <cellStyle name="常规 57 2" xfId="5294"/>
    <cellStyle name="常规 57 2 2" xfId="5295"/>
    <cellStyle name="常规 57 2 2 2" xfId="5296"/>
    <cellStyle name="常规 57 2 3" xfId="5297"/>
    <cellStyle name="常规 57 3" xfId="5298"/>
    <cellStyle name="常规 57 3 2" xfId="5299"/>
    <cellStyle name="常规 57 4" xfId="5300"/>
    <cellStyle name="常规 57 4 2" xfId="5301"/>
    <cellStyle name="常规 57 5" xfId="5302"/>
    <cellStyle name="常规 58" xfId="5303"/>
    <cellStyle name="常规 58 2" xfId="5304"/>
    <cellStyle name="常规 58 2 2" xfId="5305"/>
    <cellStyle name="常规 58 2 2 2" xfId="5306"/>
    <cellStyle name="常规 58 2 3" xfId="5307"/>
    <cellStyle name="常规 58 3" xfId="5308"/>
    <cellStyle name="常规 58 3 2" xfId="5309"/>
    <cellStyle name="常规 58 4" xfId="5310"/>
    <cellStyle name="常规 58 4 2" xfId="5311"/>
    <cellStyle name="常规 58 5" xfId="5312"/>
    <cellStyle name="常规 58 6" xfId="8899"/>
    <cellStyle name="常规 59" xfId="5313"/>
    <cellStyle name="常规 59 2" xfId="5314"/>
    <cellStyle name="常规 59 2 2" xfId="5315"/>
    <cellStyle name="常规 59 2 2 2" xfId="5316"/>
    <cellStyle name="常规 59 2 3" xfId="5317"/>
    <cellStyle name="常规 59 3" xfId="5318"/>
    <cellStyle name="常规 59 3 2" xfId="5319"/>
    <cellStyle name="常规 59 4" xfId="5320"/>
    <cellStyle name="常规 59 4 2" xfId="5321"/>
    <cellStyle name="常规 59 5" xfId="5322"/>
    <cellStyle name="常规 6" xfId="5323"/>
    <cellStyle name="常规 6 10" xfId="5324"/>
    <cellStyle name="常规 6 11" xfId="8884"/>
    <cellStyle name="常规 6 12" xfId="8999"/>
    <cellStyle name="常规 6 13" xfId="9174"/>
    <cellStyle name="常规 6 13 2" xfId="9431"/>
    <cellStyle name="常规 6 14" xfId="9231"/>
    <cellStyle name="常规 6 15" xfId="9269"/>
    <cellStyle name="常规 6 15 2" xfId="9464"/>
    <cellStyle name="常规 6 2" xfId="5325"/>
    <cellStyle name="常规 6 2 2" xfId="5326"/>
    <cellStyle name="常规 6 2 2 2" xfId="5327"/>
    <cellStyle name="常规 6 2 2 2 2" xfId="5328"/>
    <cellStyle name="常规 6 2 2 2 2 2" xfId="5329"/>
    <cellStyle name="常规 6 2 2 2 3" xfId="5330"/>
    <cellStyle name="常规 6 2 2 3" xfId="5331"/>
    <cellStyle name="常规 6 2 2 3 2" xfId="5332"/>
    <cellStyle name="常规 6 2 2 4" xfId="5333"/>
    <cellStyle name="常规 6 2 2 4 2" xfId="5334"/>
    <cellStyle name="常规 6 2 2 5" xfId="5335"/>
    <cellStyle name="常规 6 2 3" xfId="5336"/>
    <cellStyle name="常规 6 2 3 2" xfId="5337"/>
    <cellStyle name="常规 6 2 3 2 2" xfId="5338"/>
    <cellStyle name="常规 6 2 3 3" xfId="5339"/>
    <cellStyle name="常规 6 2 4" xfId="5340"/>
    <cellStyle name="常规 6 2 4 2" xfId="5341"/>
    <cellStyle name="常规 6 2 5" xfId="5342"/>
    <cellStyle name="常规 6 2 5 2" xfId="5343"/>
    <cellStyle name="常规 6 2 6" xfId="5344"/>
    <cellStyle name="常规 6 2 7" xfId="9182"/>
    <cellStyle name="常规 6 2 8" xfId="9232"/>
    <cellStyle name="常规 6 3" xfId="5345"/>
    <cellStyle name="常规 6 3 2" xfId="5346"/>
    <cellStyle name="常规 6 3 2 2" xfId="5347"/>
    <cellStyle name="常规 6 3 2 2 2" xfId="5348"/>
    <cellStyle name="常规 6 3 2 3" xfId="5349"/>
    <cellStyle name="常规 6 3 3" xfId="5350"/>
    <cellStyle name="常规 6 3 3 2" xfId="5351"/>
    <cellStyle name="常规 6 3 4" xfId="5352"/>
    <cellStyle name="常规 6 3 4 2" xfId="5353"/>
    <cellStyle name="常规 6 3 5" xfId="5354"/>
    <cellStyle name="常规 6 4" xfId="5355"/>
    <cellStyle name="常规 6 4 2" xfId="5356"/>
    <cellStyle name="常规 6 4 2 2" xfId="5357"/>
    <cellStyle name="常规 6 4 2 2 2" xfId="5358"/>
    <cellStyle name="常规 6 4 2 3" xfId="5359"/>
    <cellStyle name="常规 6 4 3" xfId="5360"/>
    <cellStyle name="常规 6 4 3 2" xfId="5361"/>
    <cellStyle name="常规 6 4 4" xfId="5362"/>
    <cellStyle name="常规 6 4 4 2" xfId="5363"/>
    <cellStyle name="常规 6 4 5" xfId="5364"/>
    <cellStyle name="常规 6 5" xfId="5365"/>
    <cellStyle name="常规 6 5 2" xfId="5366"/>
    <cellStyle name="常规 6 5 2 2" xfId="5367"/>
    <cellStyle name="常规 6 5 2 2 2" xfId="5368"/>
    <cellStyle name="常规 6 5 2 3" xfId="5369"/>
    <cellStyle name="常规 6 5 3" xfId="5370"/>
    <cellStyle name="常规 6 5 3 2" xfId="5371"/>
    <cellStyle name="常规 6 5 4" xfId="5372"/>
    <cellStyle name="常规 6 5 4 2" xfId="5373"/>
    <cellStyle name="常规 6 5 5" xfId="5374"/>
    <cellStyle name="常规 6 6" xfId="5375"/>
    <cellStyle name="常规 6 6 2" xfId="5376"/>
    <cellStyle name="常规 6 6 2 2" xfId="5377"/>
    <cellStyle name="常规 6 6 3" xfId="5378"/>
    <cellStyle name="常规 6 7" xfId="5379"/>
    <cellStyle name="常规 6 7 2" xfId="5380"/>
    <cellStyle name="常规 6 8" xfId="5381"/>
    <cellStyle name="常规 6 8 2" xfId="5382"/>
    <cellStyle name="常规 6 9" xfId="5383"/>
    <cellStyle name="常规 6 9 2" xfId="5384"/>
    <cellStyle name="常规 60" xfId="5385"/>
    <cellStyle name="常规 60 2" xfId="5386"/>
    <cellStyle name="常规 60 2 2" xfId="5387"/>
    <cellStyle name="常规 60 2 2 2" xfId="5388"/>
    <cellStyle name="常规 60 2 3" xfId="5389"/>
    <cellStyle name="常规 60 3" xfId="5390"/>
    <cellStyle name="常规 60 3 2" xfId="5391"/>
    <cellStyle name="常规 60 4" xfId="5392"/>
    <cellStyle name="常规 60 4 2" xfId="5393"/>
    <cellStyle name="常规 60 5" xfId="5394"/>
    <cellStyle name="常规 60 6" xfId="8901"/>
    <cellStyle name="常规 61" xfId="5395"/>
    <cellStyle name="常规 61 2" xfId="5396"/>
    <cellStyle name="常规 61 2 2" xfId="5397"/>
    <cellStyle name="常规 61 2 2 2" xfId="5398"/>
    <cellStyle name="常规 61 2 3" xfId="5399"/>
    <cellStyle name="常规 61 3" xfId="5400"/>
    <cellStyle name="常规 61 3 2" xfId="5401"/>
    <cellStyle name="常规 61 4" xfId="5402"/>
    <cellStyle name="常规 61 4 2" xfId="5403"/>
    <cellStyle name="常规 61 5" xfId="5404"/>
    <cellStyle name="常规 61 6" xfId="8902"/>
    <cellStyle name="常规 62" xfId="5405"/>
    <cellStyle name="常规 62 2" xfId="5406"/>
    <cellStyle name="常规 62 2 2" xfId="5407"/>
    <cellStyle name="常规 62 2 2 2" xfId="5408"/>
    <cellStyle name="常规 62 2 3" xfId="5409"/>
    <cellStyle name="常规 62 3" xfId="5410"/>
    <cellStyle name="常规 62 3 2" xfId="5411"/>
    <cellStyle name="常规 62 4" xfId="5412"/>
    <cellStyle name="常规 62 4 2" xfId="5413"/>
    <cellStyle name="常规 62 5" xfId="5414"/>
    <cellStyle name="常规 62 6" xfId="8900"/>
    <cellStyle name="常规 63" xfId="5415"/>
    <cellStyle name="常规 63 2" xfId="5416"/>
    <cellStyle name="常规 63 2 2" xfId="5417"/>
    <cellStyle name="常规 63 2 2 2" xfId="5418"/>
    <cellStyle name="常规 63 2 3" xfId="5419"/>
    <cellStyle name="常规 63 3" xfId="5420"/>
    <cellStyle name="常规 63 3 2" xfId="5421"/>
    <cellStyle name="常规 63 4" xfId="5422"/>
    <cellStyle name="常规 63 4 2" xfId="5423"/>
    <cellStyle name="常规 63 5" xfId="5424"/>
    <cellStyle name="常规 63 6" xfId="8903"/>
    <cellStyle name="常规 64" xfId="5425"/>
    <cellStyle name="常规 64 2" xfId="5426"/>
    <cellStyle name="常规 64 2 2" xfId="5427"/>
    <cellStyle name="常规 64 2 2 2" xfId="5428"/>
    <cellStyle name="常规 64 2 3" xfId="5429"/>
    <cellStyle name="常规 64 3" xfId="5430"/>
    <cellStyle name="常规 64 3 2" xfId="5431"/>
    <cellStyle name="常规 64 4" xfId="5432"/>
    <cellStyle name="常规 64 4 2" xfId="5433"/>
    <cellStyle name="常规 64 5" xfId="5434"/>
    <cellStyle name="常规 65" xfId="5435"/>
    <cellStyle name="常规 65 2" xfId="5436"/>
    <cellStyle name="常规 65 2 2" xfId="5437"/>
    <cellStyle name="常规 65 3" xfId="5438"/>
    <cellStyle name="常规 66" xfId="5439"/>
    <cellStyle name="常规 66 2" xfId="5440"/>
    <cellStyle name="常规 66 2 2" xfId="5441"/>
    <cellStyle name="常规 66 3" xfId="5442"/>
    <cellStyle name="常规 67" xfId="5443"/>
    <cellStyle name="常规 67 2" xfId="5444"/>
    <cellStyle name="常规 67 2 2" xfId="5445"/>
    <cellStyle name="常规 67 3" xfId="5446"/>
    <cellStyle name="常规 68" xfId="5447"/>
    <cellStyle name="常规 68 2" xfId="5448"/>
    <cellStyle name="常规 68 2 2" xfId="5449"/>
    <cellStyle name="常规 68 3" xfId="5450"/>
    <cellStyle name="常规 69" xfId="5451"/>
    <cellStyle name="常规 69 2" xfId="5452"/>
    <cellStyle name="常规 69 2 2" xfId="5453"/>
    <cellStyle name="常规 69 3" xfId="5454"/>
    <cellStyle name="常规 7" xfId="5455"/>
    <cellStyle name="常规 7 10" xfId="5456"/>
    <cellStyle name="常规 7 11" xfId="8888"/>
    <cellStyle name="常规 7 12" xfId="9175"/>
    <cellStyle name="常规 7 12 2" xfId="9432"/>
    <cellStyle name="常规 7 13" xfId="9233"/>
    <cellStyle name="常规 7 2" xfId="5457"/>
    <cellStyle name="常规 7 2 2" xfId="5458"/>
    <cellStyle name="常规 7 2 2 2" xfId="5459"/>
    <cellStyle name="常规 7 2 2 2 2" xfId="5460"/>
    <cellStyle name="常规 7 2 2 2 2 2" xfId="5461"/>
    <cellStyle name="常规 7 2 2 2 3" xfId="5462"/>
    <cellStyle name="常规 7 2 2 3" xfId="5463"/>
    <cellStyle name="常规 7 2 2 3 2" xfId="5464"/>
    <cellStyle name="常规 7 2 2 4" xfId="5465"/>
    <cellStyle name="常规 7 2 2 4 2" xfId="5466"/>
    <cellStyle name="常规 7 2 2 5" xfId="5467"/>
    <cellStyle name="常规 7 2 3" xfId="5468"/>
    <cellStyle name="常规 7 2 3 2" xfId="5469"/>
    <cellStyle name="常规 7 2 3 2 2" xfId="5470"/>
    <cellStyle name="常规 7 2 3 3" xfId="5471"/>
    <cellStyle name="常规 7 2 4" xfId="5472"/>
    <cellStyle name="常规 7 2 4 2" xfId="5473"/>
    <cellStyle name="常规 7 2 5" xfId="5474"/>
    <cellStyle name="常规 7 2 5 2" xfId="5475"/>
    <cellStyle name="常规 7 2 6" xfId="5476"/>
    <cellStyle name="常规 7 2 7" xfId="9180"/>
    <cellStyle name="常规 7 3" xfId="5477"/>
    <cellStyle name="常规 7 3 2" xfId="5478"/>
    <cellStyle name="常规 7 3 2 2" xfId="5479"/>
    <cellStyle name="常规 7 3 2 2 2" xfId="5480"/>
    <cellStyle name="常规 7 3 2 3" xfId="5481"/>
    <cellStyle name="常规 7 3 3" xfId="5482"/>
    <cellStyle name="常规 7 3 3 2" xfId="5483"/>
    <cellStyle name="常规 7 3 4" xfId="5484"/>
    <cellStyle name="常规 7 3 4 2" xfId="5485"/>
    <cellStyle name="常规 7 3 5" xfId="5486"/>
    <cellStyle name="常规 7 4" xfId="5487"/>
    <cellStyle name="常规 7 4 2" xfId="5488"/>
    <cellStyle name="常规 7 4 2 2" xfId="5489"/>
    <cellStyle name="常规 7 4 2 2 2" xfId="5490"/>
    <cellStyle name="常规 7 4 2 3" xfId="5491"/>
    <cellStyle name="常规 7 4 3" xfId="5492"/>
    <cellStyle name="常规 7 4 3 2" xfId="5493"/>
    <cellStyle name="常规 7 4 4" xfId="5494"/>
    <cellStyle name="常规 7 4 4 2" xfId="5495"/>
    <cellStyle name="常规 7 4 5" xfId="5496"/>
    <cellStyle name="常规 7 5" xfId="5497"/>
    <cellStyle name="常规 7 5 2" xfId="5498"/>
    <cellStyle name="常规 7 5 2 2" xfId="5499"/>
    <cellStyle name="常规 7 5 2 2 2" xfId="5500"/>
    <cellStyle name="常规 7 5 2 3" xfId="5501"/>
    <cellStyle name="常规 7 5 3" xfId="5502"/>
    <cellStyle name="常规 7 5 3 2" xfId="5503"/>
    <cellStyle name="常规 7 5 4" xfId="5504"/>
    <cellStyle name="常规 7 5 4 2" xfId="5505"/>
    <cellStyle name="常规 7 5 5" xfId="5506"/>
    <cellStyle name="常规 7 6" xfId="5507"/>
    <cellStyle name="常规 7 6 2" xfId="5508"/>
    <cellStyle name="常规 7 6 2 2" xfId="5509"/>
    <cellStyle name="常规 7 6 3" xfId="5510"/>
    <cellStyle name="常规 7 7" xfId="5511"/>
    <cellStyle name="常规 7 7 2" xfId="5512"/>
    <cellStyle name="常规 7 8" xfId="5513"/>
    <cellStyle name="常规 7 8 2" xfId="5514"/>
    <cellStyle name="常规 7 9" xfId="5515"/>
    <cellStyle name="常规 7 9 2" xfId="5516"/>
    <cellStyle name="常规 70" xfId="5517"/>
    <cellStyle name="常规 70 2" xfId="5518"/>
    <cellStyle name="常规 70 2 2" xfId="5519"/>
    <cellStyle name="常规 70 3" xfId="5520"/>
    <cellStyle name="常规 71" xfId="5521"/>
    <cellStyle name="常规 71 2" xfId="5522"/>
    <cellStyle name="常规 71 2 2" xfId="5523"/>
    <cellStyle name="常规 71 3" xfId="5524"/>
    <cellStyle name="常规 72" xfId="5525"/>
    <cellStyle name="常规 72 2" xfId="5526"/>
    <cellStyle name="常规 72 2 2" xfId="5527"/>
    <cellStyle name="常规 72 3" xfId="5528"/>
    <cellStyle name="常规 73" xfId="5529"/>
    <cellStyle name="常规 73 2" xfId="5530"/>
    <cellStyle name="常规 73 2 2" xfId="5531"/>
    <cellStyle name="常规 73 3" xfId="5532"/>
    <cellStyle name="常规 74" xfId="5533"/>
    <cellStyle name="常规 74 2" xfId="5534"/>
    <cellStyle name="常规 74 2 2" xfId="5535"/>
    <cellStyle name="常规 74 3" xfId="5536"/>
    <cellStyle name="常规 75" xfId="5537"/>
    <cellStyle name="常规 75 2" xfId="5538"/>
    <cellStyle name="常规 75 2 2" xfId="5539"/>
    <cellStyle name="常规 75 3" xfId="5540"/>
    <cellStyle name="常规 76" xfId="5541"/>
    <cellStyle name="常规 76 2" xfId="5542"/>
    <cellStyle name="常规 76 2 2" xfId="5543"/>
    <cellStyle name="常规 76 3" xfId="5544"/>
    <cellStyle name="常规 77" xfId="5545"/>
    <cellStyle name="常规 77 2" xfId="5546"/>
    <cellStyle name="常规 77 2 2" xfId="5547"/>
    <cellStyle name="常规 77 3" xfId="5548"/>
    <cellStyle name="常规 78" xfId="5549"/>
    <cellStyle name="常规 78 2" xfId="5550"/>
    <cellStyle name="常规 78 2 2" xfId="5551"/>
    <cellStyle name="常规 78 3" xfId="5552"/>
    <cellStyle name="常规 79" xfId="5553"/>
    <cellStyle name="常规 79 2" xfId="5554"/>
    <cellStyle name="常规 79 2 2" xfId="5555"/>
    <cellStyle name="常规 79 3" xfId="5556"/>
    <cellStyle name="常规 8" xfId="13"/>
    <cellStyle name="常规 8 10" xfId="5558"/>
    <cellStyle name="常规 8 11" xfId="8602"/>
    <cellStyle name="常规 8 12" xfId="8890"/>
    <cellStyle name="常规 8 13" xfId="9176"/>
    <cellStyle name="常规 8 13 2" xfId="9433"/>
    <cellStyle name="常规 8 14" xfId="5557"/>
    <cellStyle name="常规 8 2" xfId="15"/>
    <cellStyle name="常规 8 2 2" xfId="5560"/>
    <cellStyle name="常规 8 2 2 2" xfId="5561"/>
    <cellStyle name="常规 8 2 2 2 2" xfId="5562"/>
    <cellStyle name="常规 8 2 2 2 2 2" xfId="5563"/>
    <cellStyle name="常规 8 2 2 2 3" xfId="5564"/>
    <cellStyle name="常规 8 2 2 3" xfId="5565"/>
    <cellStyle name="常规 8 2 2 3 2" xfId="5566"/>
    <cellStyle name="常规 8 2 2 4" xfId="5567"/>
    <cellStyle name="常规 8 2 2 4 2" xfId="5568"/>
    <cellStyle name="常规 8 2 2 5" xfId="5569"/>
    <cellStyle name="常规 8 2 3" xfId="5570"/>
    <cellStyle name="常规 8 2 3 2" xfId="5571"/>
    <cellStyle name="常规 8 2 3 2 2" xfId="5572"/>
    <cellStyle name="常规 8 2 3 3" xfId="5573"/>
    <cellStyle name="常规 8 2 4" xfId="5574"/>
    <cellStyle name="常规 8 2 4 2" xfId="5575"/>
    <cellStyle name="常规 8 2 5" xfId="5576"/>
    <cellStyle name="常规 8 2 5 2" xfId="5577"/>
    <cellStyle name="常规 8 2 6" xfId="5578"/>
    <cellStyle name="常规 8 2 7" xfId="8764"/>
    <cellStyle name="常规 8 2 8" xfId="9184"/>
    <cellStyle name="常规 8 2 9" xfId="5559"/>
    <cellStyle name="常规 8 3" xfId="5579"/>
    <cellStyle name="常规 8 3 2" xfId="5580"/>
    <cellStyle name="常规 8 3 2 2" xfId="5581"/>
    <cellStyle name="常规 8 3 2 2 2" xfId="5582"/>
    <cellStyle name="常规 8 3 2 3" xfId="5583"/>
    <cellStyle name="常规 8 3 3" xfId="5584"/>
    <cellStyle name="常规 8 3 3 2" xfId="5585"/>
    <cellStyle name="常规 8 3 4" xfId="5586"/>
    <cellStyle name="常规 8 3 4 2" xfId="5587"/>
    <cellStyle name="常规 8 3 5" xfId="5588"/>
    <cellStyle name="常规 8 4" xfId="5589"/>
    <cellStyle name="常规 8 4 2" xfId="5590"/>
    <cellStyle name="常规 8 4 2 2" xfId="5591"/>
    <cellStyle name="常规 8 4 2 2 2" xfId="5592"/>
    <cellStyle name="常规 8 4 2 3" xfId="5593"/>
    <cellStyle name="常规 8 4 3" xfId="5594"/>
    <cellStyle name="常规 8 4 3 2" xfId="5595"/>
    <cellStyle name="常规 8 4 4" xfId="5596"/>
    <cellStyle name="常规 8 4 4 2" xfId="5597"/>
    <cellStyle name="常规 8 4 5" xfId="5598"/>
    <cellStyle name="常规 8 5" xfId="5599"/>
    <cellStyle name="常规 8 5 2" xfId="5600"/>
    <cellStyle name="常规 8 5 2 2" xfId="5601"/>
    <cellStyle name="常规 8 5 2 2 2" xfId="5602"/>
    <cellStyle name="常规 8 5 2 3" xfId="5603"/>
    <cellStyle name="常规 8 5 3" xfId="5604"/>
    <cellStyle name="常规 8 5 3 2" xfId="5605"/>
    <cellStyle name="常规 8 5 4" xfId="5606"/>
    <cellStyle name="常规 8 5 4 2" xfId="5607"/>
    <cellStyle name="常规 8 5 5" xfId="5608"/>
    <cellStyle name="常规 8 6" xfId="5609"/>
    <cellStyle name="常规 8 6 2" xfId="5610"/>
    <cellStyle name="常规 8 6 2 2" xfId="5611"/>
    <cellStyle name="常规 8 6 3" xfId="5612"/>
    <cellStyle name="常规 8 7" xfId="5613"/>
    <cellStyle name="常规 8 7 2" xfId="5614"/>
    <cellStyle name="常规 8 8" xfId="5615"/>
    <cellStyle name="常规 8 8 2" xfId="5616"/>
    <cellStyle name="常规 8 9" xfId="5617"/>
    <cellStyle name="常规 8 9 2" xfId="5618"/>
    <cellStyle name="常规 80" xfId="5619"/>
    <cellStyle name="常规 80 2" xfId="5620"/>
    <cellStyle name="常规 80 2 2" xfId="5621"/>
    <cellStyle name="常规 80 3" xfId="5622"/>
    <cellStyle name="常规 81" xfId="5623"/>
    <cellStyle name="常规 81 2" xfId="5624"/>
    <cellStyle name="常规 81 2 2" xfId="5625"/>
    <cellStyle name="常规 81 3" xfId="5626"/>
    <cellStyle name="常规 82" xfId="5627"/>
    <cellStyle name="常规 82 2" xfId="5628"/>
    <cellStyle name="常规 82 2 2" xfId="5629"/>
    <cellStyle name="常规 82 3" xfId="5630"/>
    <cellStyle name="常规 83" xfId="5631"/>
    <cellStyle name="常规 83 2" xfId="5632"/>
    <cellStyle name="常规 83 2 2" xfId="5633"/>
    <cellStyle name="常规 83 3" xfId="5634"/>
    <cellStyle name="常规 84" xfId="5635"/>
    <cellStyle name="常规 84 2" xfId="5636"/>
    <cellStyle name="常规 84 2 2" xfId="5637"/>
    <cellStyle name="常规 84 3" xfId="5638"/>
    <cellStyle name="常规 85" xfId="5639"/>
    <cellStyle name="常规 85 2" xfId="5640"/>
    <cellStyle name="常规 85 2 2" xfId="5641"/>
    <cellStyle name="常规 85 3" xfId="5642"/>
    <cellStyle name="常规 86" xfId="5643"/>
    <cellStyle name="常规 86 2" xfId="5644"/>
    <cellStyle name="常规 86 2 2" xfId="5645"/>
    <cellStyle name="常规 86 3" xfId="5646"/>
    <cellStyle name="常规 87" xfId="5647"/>
    <cellStyle name="常规 87 2" xfId="5648"/>
    <cellStyle name="常规 87 2 2" xfId="5649"/>
    <cellStyle name="常规 87 3" xfId="5650"/>
    <cellStyle name="常规 88" xfId="5651"/>
    <cellStyle name="常规 88 2" xfId="5652"/>
    <cellStyle name="常规 88 2 2" xfId="5653"/>
    <cellStyle name="常规 88 3" xfId="5654"/>
    <cellStyle name="常规 89" xfId="5655"/>
    <cellStyle name="常规 89 2" xfId="5656"/>
    <cellStyle name="常规 89 2 2" xfId="5657"/>
    <cellStyle name="常规 89 3" xfId="5658"/>
    <cellStyle name="常规 9" xfId="5659"/>
    <cellStyle name="常规 9 10" xfId="5660"/>
    <cellStyle name="常规 9 11" xfId="8893"/>
    <cellStyle name="常规 9 12" xfId="9177"/>
    <cellStyle name="常规 9 12 2" xfId="9434"/>
    <cellStyle name="常规 9 2" xfId="5661"/>
    <cellStyle name="常规 9 2 2" xfId="5662"/>
    <cellStyle name="常规 9 2 2 2" xfId="5663"/>
    <cellStyle name="常规 9 2 2 2 2" xfId="5664"/>
    <cellStyle name="常规 9 2 2 2 2 2" xfId="5665"/>
    <cellStyle name="常规 9 2 2 2 3" xfId="5666"/>
    <cellStyle name="常规 9 2 2 2 4" xfId="5667"/>
    <cellStyle name="常规 9 2 2 3" xfId="5668"/>
    <cellStyle name="常规 9 2 2 3 2" xfId="5669"/>
    <cellStyle name="常规 9 2 2 4" xfId="5670"/>
    <cellStyle name="常规 9 2 2 4 2" xfId="5671"/>
    <cellStyle name="常规 9 2 2 5" xfId="5672"/>
    <cellStyle name="常规 9 2 2 6" xfId="5673"/>
    <cellStyle name="常规 9 2 3" xfId="5674"/>
    <cellStyle name="常规 9 2 3 2" xfId="5675"/>
    <cellStyle name="常规 9 2 3 2 2" xfId="5676"/>
    <cellStyle name="常规 9 2 3 3" xfId="5677"/>
    <cellStyle name="常规 9 2 3 4" xfId="5678"/>
    <cellStyle name="常规 9 2 4" xfId="5679"/>
    <cellStyle name="常规 9 2 4 2" xfId="5680"/>
    <cellStyle name="常规 9 2 5" xfId="5681"/>
    <cellStyle name="常规 9 2 5 2" xfId="5682"/>
    <cellStyle name="常规 9 2 6" xfId="5683"/>
    <cellStyle name="常规 9 2 7" xfId="5684"/>
    <cellStyle name="常规 9 2 8" xfId="9192"/>
    <cellStyle name="常规 9 3" xfId="5685"/>
    <cellStyle name="常规 9 3 2" xfId="5686"/>
    <cellStyle name="常规 9 3 2 2" xfId="5687"/>
    <cellStyle name="常规 9 3 2 2 2" xfId="5688"/>
    <cellStyle name="常规 9 3 2 3" xfId="5689"/>
    <cellStyle name="常规 9 3 2 4" xfId="5690"/>
    <cellStyle name="常规 9 3 3" xfId="5691"/>
    <cellStyle name="常规 9 3 3 2" xfId="5692"/>
    <cellStyle name="常规 9 3 4" xfId="5693"/>
    <cellStyle name="常规 9 3 4 2" xfId="5694"/>
    <cellStyle name="常规 9 3 5" xfId="5695"/>
    <cellStyle name="常规 9 3 6" xfId="5696"/>
    <cellStyle name="常规 9 4" xfId="5697"/>
    <cellStyle name="常规 9 4 2" xfId="5698"/>
    <cellStyle name="常规 9 4 2 2" xfId="5699"/>
    <cellStyle name="常规 9 4 2 2 2" xfId="5700"/>
    <cellStyle name="常规 9 4 2 3" xfId="5701"/>
    <cellStyle name="常规 9 4 2 4" xfId="5702"/>
    <cellStyle name="常规 9 4 3" xfId="5703"/>
    <cellStyle name="常规 9 4 3 2" xfId="5704"/>
    <cellStyle name="常规 9 4 4" xfId="5705"/>
    <cellStyle name="常规 9 4 4 2" xfId="5706"/>
    <cellStyle name="常规 9 4 5" xfId="5707"/>
    <cellStyle name="常规 9 4 6" xfId="5708"/>
    <cellStyle name="常规 9 5" xfId="5709"/>
    <cellStyle name="常规 9 5 2" xfId="5710"/>
    <cellStyle name="常规 9 5 2 2" xfId="5711"/>
    <cellStyle name="常规 9 5 3" xfId="5712"/>
    <cellStyle name="常规 9 5 4" xfId="5713"/>
    <cellStyle name="常规 9 6" xfId="5714"/>
    <cellStyle name="常规 9 6 2" xfId="5715"/>
    <cellStyle name="常规 9 7" xfId="5716"/>
    <cellStyle name="常规 9 7 2" xfId="5717"/>
    <cellStyle name="常规 9 8" xfId="5718"/>
    <cellStyle name="常规 9 8 2" xfId="5719"/>
    <cellStyle name="常规 9 9" xfId="5720"/>
    <cellStyle name="常规 90" xfId="5721"/>
    <cellStyle name="常规 90 2" xfId="5722"/>
    <cellStyle name="常规 90 2 2" xfId="5723"/>
    <cellStyle name="常规 90 3" xfId="5724"/>
    <cellStyle name="常规 91" xfId="5725"/>
    <cellStyle name="常规 91 2" xfId="5726"/>
    <cellStyle name="常规 91 2 2" xfId="5727"/>
    <cellStyle name="常规 91 3" xfId="5728"/>
    <cellStyle name="常规 92" xfId="5729"/>
    <cellStyle name="常规 92 2" xfId="5730"/>
    <cellStyle name="常规 92 2 2" xfId="5731"/>
    <cellStyle name="常规 92 3" xfId="5732"/>
    <cellStyle name="常规 93" xfId="5733"/>
    <cellStyle name="常规 93 2" xfId="5734"/>
    <cellStyle name="常规 93 2 2" xfId="5735"/>
    <cellStyle name="常规 93 3" xfId="5736"/>
    <cellStyle name="常规 94" xfId="5737"/>
    <cellStyle name="常规 94 2" xfId="5738"/>
    <cellStyle name="常规 94 2 2" xfId="5739"/>
    <cellStyle name="常规 94 3" xfId="5740"/>
    <cellStyle name="常规 95" xfId="5741"/>
    <cellStyle name="常规 95 2" xfId="5742"/>
    <cellStyle name="常规 95 2 2" xfId="5743"/>
    <cellStyle name="常规 95 3" xfId="5744"/>
    <cellStyle name="常规 96" xfId="5745"/>
    <cellStyle name="常规 96 2" xfId="5746"/>
    <cellStyle name="常规 96 2 2" xfId="5747"/>
    <cellStyle name="常规 96 3" xfId="5748"/>
    <cellStyle name="常规 97" xfId="5749"/>
    <cellStyle name="常规 97 2" xfId="5750"/>
    <cellStyle name="常规 97 2 2" xfId="5751"/>
    <cellStyle name="常规 97 3" xfId="5752"/>
    <cellStyle name="常规 98" xfId="5753"/>
    <cellStyle name="常规 98 2" xfId="5754"/>
    <cellStyle name="常规 98 2 2" xfId="5755"/>
    <cellStyle name="常规 98 3" xfId="5756"/>
    <cellStyle name="常规 99" xfId="5757"/>
    <cellStyle name="常规 99 2" xfId="5758"/>
    <cellStyle name="常规 99 2 2" xfId="5759"/>
    <cellStyle name="常规 99 3" xfId="5760"/>
    <cellStyle name="常规_Sheet1" xfId="9207"/>
    <cellStyle name="常规_Sheet1 2" xfId="9208"/>
    <cellStyle name="常规_Sheet1_1" xfId="9244"/>
    <cellStyle name="常规_北桥中学防震加固工程报价20110106" xfId="9243"/>
    <cellStyle name="常规_合1（初中预算）" xfId="9240"/>
    <cellStyle name="常规_合1(高中预算)" xfId="9239"/>
    <cellStyle name="常规_闵行区教育局中、小学装备标准(2014年新版）" xfId="9238"/>
    <cellStyle name="常规_项目申报表" xfId="9202"/>
    <cellStyle name="常规_小学设备预算" xfId="9241"/>
    <cellStyle name="常规_幼儿园_4" xfId="9242"/>
    <cellStyle name="超链接 2" xfId="5761"/>
    <cellStyle name="超链接 2 2" xfId="5762"/>
    <cellStyle name="超链接 2 2 2" xfId="5763"/>
    <cellStyle name="超链接 2 3" xfId="5764"/>
    <cellStyle name="超链接 2 3 2" xfId="5765"/>
    <cellStyle name="超链接 2 4" xfId="5766"/>
    <cellStyle name="好 2" xfId="5767"/>
    <cellStyle name="好 2 10" xfId="8982"/>
    <cellStyle name="好 2 11" xfId="9270"/>
    <cellStyle name="好 2 11 2" xfId="9465"/>
    <cellStyle name="好 2 2" xfId="5768"/>
    <cellStyle name="好 2 2 2" xfId="5769"/>
    <cellStyle name="好 2 2 2 2" xfId="5770"/>
    <cellStyle name="好 2 2 2 2 2" xfId="5771"/>
    <cellStyle name="好 2 2 2 3" xfId="5772"/>
    <cellStyle name="好 2 2 3" xfId="5773"/>
    <cellStyle name="好 2 2 3 2" xfId="5774"/>
    <cellStyle name="好 2 2 4" xfId="5775"/>
    <cellStyle name="好 2 2 4 2" xfId="5776"/>
    <cellStyle name="好 2 2 5" xfId="5777"/>
    <cellStyle name="好 2 2 6" xfId="8766"/>
    <cellStyle name="好 2 3" xfId="5778"/>
    <cellStyle name="好 2 3 2" xfId="5779"/>
    <cellStyle name="好 2 3 2 2" xfId="5780"/>
    <cellStyle name="好 2 3 3" xfId="5781"/>
    <cellStyle name="好 2 4" xfId="5782"/>
    <cellStyle name="好 2 4 2" xfId="5783"/>
    <cellStyle name="好 2 5" xfId="5784"/>
    <cellStyle name="好 2 5 2" xfId="5785"/>
    <cellStyle name="好 2 6" xfId="5786"/>
    <cellStyle name="好 2 7" xfId="8605"/>
    <cellStyle name="好 2 8" xfId="8765"/>
    <cellStyle name="好 2 9" xfId="8929"/>
    <cellStyle name="好 3" xfId="5787"/>
    <cellStyle name="好 3 2" xfId="5788"/>
    <cellStyle name="好 3 2 2" xfId="5789"/>
    <cellStyle name="好 3 2 2 2" xfId="5790"/>
    <cellStyle name="好 3 2 2 2 2" xfId="5791"/>
    <cellStyle name="好 3 2 2 3" xfId="5792"/>
    <cellStyle name="好 3 2 3" xfId="5793"/>
    <cellStyle name="好 3 2 3 2" xfId="5794"/>
    <cellStyle name="好 3 2 4" xfId="5795"/>
    <cellStyle name="好 3 2 4 2" xfId="5796"/>
    <cellStyle name="好 3 2 5" xfId="5797"/>
    <cellStyle name="好 3 2 6" xfId="8768"/>
    <cellStyle name="好 3 3" xfId="5798"/>
    <cellStyle name="好 3 3 2" xfId="5799"/>
    <cellStyle name="好 3 3 2 2" xfId="5800"/>
    <cellStyle name="好 3 3 3" xfId="5801"/>
    <cellStyle name="好 3 4" xfId="5802"/>
    <cellStyle name="好 3 4 2" xfId="5803"/>
    <cellStyle name="好 3 5" xfId="5804"/>
    <cellStyle name="好 3 5 2" xfId="5805"/>
    <cellStyle name="好 3 6" xfId="5806"/>
    <cellStyle name="好 3 7" xfId="8767"/>
    <cellStyle name="好 4" xfId="5807"/>
    <cellStyle name="好 4 2" xfId="5808"/>
    <cellStyle name="好 4 2 2" xfId="5809"/>
    <cellStyle name="好 4 2 2 2" xfId="5810"/>
    <cellStyle name="好 4 2 2 2 2" xfId="5811"/>
    <cellStyle name="好 4 2 2 3" xfId="5812"/>
    <cellStyle name="好 4 2 3" xfId="5813"/>
    <cellStyle name="好 4 2 3 2" xfId="5814"/>
    <cellStyle name="好 4 2 4" xfId="5815"/>
    <cellStyle name="好 4 2 4 2" xfId="5816"/>
    <cellStyle name="好 4 2 5" xfId="5817"/>
    <cellStyle name="好 4 2 6" xfId="8770"/>
    <cellStyle name="好 4 3" xfId="5818"/>
    <cellStyle name="好 4 3 2" xfId="5819"/>
    <cellStyle name="好 4 3 2 2" xfId="5820"/>
    <cellStyle name="好 4 3 3" xfId="5821"/>
    <cellStyle name="好 4 4" xfId="5822"/>
    <cellStyle name="好 4 4 2" xfId="5823"/>
    <cellStyle name="好 4 5" xfId="5824"/>
    <cellStyle name="好 4 5 2" xfId="5825"/>
    <cellStyle name="好 4 6" xfId="5826"/>
    <cellStyle name="好 4 7" xfId="8769"/>
    <cellStyle name="好 5" xfId="5827"/>
    <cellStyle name="好 5 2" xfId="5828"/>
    <cellStyle name="好 5 2 2" xfId="5829"/>
    <cellStyle name="好 5 2 2 2" xfId="5830"/>
    <cellStyle name="好 5 2 3" xfId="5831"/>
    <cellStyle name="好 5 3" xfId="5832"/>
    <cellStyle name="好 5 3 2" xfId="5833"/>
    <cellStyle name="好 5 4" xfId="5834"/>
    <cellStyle name="好 5 4 2" xfId="5835"/>
    <cellStyle name="好 5 5" xfId="5836"/>
    <cellStyle name="好 6" xfId="5837"/>
    <cellStyle name="好 6 2" xfId="5838"/>
    <cellStyle name="好 6 2 2" xfId="5839"/>
    <cellStyle name="好 6 2 2 2" xfId="5840"/>
    <cellStyle name="好 6 2 3" xfId="5841"/>
    <cellStyle name="好 6 3" xfId="5842"/>
    <cellStyle name="好 6 3 2" xfId="5843"/>
    <cellStyle name="好 6 4" xfId="5844"/>
    <cellStyle name="好 6 4 2" xfId="5845"/>
    <cellStyle name="好 6 5" xfId="5846"/>
    <cellStyle name="好 7" xfId="5847"/>
    <cellStyle name="好 7 2" xfId="5848"/>
    <cellStyle name="好 7 2 2" xfId="5849"/>
    <cellStyle name="好 7 2 2 2" xfId="5850"/>
    <cellStyle name="好 7 2 3" xfId="5851"/>
    <cellStyle name="好 7 3" xfId="5852"/>
    <cellStyle name="好 7 3 2" xfId="5853"/>
    <cellStyle name="好 7 4" xfId="5854"/>
    <cellStyle name="好 7 4 2" xfId="5855"/>
    <cellStyle name="好 7 5" xfId="5856"/>
    <cellStyle name="好 8" xfId="5857"/>
    <cellStyle name="好 8 2" xfId="5858"/>
    <cellStyle name="好 8 2 2" xfId="5859"/>
    <cellStyle name="好 8 3" xfId="5860"/>
    <cellStyle name="好_2013见习培训经费表下半年(chen)2014年9月" xfId="5861"/>
    <cellStyle name="好_2013见习培训经费表下半年(chen)2014年9月 2" xfId="5862"/>
    <cellStyle name="好_2013见习培训经费表下半年(chen)2014年9月 2 2" xfId="5863"/>
    <cellStyle name="好_2013见习培训经费表下半年(chen)2014年9月 2 2 2" xfId="5864"/>
    <cellStyle name="好_2013见习培训经费表下半年(chen)2014年9月 2 2 2 2" xfId="5865"/>
    <cellStyle name="好_2013见习培训经费表下半年(chen)2014年9月 2 2 2 2 2" xfId="5866"/>
    <cellStyle name="好_2013见习培训经费表下半年(chen)2014年9月 2 2 2 3" xfId="5867"/>
    <cellStyle name="好_2013见习培训经费表下半年(chen)2014年9月 2 2 3" xfId="5868"/>
    <cellStyle name="好_2013见习培训经费表下半年(chen)2014年9月 2 2 3 2" xfId="5869"/>
    <cellStyle name="好_2013见习培训经费表下半年(chen)2014年9月 2 2 4" xfId="5870"/>
    <cellStyle name="好_2013见习培训经费表下半年(chen)2014年9月 2 2 4 2" xfId="5871"/>
    <cellStyle name="好_2013见习培训经费表下半年(chen)2014年9月 2 2 5" xfId="5872"/>
    <cellStyle name="好_2013见习培训经费表下半年(chen)2014年9月 2 3" xfId="5873"/>
    <cellStyle name="好_2013见习培训经费表下半年(chen)2014年9月 2 3 2" xfId="5874"/>
    <cellStyle name="好_2013见习培训经费表下半年(chen)2014年9月 2 3 2 2" xfId="5875"/>
    <cellStyle name="好_2013见习培训经费表下半年(chen)2014年9月 2 3 3" xfId="5876"/>
    <cellStyle name="好_2013见习培训经费表下半年(chen)2014年9月 2 4" xfId="5877"/>
    <cellStyle name="好_2013见习培训经费表下半年(chen)2014年9月 2 4 2" xfId="5878"/>
    <cellStyle name="好_2013见习培训经费表下半年(chen)2014年9月 2 5" xfId="5879"/>
    <cellStyle name="好_2013见习培训经费表下半年(chen)2014年9月 2 5 2" xfId="5880"/>
    <cellStyle name="好_2013见习培训经费表下半年(chen)2014年9月 2 6" xfId="5881"/>
    <cellStyle name="好_2013见习培训经费表下半年(chen)2014年9月 3" xfId="5882"/>
    <cellStyle name="好_2013见习培训经费表下半年(chen)2014年9月 3 2" xfId="5883"/>
    <cellStyle name="好_2013见习培训经费表下半年(chen)2014年9月 3 2 2" xfId="5884"/>
    <cellStyle name="好_2013见习培训经费表下半年(chen)2014年9月 3 2 2 2" xfId="5885"/>
    <cellStyle name="好_2013见习培训经费表下半年(chen)2014年9月 3 2 3" xfId="5886"/>
    <cellStyle name="好_2013见习培训经费表下半年(chen)2014年9月 3 3" xfId="5887"/>
    <cellStyle name="好_2013见习培训经费表下半年(chen)2014年9月 3 3 2" xfId="5888"/>
    <cellStyle name="好_2013见习培训经费表下半年(chen)2014年9月 3 4" xfId="5889"/>
    <cellStyle name="好_2013见习培训经费表下半年(chen)2014年9月 3 4 2" xfId="5890"/>
    <cellStyle name="好_2013见习培训经费表下半年(chen)2014年9月 3 5" xfId="5891"/>
    <cellStyle name="好_2013见习培训经费表下半年(chen)2014年9月 4" xfId="5892"/>
    <cellStyle name="好_2013见习培训经费表下半年(chen)2014年9月 4 2" xfId="5893"/>
    <cellStyle name="好_2013见习培训经费表下半年(chen)2014年9月 4 2 2" xfId="5894"/>
    <cellStyle name="好_2013见习培训经费表下半年(chen)2014年9月 4 2 2 2" xfId="5895"/>
    <cellStyle name="好_2013见习培训经费表下半年(chen)2014年9月 4 2 3" xfId="5896"/>
    <cellStyle name="好_2013见习培训经费表下半年(chen)2014年9月 4 3" xfId="5897"/>
    <cellStyle name="好_2013见习培训经费表下半年(chen)2014年9月 4 3 2" xfId="5898"/>
    <cellStyle name="好_2013见习培训经费表下半年(chen)2014年9月 4 4" xfId="5899"/>
    <cellStyle name="好_2013见习培训经费表下半年(chen)2014年9月 4 4 2" xfId="5900"/>
    <cellStyle name="好_2013见习培训经费表下半年(chen)2014年9月 4 5" xfId="5901"/>
    <cellStyle name="好_2013见习培训经费表下半年(chen)2014年9月 5" xfId="5902"/>
    <cellStyle name="好_2013见习培训经费表下半年(chen)2014年9月 5 2" xfId="5903"/>
    <cellStyle name="好_2013见习培训经费表下半年(chen)2014年9月 5 2 2" xfId="5904"/>
    <cellStyle name="好_2013见习培训经费表下半年(chen)2014年9月 5 3" xfId="5905"/>
    <cellStyle name="好_2013见习培训经费表下半年(chen)2014年9月 6" xfId="5906"/>
    <cellStyle name="好_2013见习培训经费表下半年(chen)2014年9月 6 2" xfId="5907"/>
    <cellStyle name="好_2013见习培训经费表下半年(chen)2014年9月 7" xfId="5908"/>
    <cellStyle name="好_2013见习培训经费表下半年(chen)2014年9月 7 2" xfId="5909"/>
    <cellStyle name="好_2013见习培训经费表下半年(chen)2014年9月 8" xfId="5910"/>
    <cellStyle name="好_2013见习培训经费表下半年(chen)2014年9月 8 2" xfId="5911"/>
    <cellStyle name="好_2013见习培训经费表下半年(chen)2014年9月 9" xfId="5912"/>
    <cellStyle name="好_2014年聘用学校导师带教经费表" xfId="5913"/>
    <cellStyle name="好_2014年聘用学校导师带教经费表 10" xfId="5914"/>
    <cellStyle name="好_2014年聘用学校导师带教经费表 10 2" xfId="5915"/>
    <cellStyle name="好_2014年聘用学校导师带教经费表 11" xfId="5916"/>
    <cellStyle name="好_2014年聘用学校导师带教经费表 2" xfId="5917"/>
    <cellStyle name="好_2014年聘用学校导师带教经费表 2 2" xfId="5918"/>
    <cellStyle name="好_2014年聘用学校导师带教经费表 2 2 2" xfId="5919"/>
    <cellStyle name="好_2014年聘用学校导师带教经费表 2 2 2 2" xfId="5920"/>
    <cellStyle name="好_2014年聘用学校导师带教经费表 2 2 2 2 2" xfId="5921"/>
    <cellStyle name="好_2014年聘用学校导师带教经费表 2 2 2 3" xfId="5922"/>
    <cellStyle name="好_2014年聘用学校导师带教经费表 2 2 3" xfId="5923"/>
    <cellStyle name="好_2014年聘用学校导师带教经费表 2 2 3 2" xfId="5924"/>
    <cellStyle name="好_2014年聘用学校导师带教经费表 2 2 4" xfId="5925"/>
    <cellStyle name="好_2014年聘用学校导师带教经费表 2 2 4 2" xfId="5926"/>
    <cellStyle name="好_2014年聘用学校导师带教经费表 2 2 5" xfId="5927"/>
    <cellStyle name="好_2014年聘用学校导师带教经费表 2 3" xfId="5928"/>
    <cellStyle name="好_2014年聘用学校导师带教经费表 2 3 2" xfId="5929"/>
    <cellStyle name="好_2014年聘用学校导师带教经费表 2 3 2 2" xfId="5930"/>
    <cellStyle name="好_2014年聘用学校导师带教经费表 2 3 3" xfId="5931"/>
    <cellStyle name="好_2014年聘用学校导师带教经费表 2 4" xfId="5932"/>
    <cellStyle name="好_2014年聘用学校导师带教经费表 2 4 2" xfId="5933"/>
    <cellStyle name="好_2014年聘用学校导师带教经费表 2 5" xfId="5934"/>
    <cellStyle name="好_2014年聘用学校导师带教经费表 2 5 2" xfId="5935"/>
    <cellStyle name="好_2014年聘用学校导师带教经费表 2 6" xfId="5936"/>
    <cellStyle name="好_2014年聘用学校导师带教经费表 3" xfId="5937"/>
    <cellStyle name="好_2014年聘用学校导师带教经费表 3 2" xfId="5938"/>
    <cellStyle name="好_2014年聘用学校导师带教经费表 3 2 2" xfId="5939"/>
    <cellStyle name="好_2014年聘用学校导师带教经费表 3 2 2 2" xfId="5940"/>
    <cellStyle name="好_2014年聘用学校导师带教经费表 3 2 2 2 2" xfId="5941"/>
    <cellStyle name="好_2014年聘用学校导师带教经费表 3 2 2 3" xfId="5942"/>
    <cellStyle name="好_2014年聘用学校导师带教经费表 3 2 3" xfId="5943"/>
    <cellStyle name="好_2014年聘用学校导师带教经费表 3 2 3 2" xfId="5944"/>
    <cellStyle name="好_2014年聘用学校导师带教经费表 3 2 4" xfId="5945"/>
    <cellStyle name="好_2014年聘用学校导师带教经费表 3 2 4 2" xfId="5946"/>
    <cellStyle name="好_2014年聘用学校导师带教经费表 3 2 5" xfId="5947"/>
    <cellStyle name="好_2014年聘用学校导师带教经费表 3 3" xfId="5948"/>
    <cellStyle name="好_2014年聘用学校导师带教经费表 3 3 2" xfId="5949"/>
    <cellStyle name="好_2014年聘用学校导师带教经费表 3 3 2 2" xfId="5950"/>
    <cellStyle name="好_2014年聘用学校导师带教经费表 3 3 3" xfId="5951"/>
    <cellStyle name="好_2014年聘用学校导师带教经费表 3 4" xfId="5952"/>
    <cellStyle name="好_2014年聘用学校导师带教经费表 3 4 2" xfId="5953"/>
    <cellStyle name="好_2014年聘用学校导师带教经费表 3 5" xfId="5954"/>
    <cellStyle name="好_2014年聘用学校导师带教经费表 3 5 2" xfId="5955"/>
    <cellStyle name="好_2014年聘用学校导师带教经费表 3 6" xfId="5956"/>
    <cellStyle name="好_2014年聘用学校导师带教经费表 4" xfId="5957"/>
    <cellStyle name="好_2014年聘用学校导师带教经费表 4 2" xfId="5958"/>
    <cellStyle name="好_2014年聘用学校导师带教经费表 4 2 2" xfId="5959"/>
    <cellStyle name="好_2014年聘用学校导师带教经费表 4 2 2 2" xfId="5960"/>
    <cellStyle name="好_2014年聘用学校导师带教经费表 4 2 2 2 2" xfId="5961"/>
    <cellStyle name="好_2014年聘用学校导师带教经费表 4 2 2 3" xfId="5962"/>
    <cellStyle name="好_2014年聘用学校导师带教经费表 4 2 3" xfId="5963"/>
    <cellStyle name="好_2014年聘用学校导师带教经费表 4 2 3 2" xfId="5964"/>
    <cellStyle name="好_2014年聘用学校导师带教经费表 4 2 4" xfId="5965"/>
    <cellStyle name="好_2014年聘用学校导师带教经费表 4 2 4 2" xfId="5966"/>
    <cellStyle name="好_2014年聘用学校导师带教经费表 4 2 5" xfId="5967"/>
    <cellStyle name="好_2014年聘用学校导师带教经费表 4 3" xfId="5968"/>
    <cellStyle name="好_2014年聘用学校导师带教经费表 4 3 2" xfId="5969"/>
    <cellStyle name="好_2014年聘用学校导师带教经费表 4 3 2 2" xfId="5970"/>
    <cellStyle name="好_2014年聘用学校导师带教经费表 4 3 3" xfId="5971"/>
    <cellStyle name="好_2014年聘用学校导师带教经费表 4 4" xfId="5972"/>
    <cellStyle name="好_2014年聘用学校导师带教经费表 4 4 2" xfId="5973"/>
    <cellStyle name="好_2014年聘用学校导师带教经费表 4 5" xfId="5974"/>
    <cellStyle name="好_2014年聘用学校导师带教经费表 4 5 2" xfId="5975"/>
    <cellStyle name="好_2014年聘用学校导师带教经费表 4 6" xfId="5976"/>
    <cellStyle name="好_2014年聘用学校导师带教经费表 5" xfId="5977"/>
    <cellStyle name="好_2014年聘用学校导师带教经费表 5 2" xfId="5978"/>
    <cellStyle name="好_2014年聘用学校导师带教经费表 5 2 2" xfId="5979"/>
    <cellStyle name="好_2014年聘用学校导师带教经费表 5 2 2 2" xfId="5980"/>
    <cellStyle name="好_2014年聘用学校导师带教经费表 5 2 3" xfId="5981"/>
    <cellStyle name="好_2014年聘用学校导师带教经费表 5 3" xfId="5982"/>
    <cellStyle name="好_2014年聘用学校导师带教经费表 5 3 2" xfId="5983"/>
    <cellStyle name="好_2014年聘用学校导师带教经费表 5 4" xfId="5984"/>
    <cellStyle name="好_2014年聘用学校导师带教经费表 5 4 2" xfId="5985"/>
    <cellStyle name="好_2014年聘用学校导师带教经费表 5 5" xfId="5986"/>
    <cellStyle name="好_2014年聘用学校导师带教经费表 6" xfId="5987"/>
    <cellStyle name="好_2014年聘用学校导师带教经费表 6 2" xfId="5988"/>
    <cellStyle name="好_2014年聘用学校导师带教经费表 6 2 2" xfId="5989"/>
    <cellStyle name="好_2014年聘用学校导师带教经费表 6 2 2 2" xfId="5990"/>
    <cellStyle name="好_2014年聘用学校导师带教经费表 6 2 3" xfId="5991"/>
    <cellStyle name="好_2014年聘用学校导师带教经费表 6 3" xfId="5992"/>
    <cellStyle name="好_2014年聘用学校导师带教经费表 6 3 2" xfId="5993"/>
    <cellStyle name="好_2014年聘用学校导师带教经费表 6 4" xfId="5994"/>
    <cellStyle name="好_2014年聘用学校导师带教经费表 6 4 2" xfId="5995"/>
    <cellStyle name="好_2014年聘用学校导师带教经费表 6 5" xfId="5996"/>
    <cellStyle name="好_2014年聘用学校导师带教经费表 7" xfId="5997"/>
    <cellStyle name="好_2014年聘用学校导师带教经费表 7 2" xfId="5998"/>
    <cellStyle name="好_2014年聘用学校导师带教经费表 7 2 2" xfId="5999"/>
    <cellStyle name="好_2014年聘用学校导师带教经费表 7 3" xfId="6000"/>
    <cellStyle name="好_2014年聘用学校导师带教经费表 8" xfId="6001"/>
    <cellStyle name="好_2014年聘用学校导师带教经费表 8 2" xfId="6002"/>
    <cellStyle name="好_2014年聘用学校导师带教经费表 9" xfId="6003"/>
    <cellStyle name="好_2014年聘用学校导师带教经费表 9 2" xfId="6004"/>
    <cellStyle name="好_2014年终考核奖完整版-给核算中心" xfId="6005"/>
    <cellStyle name="好_2014年终考核奖完整版-给核算中心 2" xfId="6006"/>
    <cellStyle name="好_2014年终考核奖完整版-给核算中心 2 2" xfId="6007"/>
    <cellStyle name="好_2014年终考核奖完整版-给核算中心 2 2 2" xfId="6008"/>
    <cellStyle name="好_2014年终考核奖完整版-给核算中心 2 2 2 2" xfId="6009"/>
    <cellStyle name="好_2014年终考核奖完整版-给核算中心 2 2 2 2 2" xfId="6010"/>
    <cellStyle name="好_2014年终考核奖完整版-给核算中心 2 2 2 3" xfId="6011"/>
    <cellStyle name="好_2014年终考核奖完整版-给核算中心 2 2 3" xfId="6012"/>
    <cellStyle name="好_2014年终考核奖完整版-给核算中心 2 2 3 2" xfId="6013"/>
    <cellStyle name="好_2014年终考核奖完整版-给核算中心 2 2 4" xfId="6014"/>
    <cellStyle name="好_2014年终考核奖完整版-给核算中心 2 2 4 2" xfId="6015"/>
    <cellStyle name="好_2014年终考核奖完整版-给核算中心 2 2 5" xfId="6016"/>
    <cellStyle name="好_2014年终考核奖完整版-给核算中心 2 3" xfId="6017"/>
    <cellStyle name="好_2014年终考核奖完整版-给核算中心 2 3 2" xfId="6018"/>
    <cellStyle name="好_2014年终考核奖完整版-给核算中心 2 3 2 2" xfId="6019"/>
    <cellStyle name="好_2014年终考核奖完整版-给核算中心 2 3 3" xfId="6020"/>
    <cellStyle name="好_2014年终考核奖完整版-给核算中心 2 4" xfId="6021"/>
    <cellStyle name="好_2014年终考核奖完整版-给核算中心 2 4 2" xfId="6022"/>
    <cellStyle name="好_2014年终考核奖完整版-给核算中心 2 5" xfId="6023"/>
    <cellStyle name="好_2014年终考核奖完整版-给核算中心 2 5 2" xfId="6024"/>
    <cellStyle name="好_2014年终考核奖完整版-给核算中心 2 6" xfId="6025"/>
    <cellStyle name="好_2014年终考核奖完整版-给核算中心 3" xfId="6026"/>
    <cellStyle name="好_2014年终考核奖完整版-给核算中心 3 2" xfId="6027"/>
    <cellStyle name="好_2014年终考核奖完整版-给核算中心 3 2 2" xfId="6028"/>
    <cellStyle name="好_2014年终考核奖完整版-给核算中心 3 2 2 2" xfId="6029"/>
    <cellStyle name="好_2014年终考核奖完整版-给核算中心 3 2 3" xfId="6030"/>
    <cellStyle name="好_2014年终考核奖完整版-给核算中心 3 3" xfId="6031"/>
    <cellStyle name="好_2014年终考核奖完整版-给核算中心 3 3 2" xfId="6032"/>
    <cellStyle name="好_2014年终考核奖完整版-给核算中心 3 4" xfId="6033"/>
    <cellStyle name="好_2014年终考核奖完整版-给核算中心 3 4 2" xfId="6034"/>
    <cellStyle name="好_2014年终考核奖完整版-给核算中心 3 5" xfId="6035"/>
    <cellStyle name="好_2014年终考核奖完整版-给核算中心 4" xfId="6036"/>
    <cellStyle name="好_2014年终考核奖完整版-给核算中心 4 2" xfId="6037"/>
    <cellStyle name="好_2014年终考核奖完整版-给核算中心 4 2 2" xfId="6038"/>
    <cellStyle name="好_2014年终考核奖完整版-给核算中心 4 2 2 2" xfId="6039"/>
    <cellStyle name="好_2014年终考核奖完整版-给核算中心 4 2 3" xfId="6040"/>
    <cellStyle name="好_2014年终考核奖完整版-给核算中心 4 3" xfId="6041"/>
    <cellStyle name="好_2014年终考核奖完整版-给核算中心 4 3 2" xfId="6042"/>
    <cellStyle name="好_2014年终考核奖完整版-给核算中心 4 4" xfId="6043"/>
    <cellStyle name="好_2014年终考核奖完整版-给核算中心 4 4 2" xfId="6044"/>
    <cellStyle name="好_2014年终考核奖完整版-给核算中心 4 5" xfId="6045"/>
    <cellStyle name="好_2014年终考核奖完整版-给核算中心 5" xfId="6046"/>
    <cellStyle name="好_2014年终考核奖完整版-给核算中心 5 2" xfId="6047"/>
    <cellStyle name="好_2014年终考核奖完整版-给核算中心 5 2 2" xfId="6048"/>
    <cellStyle name="好_2014年终考核奖完整版-给核算中心 5 3" xfId="6049"/>
    <cellStyle name="好_2014年终考核奖完整版-给核算中心 6" xfId="6050"/>
    <cellStyle name="好_2014年终考核奖完整版-给核算中心 6 2" xfId="6051"/>
    <cellStyle name="好_2014年终考核奖完整版-给核算中心 7" xfId="6052"/>
    <cellStyle name="好_2014年终考核奖完整版-给核算中心 7 2" xfId="6053"/>
    <cellStyle name="好_2014年终考核奖完整版-给核算中心 8" xfId="6054"/>
    <cellStyle name="好_2014年终考核奖完整版-给核算中心 8 2" xfId="6055"/>
    <cellStyle name="好_2014年终考核奖完整版-给核算中心 9" xfId="6056"/>
    <cellStyle name="好_2014优秀学校奖励测算表" xfId="6057"/>
    <cellStyle name="好_2014优秀学校奖励测算表 2" xfId="6058"/>
    <cellStyle name="好_2014优秀学校奖励测算表 2 2" xfId="6059"/>
    <cellStyle name="好_2014优秀学校奖励测算表 2 2 2" xfId="6060"/>
    <cellStyle name="好_2014优秀学校奖励测算表 2 2 2 2" xfId="6061"/>
    <cellStyle name="好_2014优秀学校奖励测算表 2 2 2 2 2" xfId="6062"/>
    <cellStyle name="好_2014优秀学校奖励测算表 2 2 2 3" xfId="6063"/>
    <cellStyle name="好_2014优秀学校奖励测算表 2 2 3" xfId="6064"/>
    <cellStyle name="好_2014优秀学校奖励测算表 2 2 3 2" xfId="6065"/>
    <cellStyle name="好_2014优秀学校奖励测算表 2 2 4" xfId="6066"/>
    <cellStyle name="好_2014优秀学校奖励测算表 2 2 4 2" xfId="6067"/>
    <cellStyle name="好_2014优秀学校奖励测算表 2 2 5" xfId="6068"/>
    <cellStyle name="好_2014优秀学校奖励测算表 2 3" xfId="6069"/>
    <cellStyle name="好_2014优秀学校奖励测算表 2 3 2" xfId="6070"/>
    <cellStyle name="好_2014优秀学校奖励测算表 2 3 2 2" xfId="6071"/>
    <cellStyle name="好_2014优秀学校奖励测算表 2 3 3" xfId="6072"/>
    <cellStyle name="好_2014优秀学校奖励测算表 2 4" xfId="6073"/>
    <cellStyle name="好_2014优秀学校奖励测算表 2 4 2" xfId="6074"/>
    <cellStyle name="好_2014优秀学校奖励测算表 2 5" xfId="6075"/>
    <cellStyle name="好_2014优秀学校奖励测算表 2 5 2" xfId="6076"/>
    <cellStyle name="好_2014优秀学校奖励测算表 2 6" xfId="6077"/>
    <cellStyle name="好_2014优秀学校奖励测算表 3" xfId="6078"/>
    <cellStyle name="好_2014优秀学校奖励测算表 3 2" xfId="6079"/>
    <cellStyle name="好_2014优秀学校奖励测算表 3 2 2" xfId="6080"/>
    <cellStyle name="好_2014优秀学校奖励测算表 3 2 2 2" xfId="6081"/>
    <cellStyle name="好_2014优秀学校奖励测算表 3 2 3" xfId="6082"/>
    <cellStyle name="好_2014优秀学校奖励测算表 3 3" xfId="6083"/>
    <cellStyle name="好_2014优秀学校奖励测算表 3 3 2" xfId="6084"/>
    <cellStyle name="好_2014优秀学校奖励测算表 3 4" xfId="6085"/>
    <cellStyle name="好_2014优秀学校奖励测算表 3 4 2" xfId="6086"/>
    <cellStyle name="好_2014优秀学校奖励测算表 3 5" xfId="6087"/>
    <cellStyle name="好_2014优秀学校奖励测算表 4" xfId="6088"/>
    <cellStyle name="好_2014优秀学校奖励测算表 4 2" xfId="6089"/>
    <cellStyle name="好_2014优秀学校奖励测算表 4 2 2" xfId="6090"/>
    <cellStyle name="好_2014优秀学校奖励测算表 4 2 2 2" xfId="6091"/>
    <cellStyle name="好_2014优秀学校奖励测算表 4 2 3" xfId="6092"/>
    <cellStyle name="好_2014优秀学校奖励测算表 4 3" xfId="6093"/>
    <cellStyle name="好_2014优秀学校奖励测算表 4 3 2" xfId="6094"/>
    <cellStyle name="好_2014优秀学校奖励测算表 4 4" xfId="6095"/>
    <cellStyle name="好_2014优秀学校奖励测算表 4 4 2" xfId="6096"/>
    <cellStyle name="好_2014优秀学校奖励测算表 4 5" xfId="6097"/>
    <cellStyle name="好_2014优秀学校奖励测算表 5" xfId="6098"/>
    <cellStyle name="好_2014优秀学校奖励测算表 5 2" xfId="6099"/>
    <cellStyle name="好_2014优秀学校奖励测算表 5 2 2" xfId="6100"/>
    <cellStyle name="好_2014优秀学校奖励测算表 5 3" xfId="6101"/>
    <cellStyle name="好_2014优秀学校奖励测算表 6" xfId="6102"/>
    <cellStyle name="好_2014优秀学校奖励测算表 6 2" xfId="6103"/>
    <cellStyle name="好_2014优秀学校奖励测算表 7" xfId="6104"/>
    <cellStyle name="好_2014优秀学校奖励测算表 7 2" xfId="6105"/>
    <cellStyle name="好_2014优秀学校奖励测算表 8" xfId="6106"/>
    <cellStyle name="好_2014优秀学校奖励测算表 8 2" xfId="6107"/>
    <cellStyle name="好_2014优秀学校奖励测算表 9" xfId="6108"/>
    <cellStyle name="好_2015年年终奖预发表-给核算中心" xfId="6109"/>
    <cellStyle name="好_2015年年终奖预发表-给核算中心 2" xfId="6110"/>
    <cellStyle name="好_2015年年终奖预发表-给核算中心 2 2" xfId="6111"/>
    <cellStyle name="好_2015年年终奖预发表-给核算中心 2 2 2" xfId="6112"/>
    <cellStyle name="好_2015年年终奖预发表-给核算中心 2 2 2 2" xfId="6113"/>
    <cellStyle name="好_2015年年终奖预发表-给核算中心 2 2 2 2 2" xfId="6114"/>
    <cellStyle name="好_2015年年终奖预发表-给核算中心 2 2 2 3" xfId="6115"/>
    <cellStyle name="好_2015年年终奖预发表-给核算中心 2 2 3" xfId="6116"/>
    <cellStyle name="好_2015年年终奖预发表-给核算中心 2 2 3 2" xfId="6117"/>
    <cellStyle name="好_2015年年终奖预发表-给核算中心 2 2 4" xfId="6118"/>
    <cellStyle name="好_2015年年终奖预发表-给核算中心 2 2 4 2" xfId="6119"/>
    <cellStyle name="好_2015年年终奖预发表-给核算中心 2 2 5" xfId="6120"/>
    <cellStyle name="好_2015年年终奖预发表-给核算中心 2 3" xfId="6121"/>
    <cellStyle name="好_2015年年终奖预发表-给核算中心 2 3 2" xfId="6122"/>
    <cellStyle name="好_2015年年终奖预发表-给核算中心 2 3 2 2" xfId="6123"/>
    <cellStyle name="好_2015年年终奖预发表-给核算中心 2 3 3" xfId="6124"/>
    <cellStyle name="好_2015年年终奖预发表-给核算中心 2 4" xfId="6125"/>
    <cellStyle name="好_2015年年终奖预发表-给核算中心 2 4 2" xfId="6126"/>
    <cellStyle name="好_2015年年终奖预发表-给核算中心 2 5" xfId="6127"/>
    <cellStyle name="好_2015年年终奖预发表-给核算中心 2 5 2" xfId="6128"/>
    <cellStyle name="好_2015年年终奖预发表-给核算中心 2 6" xfId="6129"/>
    <cellStyle name="好_2015年年终奖预发表-给核算中心 3" xfId="6130"/>
    <cellStyle name="好_2015年年终奖预发表-给核算中心 3 2" xfId="6131"/>
    <cellStyle name="好_2015年年终奖预发表-给核算中心 3 2 2" xfId="6132"/>
    <cellStyle name="好_2015年年终奖预发表-给核算中心 3 2 2 2" xfId="6133"/>
    <cellStyle name="好_2015年年终奖预发表-给核算中心 3 2 3" xfId="6134"/>
    <cellStyle name="好_2015年年终奖预发表-给核算中心 3 3" xfId="6135"/>
    <cellStyle name="好_2015年年终奖预发表-给核算中心 3 3 2" xfId="6136"/>
    <cellStyle name="好_2015年年终奖预发表-给核算中心 3 4" xfId="6137"/>
    <cellStyle name="好_2015年年终奖预发表-给核算中心 3 4 2" xfId="6138"/>
    <cellStyle name="好_2015年年终奖预发表-给核算中心 3 5" xfId="6139"/>
    <cellStyle name="好_2015年年终奖预发表-给核算中心 4" xfId="6140"/>
    <cellStyle name="好_2015年年终奖预发表-给核算中心 4 2" xfId="6141"/>
    <cellStyle name="好_2015年年终奖预发表-给核算中心 4 2 2" xfId="6142"/>
    <cellStyle name="好_2015年年终奖预发表-给核算中心 4 2 2 2" xfId="6143"/>
    <cellStyle name="好_2015年年终奖预发表-给核算中心 4 2 3" xfId="6144"/>
    <cellStyle name="好_2015年年终奖预发表-给核算中心 4 3" xfId="6145"/>
    <cellStyle name="好_2015年年终奖预发表-给核算中心 4 3 2" xfId="6146"/>
    <cellStyle name="好_2015年年终奖预发表-给核算中心 4 4" xfId="6147"/>
    <cellStyle name="好_2015年年终奖预发表-给核算中心 4 4 2" xfId="6148"/>
    <cellStyle name="好_2015年年终奖预发表-给核算中心 4 5" xfId="6149"/>
    <cellStyle name="好_2015年年终奖预发表-给核算中心 5" xfId="6150"/>
    <cellStyle name="好_2015年年终奖预发表-给核算中心 5 2" xfId="6151"/>
    <cellStyle name="好_2015年年终奖预发表-给核算中心 5 2 2" xfId="6152"/>
    <cellStyle name="好_2015年年终奖预发表-给核算中心 5 3" xfId="6153"/>
    <cellStyle name="好_2015年年终奖预发表-给核算中心 6" xfId="6154"/>
    <cellStyle name="好_2015年年终奖预发表-给核算中心 6 2" xfId="6155"/>
    <cellStyle name="好_2015年年终奖预发表-给核算中心 7" xfId="6156"/>
    <cellStyle name="好_2015年年终奖预发表-给核算中心 7 2" xfId="6157"/>
    <cellStyle name="好_2015年年终奖预发表-给核算中心 8" xfId="6158"/>
    <cellStyle name="好_2015年年终奖预发表-给核算中心 8 2" xfId="6159"/>
    <cellStyle name="好_2015年年终奖预发表-给核算中心 9" xfId="6160"/>
    <cellStyle name="好_2016年3月校长职级工资（核算中心）" xfId="6161"/>
    <cellStyle name="好_2016年3月校长职级工资（核算中心） 2" xfId="6162"/>
    <cellStyle name="好_2016年3月校长职级工资（核算中心） 2 2" xfId="6163"/>
    <cellStyle name="好_2016年3月校长职级工资（核算中心） 2 2 2" xfId="6164"/>
    <cellStyle name="好_2016年3月校长职级工资（核算中心） 2 2 2 2" xfId="6165"/>
    <cellStyle name="好_2016年3月校长职级工资（核算中心） 2 2 2 2 2" xfId="6166"/>
    <cellStyle name="好_2016年3月校长职级工资（核算中心） 2 2 2 3" xfId="6167"/>
    <cellStyle name="好_2016年3月校长职级工资（核算中心） 2 2 3" xfId="6168"/>
    <cellStyle name="好_2016年3月校长职级工资（核算中心） 2 2 3 2" xfId="6169"/>
    <cellStyle name="好_2016年3月校长职级工资（核算中心） 2 2 4" xfId="6170"/>
    <cellStyle name="好_2016年3月校长职级工资（核算中心） 2 2 4 2" xfId="6171"/>
    <cellStyle name="好_2016年3月校长职级工资（核算中心） 2 2 5" xfId="6172"/>
    <cellStyle name="好_2016年3月校长职级工资（核算中心） 2 3" xfId="6173"/>
    <cellStyle name="好_2016年3月校长职级工资（核算中心） 2 3 2" xfId="6174"/>
    <cellStyle name="好_2016年3月校长职级工资（核算中心） 2 3 2 2" xfId="6175"/>
    <cellStyle name="好_2016年3月校长职级工资（核算中心） 2 3 3" xfId="6176"/>
    <cellStyle name="好_2016年3月校长职级工资（核算中心） 2 4" xfId="6177"/>
    <cellStyle name="好_2016年3月校长职级工资（核算中心） 2 4 2" xfId="6178"/>
    <cellStyle name="好_2016年3月校长职级工资（核算中心） 2 5" xfId="6179"/>
    <cellStyle name="好_2016年3月校长职级工资（核算中心） 2 5 2" xfId="6180"/>
    <cellStyle name="好_2016年3月校长职级工资（核算中心） 2 6" xfId="6181"/>
    <cellStyle name="好_2016年3月校长职级工资（核算中心） 3" xfId="6182"/>
    <cellStyle name="好_2016年3月校长职级工资（核算中心） 3 2" xfId="6183"/>
    <cellStyle name="好_2016年3月校长职级工资（核算中心） 3 2 2" xfId="6184"/>
    <cellStyle name="好_2016年3月校长职级工资（核算中心） 3 2 2 2" xfId="6185"/>
    <cellStyle name="好_2016年3月校长职级工资（核算中心） 3 2 3" xfId="6186"/>
    <cellStyle name="好_2016年3月校长职级工资（核算中心） 3 3" xfId="6187"/>
    <cellStyle name="好_2016年3月校长职级工资（核算中心） 3 3 2" xfId="6188"/>
    <cellStyle name="好_2016年3月校长职级工资（核算中心） 3 4" xfId="6189"/>
    <cellStyle name="好_2016年3月校长职级工资（核算中心） 3 4 2" xfId="6190"/>
    <cellStyle name="好_2016年3月校长职级工资（核算中心） 3 5" xfId="6191"/>
    <cellStyle name="好_2016年3月校长职级工资（核算中心） 4" xfId="6192"/>
    <cellStyle name="好_2016年3月校长职级工资（核算中心） 4 2" xfId="6193"/>
    <cellStyle name="好_2016年3月校长职级工资（核算中心） 4 2 2" xfId="6194"/>
    <cellStyle name="好_2016年3月校长职级工资（核算中心） 4 2 2 2" xfId="6195"/>
    <cellStyle name="好_2016年3月校长职级工资（核算中心） 4 2 3" xfId="6196"/>
    <cellStyle name="好_2016年3月校长职级工资（核算中心） 4 3" xfId="6197"/>
    <cellStyle name="好_2016年3月校长职级工资（核算中心） 4 3 2" xfId="6198"/>
    <cellStyle name="好_2016年3月校长职级工资（核算中心） 4 4" xfId="6199"/>
    <cellStyle name="好_2016年3月校长职级工资（核算中心） 4 4 2" xfId="6200"/>
    <cellStyle name="好_2016年3月校长职级工资（核算中心） 4 5" xfId="6201"/>
    <cellStyle name="好_2016年3月校长职级工资（核算中心） 5" xfId="6202"/>
    <cellStyle name="好_2016年3月校长职级工资（核算中心） 5 2" xfId="6203"/>
    <cellStyle name="好_2016年3月校长职级工资（核算中心） 5 2 2" xfId="6204"/>
    <cellStyle name="好_2016年3月校长职级工资（核算中心） 5 3" xfId="6205"/>
    <cellStyle name="好_2016年3月校长职级工资（核算中心） 6" xfId="6206"/>
    <cellStyle name="好_2016年3月校长职级工资（核算中心） 6 2" xfId="6207"/>
    <cellStyle name="好_2016年3月校长职级工资（核算中心） 7" xfId="6208"/>
    <cellStyle name="好_2016年3月校长职级工资（核算中心） 7 2" xfId="6209"/>
    <cellStyle name="好_2016年3月校长职级工资（核算中心） 8" xfId="6210"/>
    <cellStyle name="好_2016年3月校长职级工资（核算中心） 8 2" xfId="6211"/>
    <cellStyle name="好_2016年3月校长职级工资（核算中心） 9" xfId="6212"/>
    <cellStyle name="好_2017" xfId="8921"/>
    <cellStyle name="好_2017 2" xfId="8930"/>
    <cellStyle name="好_2017 2 2" xfId="8984"/>
    <cellStyle name="好_2017 2 3" xfId="9272"/>
    <cellStyle name="好_2017 2 3 2" xfId="9467"/>
    <cellStyle name="好_2017 3" xfId="8985"/>
    <cellStyle name="好_2017 3 2" xfId="9273"/>
    <cellStyle name="好_2017 3 2 2" xfId="9468"/>
    <cellStyle name="好_2017 4" xfId="8983"/>
    <cellStyle name="好_2017 5" xfId="9271"/>
    <cellStyle name="好_2017 5 2" xfId="9466"/>
    <cellStyle name="好_A0汇总表（报计财科：项目津贴发放）" xfId="6213"/>
    <cellStyle name="好_A0汇总表（报计财科：项目津贴发放） 2" xfId="6214"/>
    <cellStyle name="好_A0汇总表（报计财科：项目津贴发放） 2 2" xfId="6215"/>
    <cellStyle name="好_A0汇总表（报计财科：项目津贴发放） 2 2 2" xfId="6216"/>
    <cellStyle name="好_A0汇总表（报计财科：项目津贴发放） 2 2 2 2" xfId="6217"/>
    <cellStyle name="好_A0汇总表（报计财科：项目津贴发放） 2 2 2 2 2" xfId="6218"/>
    <cellStyle name="好_A0汇总表（报计财科：项目津贴发放） 2 2 2 3" xfId="6219"/>
    <cellStyle name="好_A0汇总表（报计财科：项目津贴发放） 2 2 3" xfId="6220"/>
    <cellStyle name="好_A0汇总表（报计财科：项目津贴发放） 2 2 3 2" xfId="6221"/>
    <cellStyle name="好_A0汇总表（报计财科：项目津贴发放） 2 2 4" xfId="6222"/>
    <cellStyle name="好_A0汇总表（报计财科：项目津贴发放） 2 2 4 2" xfId="6223"/>
    <cellStyle name="好_A0汇总表（报计财科：项目津贴发放） 2 2 5" xfId="6224"/>
    <cellStyle name="好_A0汇总表（报计财科：项目津贴发放） 2 3" xfId="6225"/>
    <cellStyle name="好_A0汇总表（报计财科：项目津贴发放） 2 3 2" xfId="6226"/>
    <cellStyle name="好_A0汇总表（报计财科：项目津贴发放） 2 3 2 2" xfId="6227"/>
    <cellStyle name="好_A0汇总表（报计财科：项目津贴发放） 2 3 3" xfId="6228"/>
    <cellStyle name="好_A0汇总表（报计财科：项目津贴发放） 2 4" xfId="6229"/>
    <cellStyle name="好_A0汇总表（报计财科：项目津贴发放） 2 4 2" xfId="6230"/>
    <cellStyle name="好_A0汇总表（报计财科：项目津贴发放） 2 5" xfId="6231"/>
    <cellStyle name="好_A0汇总表（报计财科：项目津贴发放） 2 5 2" xfId="6232"/>
    <cellStyle name="好_A0汇总表（报计财科：项目津贴发放） 2 6" xfId="6233"/>
    <cellStyle name="好_A0汇总表（报计财科：项目津贴发放） 3" xfId="6234"/>
    <cellStyle name="好_A0汇总表（报计财科：项目津贴发放） 3 2" xfId="6235"/>
    <cellStyle name="好_A0汇总表（报计财科：项目津贴发放） 3 2 2" xfId="6236"/>
    <cellStyle name="好_A0汇总表（报计财科：项目津贴发放） 3 2 2 2" xfId="6237"/>
    <cellStyle name="好_A0汇总表（报计财科：项目津贴发放） 3 2 3" xfId="6238"/>
    <cellStyle name="好_A0汇总表（报计财科：项目津贴发放） 3 3" xfId="6239"/>
    <cellStyle name="好_A0汇总表（报计财科：项目津贴发放） 3 3 2" xfId="6240"/>
    <cellStyle name="好_A0汇总表（报计财科：项目津贴发放） 3 4" xfId="6241"/>
    <cellStyle name="好_A0汇总表（报计财科：项目津贴发放） 3 4 2" xfId="6242"/>
    <cellStyle name="好_A0汇总表（报计财科：项目津贴发放） 3 5" xfId="6243"/>
    <cellStyle name="好_A0汇总表（报计财科：项目津贴发放） 4" xfId="6244"/>
    <cellStyle name="好_A0汇总表（报计财科：项目津贴发放） 4 2" xfId="6245"/>
    <cellStyle name="好_A0汇总表（报计财科：项目津贴发放） 4 2 2" xfId="6246"/>
    <cellStyle name="好_A0汇总表（报计财科：项目津贴发放） 4 2 2 2" xfId="6247"/>
    <cellStyle name="好_A0汇总表（报计财科：项目津贴发放） 4 2 3" xfId="6248"/>
    <cellStyle name="好_A0汇总表（报计财科：项目津贴发放） 4 3" xfId="6249"/>
    <cellStyle name="好_A0汇总表（报计财科：项目津贴发放） 4 3 2" xfId="6250"/>
    <cellStyle name="好_A0汇总表（报计财科：项目津贴发放） 4 4" xfId="6251"/>
    <cellStyle name="好_A0汇总表（报计财科：项目津贴发放） 4 4 2" xfId="6252"/>
    <cellStyle name="好_A0汇总表（报计财科：项目津贴发放） 4 5" xfId="6253"/>
    <cellStyle name="好_A0汇总表（报计财科：项目津贴发放） 5" xfId="6254"/>
    <cellStyle name="好_A0汇总表（报计财科：项目津贴发放） 5 2" xfId="6255"/>
    <cellStyle name="好_A0汇总表（报计财科：项目津贴发放） 5 2 2" xfId="6256"/>
    <cellStyle name="好_A0汇总表（报计财科：项目津贴发放） 5 3" xfId="6257"/>
    <cellStyle name="好_A0汇总表（报计财科：项目津贴发放） 6" xfId="6258"/>
    <cellStyle name="好_A0汇总表（报计财科：项目津贴发放） 6 2" xfId="6259"/>
    <cellStyle name="好_A0汇总表（报计财科：项目津贴发放） 7" xfId="6260"/>
    <cellStyle name="好_A0汇总表（报计财科：项目津贴发放） 7 2" xfId="6261"/>
    <cellStyle name="好_A0汇总表（报计财科：项目津贴发放） 8" xfId="6262"/>
    <cellStyle name="好_A0汇总表（报计财科：项目津贴发放） 8 2" xfId="6263"/>
    <cellStyle name="好_A0汇总表（报计财科：项目津贴发放） 9" xfId="6264"/>
    <cellStyle name="好_统筹-校长（暂估）" xfId="6265"/>
    <cellStyle name="好_统筹-校长（暂估） 2" xfId="6266"/>
    <cellStyle name="好_统筹-校长（暂估） 2 2" xfId="6267"/>
    <cellStyle name="好_统筹-校长（暂估） 2 2 2" xfId="6268"/>
    <cellStyle name="好_统筹-校长（暂估） 2 2 2 2" xfId="6269"/>
    <cellStyle name="好_统筹-校长（暂估） 2 2 2 2 2" xfId="6270"/>
    <cellStyle name="好_统筹-校长（暂估） 2 2 2 3" xfId="6271"/>
    <cellStyle name="好_统筹-校长（暂估） 2 2 3" xfId="6272"/>
    <cellStyle name="好_统筹-校长（暂估） 2 2 3 2" xfId="6273"/>
    <cellStyle name="好_统筹-校长（暂估） 2 2 4" xfId="6274"/>
    <cellStyle name="好_统筹-校长（暂估） 2 2 4 2" xfId="6275"/>
    <cellStyle name="好_统筹-校长（暂估） 2 2 5" xfId="6276"/>
    <cellStyle name="好_统筹-校长（暂估） 2 3" xfId="6277"/>
    <cellStyle name="好_统筹-校长（暂估） 2 3 2" xfId="6278"/>
    <cellStyle name="好_统筹-校长（暂估） 2 3 2 2" xfId="6279"/>
    <cellStyle name="好_统筹-校长（暂估） 2 3 3" xfId="6280"/>
    <cellStyle name="好_统筹-校长（暂估） 2 4" xfId="6281"/>
    <cellStyle name="好_统筹-校长（暂估） 2 4 2" xfId="6282"/>
    <cellStyle name="好_统筹-校长（暂估） 2 5" xfId="6283"/>
    <cellStyle name="好_统筹-校长（暂估） 2 5 2" xfId="6284"/>
    <cellStyle name="好_统筹-校长（暂估） 2 6" xfId="6285"/>
    <cellStyle name="好_统筹-校长（暂估） 3" xfId="6286"/>
    <cellStyle name="好_统筹-校长（暂估） 3 2" xfId="6287"/>
    <cellStyle name="好_统筹-校长（暂估） 3 2 2" xfId="6288"/>
    <cellStyle name="好_统筹-校长（暂估） 3 2 2 2" xfId="6289"/>
    <cellStyle name="好_统筹-校长（暂估） 3 2 3" xfId="6290"/>
    <cellStyle name="好_统筹-校长（暂估） 3 3" xfId="6291"/>
    <cellStyle name="好_统筹-校长（暂估） 3 3 2" xfId="6292"/>
    <cellStyle name="好_统筹-校长（暂估） 3 4" xfId="6293"/>
    <cellStyle name="好_统筹-校长（暂估） 3 4 2" xfId="6294"/>
    <cellStyle name="好_统筹-校长（暂估） 3 5" xfId="6295"/>
    <cellStyle name="好_统筹-校长（暂估） 4" xfId="6296"/>
    <cellStyle name="好_统筹-校长（暂估） 4 2" xfId="6297"/>
    <cellStyle name="好_统筹-校长（暂估） 4 2 2" xfId="6298"/>
    <cellStyle name="好_统筹-校长（暂估） 4 2 2 2" xfId="6299"/>
    <cellStyle name="好_统筹-校长（暂估） 4 2 3" xfId="6300"/>
    <cellStyle name="好_统筹-校长（暂估） 4 3" xfId="6301"/>
    <cellStyle name="好_统筹-校长（暂估） 4 3 2" xfId="6302"/>
    <cellStyle name="好_统筹-校长（暂估） 4 4" xfId="6303"/>
    <cellStyle name="好_统筹-校长（暂估） 4 4 2" xfId="6304"/>
    <cellStyle name="好_统筹-校长（暂估） 4 5" xfId="6305"/>
    <cellStyle name="好_统筹-校长（暂估） 5" xfId="6306"/>
    <cellStyle name="好_统筹-校长（暂估） 5 2" xfId="6307"/>
    <cellStyle name="好_统筹-校长（暂估） 5 2 2" xfId="6308"/>
    <cellStyle name="好_统筹-校长（暂估） 5 3" xfId="6309"/>
    <cellStyle name="好_统筹-校长（暂估） 6" xfId="6310"/>
    <cellStyle name="好_统筹-校长（暂估） 6 2" xfId="6311"/>
    <cellStyle name="好_统筹-校长（暂估） 7" xfId="6312"/>
    <cellStyle name="好_统筹-校长（暂估） 7 2" xfId="6313"/>
    <cellStyle name="好_统筹-校长（暂估） 8" xfId="6314"/>
    <cellStyle name="好_统筹-校长（暂估） 8 2" xfId="6315"/>
    <cellStyle name="好_统筹-校长（暂估） 9" xfId="6316"/>
    <cellStyle name="好_校长、书记2015年增量部分发放清单" xfId="6317"/>
    <cellStyle name="好_校长、书记2015年增量部分发放清单 2" xfId="6318"/>
    <cellStyle name="好_校长、书记2015年增量部分发放清单 2 2" xfId="6319"/>
    <cellStyle name="好_校长、书记2015年增量部分发放清单 2 2 2" xfId="6320"/>
    <cellStyle name="好_校长、书记2015年增量部分发放清单 2 2 2 2" xfId="6321"/>
    <cellStyle name="好_校长、书记2015年增量部分发放清单 2 2 2 2 2" xfId="6322"/>
    <cellStyle name="好_校长、书记2015年增量部分发放清单 2 2 2 3" xfId="6323"/>
    <cellStyle name="好_校长、书记2015年增量部分发放清单 2 2 3" xfId="6324"/>
    <cellStyle name="好_校长、书记2015年增量部分发放清单 2 2 3 2" xfId="6325"/>
    <cellStyle name="好_校长、书记2015年增量部分发放清单 2 2 4" xfId="6326"/>
    <cellStyle name="好_校长、书记2015年增量部分发放清单 2 2 4 2" xfId="6327"/>
    <cellStyle name="好_校长、书记2015年增量部分发放清单 2 2 5" xfId="6328"/>
    <cellStyle name="好_校长、书记2015年增量部分发放清单 2 3" xfId="6329"/>
    <cellStyle name="好_校长、书记2015年增量部分发放清单 2 3 2" xfId="6330"/>
    <cellStyle name="好_校长、书记2015年增量部分发放清单 2 3 2 2" xfId="6331"/>
    <cellStyle name="好_校长、书记2015年增量部分发放清单 2 3 3" xfId="6332"/>
    <cellStyle name="好_校长、书记2015年增量部分发放清单 2 4" xfId="6333"/>
    <cellStyle name="好_校长、书记2015年增量部分发放清单 2 4 2" xfId="6334"/>
    <cellStyle name="好_校长、书记2015年增量部分发放清单 2 5" xfId="6335"/>
    <cellStyle name="好_校长、书记2015年增量部分发放清单 2 5 2" xfId="6336"/>
    <cellStyle name="好_校长、书记2015年增量部分发放清单 2 6" xfId="6337"/>
    <cellStyle name="好_校长、书记2015年增量部分发放清单 3" xfId="6338"/>
    <cellStyle name="好_校长、书记2015年增量部分发放清单 3 2" xfId="6339"/>
    <cellStyle name="好_校长、书记2015年增量部分发放清单 3 2 2" xfId="6340"/>
    <cellStyle name="好_校长、书记2015年增量部分发放清单 3 2 2 2" xfId="6341"/>
    <cellStyle name="好_校长、书记2015年增量部分发放清单 3 2 3" xfId="6342"/>
    <cellStyle name="好_校长、书记2015年增量部分发放清单 3 3" xfId="6343"/>
    <cellStyle name="好_校长、书记2015年增量部分发放清单 3 3 2" xfId="6344"/>
    <cellStyle name="好_校长、书记2015年增量部分发放清单 3 4" xfId="6345"/>
    <cellStyle name="好_校长、书记2015年增量部分发放清单 3 4 2" xfId="6346"/>
    <cellStyle name="好_校长、书记2015年增量部分发放清单 3 5" xfId="6347"/>
    <cellStyle name="好_校长、书记2015年增量部分发放清单 4" xfId="6348"/>
    <cellStyle name="好_校长、书记2015年增量部分发放清单 4 2" xfId="6349"/>
    <cellStyle name="好_校长、书记2015年增量部分发放清单 4 2 2" xfId="6350"/>
    <cellStyle name="好_校长、书记2015年增量部分发放清单 4 2 2 2" xfId="6351"/>
    <cellStyle name="好_校长、书记2015年增量部分发放清单 4 2 3" xfId="6352"/>
    <cellStyle name="好_校长、书记2015年增量部分发放清单 4 3" xfId="6353"/>
    <cellStyle name="好_校长、书记2015年增量部分发放清单 4 3 2" xfId="6354"/>
    <cellStyle name="好_校长、书记2015年增量部分发放清单 4 4" xfId="6355"/>
    <cellStyle name="好_校长、书记2015年增量部分发放清单 4 4 2" xfId="6356"/>
    <cellStyle name="好_校长、书记2015年增量部分发放清单 4 5" xfId="6357"/>
    <cellStyle name="好_校长、书记2015年增量部分发放清单 5" xfId="6358"/>
    <cellStyle name="好_校长、书记2015年增量部分发放清单 5 2" xfId="6359"/>
    <cellStyle name="好_校长、书记2015年增量部分发放清单 5 2 2" xfId="6360"/>
    <cellStyle name="好_校长、书记2015年增量部分发放清单 5 3" xfId="6361"/>
    <cellStyle name="好_校长、书记2015年增量部分发放清单 6" xfId="6362"/>
    <cellStyle name="好_校长、书记2015年增量部分发放清单 6 2" xfId="6363"/>
    <cellStyle name="好_校长、书记2015年增量部分发放清单 7" xfId="6364"/>
    <cellStyle name="好_校长、书记2015年增量部分发放清单 7 2" xfId="6365"/>
    <cellStyle name="好_校长、书记2015年增量部分发放清单 8" xfId="6366"/>
    <cellStyle name="好_校长、书记2015年增量部分发放清单 8 2" xfId="6367"/>
    <cellStyle name="好_校长、书记2015年增量部分发放清单 9" xfId="6368"/>
    <cellStyle name="好_校长职级、亚信会奖励、教师节奖励镇管" xfId="6369"/>
    <cellStyle name="好_校长职级、亚信会奖励、教师节奖励镇管 2" xfId="6370"/>
    <cellStyle name="好_校长职级、亚信会奖励、教师节奖励镇管 2 2" xfId="6371"/>
    <cellStyle name="好_校长职级、亚信会奖励、教师节奖励镇管 2 2 2" xfId="6372"/>
    <cellStyle name="好_校长职级、亚信会奖励、教师节奖励镇管 2 2 2 2" xfId="6373"/>
    <cellStyle name="好_校长职级、亚信会奖励、教师节奖励镇管 2 2 2 2 2" xfId="6374"/>
    <cellStyle name="好_校长职级、亚信会奖励、教师节奖励镇管 2 2 2 3" xfId="6375"/>
    <cellStyle name="好_校长职级、亚信会奖励、教师节奖励镇管 2 2 3" xfId="6376"/>
    <cellStyle name="好_校长职级、亚信会奖励、教师节奖励镇管 2 2 3 2" xfId="6377"/>
    <cellStyle name="好_校长职级、亚信会奖励、教师节奖励镇管 2 2 4" xfId="6378"/>
    <cellStyle name="好_校长职级、亚信会奖励、教师节奖励镇管 2 2 4 2" xfId="6379"/>
    <cellStyle name="好_校长职级、亚信会奖励、教师节奖励镇管 2 2 5" xfId="6380"/>
    <cellStyle name="好_校长职级、亚信会奖励、教师节奖励镇管 2 3" xfId="6381"/>
    <cellStyle name="好_校长职级、亚信会奖励、教师节奖励镇管 2 3 2" xfId="6382"/>
    <cellStyle name="好_校长职级、亚信会奖励、教师节奖励镇管 2 3 2 2" xfId="6383"/>
    <cellStyle name="好_校长职级、亚信会奖励、教师节奖励镇管 2 3 3" xfId="6384"/>
    <cellStyle name="好_校长职级、亚信会奖励、教师节奖励镇管 2 4" xfId="6385"/>
    <cellStyle name="好_校长职级、亚信会奖励、教师节奖励镇管 2 4 2" xfId="6386"/>
    <cellStyle name="好_校长职级、亚信会奖励、教师节奖励镇管 2 5" xfId="6387"/>
    <cellStyle name="好_校长职级、亚信会奖励、教师节奖励镇管 2 5 2" xfId="6388"/>
    <cellStyle name="好_校长职级、亚信会奖励、教师节奖励镇管 2 6" xfId="6389"/>
    <cellStyle name="好_校长职级、亚信会奖励、教师节奖励镇管 3" xfId="6390"/>
    <cellStyle name="好_校长职级、亚信会奖励、教师节奖励镇管 3 2" xfId="6391"/>
    <cellStyle name="好_校长职级、亚信会奖励、教师节奖励镇管 3 2 2" xfId="6392"/>
    <cellStyle name="好_校长职级、亚信会奖励、教师节奖励镇管 3 2 2 2" xfId="6393"/>
    <cellStyle name="好_校长职级、亚信会奖励、教师节奖励镇管 3 2 3" xfId="6394"/>
    <cellStyle name="好_校长职级、亚信会奖励、教师节奖励镇管 3 3" xfId="6395"/>
    <cellStyle name="好_校长职级、亚信会奖励、教师节奖励镇管 3 3 2" xfId="6396"/>
    <cellStyle name="好_校长职级、亚信会奖励、教师节奖励镇管 3 4" xfId="6397"/>
    <cellStyle name="好_校长职级、亚信会奖励、教师节奖励镇管 3 4 2" xfId="6398"/>
    <cellStyle name="好_校长职级、亚信会奖励、教师节奖励镇管 3 5" xfId="6399"/>
    <cellStyle name="好_校长职级、亚信会奖励、教师节奖励镇管 4" xfId="6400"/>
    <cellStyle name="好_校长职级、亚信会奖励、教师节奖励镇管 4 2" xfId="6401"/>
    <cellStyle name="好_校长职级、亚信会奖励、教师节奖励镇管 4 2 2" xfId="6402"/>
    <cellStyle name="好_校长职级、亚信会奖励、教师节奖励镇管 4 2 2 2" xfId="6403"/>
    <cellStyle name="好_校长职级、亚信会奖励、教师节奖励镇管 4 2 3" xfId="6404"/>
    <cellStyle name="好_校长职级、亚信会奖励、教师节奖励镇管 4 3" xfId="6405"/>
    <cellStyle name="好_校长职级、亚信会奖励、教师节奖励镇管 4 3 2" xfId="6406"/>
    <cellStyle name="好_校长职级、亚信会奖励、教师节奖励镇管 4 4" xfId="6407"/>
    <cellStyle name="好_校长职级、亚信会奖励、教师节奖励镇管 4 4 2" xfId="6408"/>
    <cellStyle name="好_校长职级、亚信会奖励、教师节奖励镇管 4 5" xfId="6409"/>
    <cellStyle name="好_校长职级、亚信会奖励、教师节奖励镇管 5" xfId="6410"/>
    <cellStyle name="好_校长职级、亚信会奖励、教师节奖励镇管 5 2" xfId="6411"/>
    <cellStyle name="好_校长职级、亚信会奖励、教师节奖励镇管 5 2 2" xfId="6412"/>
    <cellStyle name="好_校长职级、亚信会奖励、教师节奖励镇管 5 3" xfId="6413"/>
    <cellStyle name="好_校长职级、亚信会奖励、教师节奖励镇管 6" xfId="6414"/>
    <cellStyle name="好_校长职级、亚信会奖励、教师节奖励镇管 6 2" xfId="6415"/>
    <cellStyle name="好_校长职级、亚信会奖励、教师节奖励镇管 7" xfId="6416"/>
    <cellStyle name="好_校长职级、亚信会奖励、教师节奖励镇管 7 2" xfId="6417"/>
    <cellStyle name="好_校长职级、亚信会奖励、教师节奖励镇管 8" xfId="6418"/>
    <cellStyle name="好_校长职级、亚信会奖励、教师节奖励镇管 8 2" xfId="6419"/>
    <cellStyle name="好_校长职级、亚信会奖励、教师节奖励镇管 9" xfId="6420"/>
    <cellStyle name="好_镇管汇总" xfId="6421"/>
    <cellStyle name="好_镇管汇总 2" xfId="6422"/>
    <cellStyle name="好_镇管汇总 2 2" xfId="6423"/>
    <cellStyle name="好_镇管汇总 2 2 2" xfId="6424"/>
    <cellStyle name="好_镇管汇总 2 2 2 2" xfId="6425"/>
    <cellStyle name="好_镇管汇总 2 2 2 2 2" xfId="6426"/>
    <cellStyle name="好_镇管汇总 2 2 2 3" xfId="6427"/>
    <cellStyle name="好_镇管汇总 2 2 3" xfId="6428"/>
    <cellStyle name="好_镇管汇总 2 2 3 2" xfId="6429"/>
    <cellStyle name="好_镇管汇总 2 2 4" xfId="6430"/>
    <cellStyle name="好_镇管汇总 2 2 4 2" xfId="6431"/>
    <cellStyle name="好_镇管汇总 2 2 5" xfId="6432"/>
    <cellStyle name="好_镇管汇总 2 3" xfId="6433"/>
    <cellStyle name="好_镇管汇总 2 3 2" xfId="6434"/>
    <cellStyle name="好_镇管汇总 2 3 2 2" xfId="6435"/>
    <cellStyle name="好_镇管汇总 2 3 3" xfId="6436"/>
    <cellStyle name="好_镇管汇总 2 4" xfId="6437"/>
    <cellStyle name="好_镇管汇总 2 4 2" xfId="6438"/>
    <cellStyle name="好_镇管汇总 2 5" xfId="6439"/>
    <cellStyle name="好_镇管汇总 2 5 2" xfId="6440"/>
    <cellStyle name="好_镇管汇总 2 6" xfId="6441"/>
    <cellStyle name="好_镇管汇总 3" xfId="6442"/>
    <cellStyle name="好_镇管汇总 3 2" xfId="6443"/>
    <cellStyle name="好_镇管汇总 3 2 2" xfId="6444"/>
    <cellStyle name="好_镇管汇总 3 2 2 2" xfId="6445"/>
    <cellStyle name="好_镇管汇总 3 2 3" xfId="6446"/>
    <cellStyle name="好_镇管汇总 3 3" xfId="6447"/>
    <cellStyle name="好_镇管汇总 3 3 2" xfId="6448"/>
    <cellStyle name="好_镇管汇总 3 4" xfId="6449"/>
    <cellStyle name="好_镇管汇总 3 4 2" xfId="6450"/>
    <cellStyle name="好_镇管汇总 3 5" xfId="6451"/>
    <cellStyle name="好_镇管汇总 4" xfId="6452"/>
    <cellStyle name="好_镇管汇总 4 2" xfId="6453"/>
    <cellStyle name="好_镇管汇总 4 2 2" xfId="6454"/>
    <cellStyle name="好_镇管汇总 4 2 2 2" xfId="6455"/>
    <cellStyle name="好_镇管汇总 4 2 3" xfId="6456"/>
    <cellStyle name="好_镇管汇总 4 3" xfId="6457"/>
    <cellStyle name="好_镇管汇总 4 3 2" xfId="6458"/>
    <cellStyle name="好_镇管汇总 4 4" xfId="6459"/>
    <cellStyle name="好_镇管汇总 4 4 2" xfId="6460"/>
    <cellStyle name="好_镇管汇总 4 5" xfId="6461"/>
    <cellStyle name="好_镇管汇总 5" xfId="6462"/>
    <cellStyle name="好_镇管汇总 5 2" xfId="6463"/>
    <cellStyle name="好_镇管汇总 5 2 2" xfId="6464"/>
    <cellStyle name="好_镇管汇总 5 3" xfId="6465"/>
    <cellStyle name="好_镇管汇总 6" xfId="6466"/>
    <cellStyle name="好_镇管汇总 6 2" xfId="6467"/>
    <cellStyle name="好_镇管汇总 7" xfId="6468"/>
    <cellStyle name="好_镇管汇总 7 2" xfId="6469"/>
    <cellStyle name="好_镇管汇总 8" xfId="6470"/>
    <cellStyle name="好_镇管汇总 8 2" xfId="6471"/>
    <cellStyle name="好_镇管汇总 9" xfId="6472"/>
    <cellStyle name="汇总 2" xfId="6473"/>
    <cellStyle name="汇总 2 10" xfId="8931"/>
    <cellStyle name="汇总 2 10 2" xfId="9396"/>
    <cellStyle name="汇总 2 11" xfId="8949"/>
    <cellStyle name="汇总 2 11 2" xfId="9406"/>
    <cellStyle name="汇总 2 12" xfId="8986"/>
    <cellStyle name="汇总 2 12 2" xfId="9420"/>
    <cellStyle name="汇总 2 13" xfId="9274"/>
    <cellStyle name="汇总 2 13 2" xfId="9469"/>
    <cellStyle name="汇总 2 14" xfId="9285"/>
    <cellStyle name="汇总 2 14 2" xfId="9480"/>
    <cellStyle name="汇总 2 2" xfId="6474"/>
    <cellStyle name="汇总 2 2 2" xfId="6475"/>
    <cellStyle name="汇总 2 2 2 2" xfId="6476"/>
    <cellStyle name="汇总 2 2 2 2 2" xfId="6477"/>
    <cellStyle name="汇总 2 2 2 3" xfId="6478"/>
    <cellStyle name="汇总 2 2 3" xfId="6479"/>
    <cellStyle name="汇总 2 2 3 2" xfId="6480"/>
    <cellStyle name="汇总 2 2 4" xfId="6481"/>
    <cellStyle name="汇总 2 2 4 2" xfId="6482"/>
    <cellStyle name="汇总 2 2 5" xfId="6483"/>
    <cellStyle name="汇总 2 2 6" xfId="8772"/>
    <cellStyle name="汇总 2 2 7" xfId="8943"/>
    <cellStyle name="汇总 2 2 7 2" xfId="9401"/>
    <cellStyle name="汇总 2 2 8" xfId="8954"/>
    <cellStyle name="汇总 2 2 8 2" xfId="9411"/>
    <cellStyle name="汇总 2 3" xfId="6484"/>
    <cellStyle name="汇总 2 3 2" xfId="6485"/>
    <cellStyle name="汇总 2 3 2 2" xfId="6486"/>
    <cellStyle name="汇总 2 3 3" xfId="6487"/>
    <cellStyle name="汇总 2 4" xfId="6488"/>
    <cellStyle name="汇总 2 4 2" xfId="6489"/>
    <cellStyle name="汇总 2 5" xfId="6490"/>
    <cellStyle name="汇总 2 5 2" xfId="6491"/>
    <cellStyle name="汇总 2 6" xfId="6492"/>
    <cellStyle name="汇总 2 7" xfId="8606"/>
    <cellStyle name="汇总 2 7 2" xfId="9300"/>
    <cellStyle name="汇总 2 8" xfId="8622"/>
    <cellStyle name="汇总 2 8 2" xfId="9305"/>
    <cellStyle name="汇总 2 9" xfId="8771"/>
    <cellStyle name="汇总 3" xfId="6493"/>
    <cellStyle name="汇总 3 2" xfId="6494"/>
    <cellStyle name="汇总 3 2 2" xfId="6495"/>
    <cellStyle name="汇总 3 2 2 2" xfId="6496"/>
    <cellStyle name="汇总 3 2 2 2 2" xfId="6497"/>
    <cellStyle name="汇总 3 2 2 3" xfId="6498"/>
    <cellStyle name="汇总 3 2 3" xfId="6499"/>
    <cellStyle name="汇总 3 2 3 2" xfId="6500"/>
    <cellStyle name="汇总 3 2 4" xfId="6501"/>
    <cellStyle name="汇总 3 2 4 2" xfId="6502"/>
    <cellStyle name="汇总 3 2 5" xfId="6503"/>
    <cellStyle name="汇总 3 2 6" xfId="8774"/>
    <cellStyle name="汇总 3 3" xfId="6504"/>
    <cellStyle name="汇总 3 3 2" xfId="6505"/>
    <cellStyle name="汇总 3 3 2 2" xfId="6506"/>
    <cellStyle name="汇总 3 3 3" xfId="6507"/>
    <cellStyle name="汇总 3 4" xfId="6508"/>
    <cellStyle name="汇总 3 4 2" xfId="6509"/>
    <cellStyle name="汇总 3 5" xfId="6510"/>
    <cellStyle name="汇总 3 5 2" xfId="6511"/>
    <cellStyle name="汇总 3 6" xfId="6512"/>
    <cellStyle name="汇总 3 7" xfId="8773"/>
    <cellStyle name="汇总 4" xfId="6513"/>
    <cellStyle name="汇总 4 2" xfId="6514"/>
    <cellStyle name="汇总 4 2 2" xfId="6515"/>
    <cellStyle name="汇总 4 2 2 2" xfId="6516"/>
    <cellStyle name="汇总 4 2 2 2 2" xfId="6517"/>
    <cellStyle name="汇总 4 2 2 3" xfId="6518"/>
    <cellStyle name="汇总 4 2 3" xfId="6519"/>
    <cellStyle name="汇总 4 2 3 2" xfId="6520"/>
    <cellStyle name="汇总 4 2 4" xfId="6521"/>
    <cellStyle name="汇总 4 2 4 2" xfId="6522"/>
    <cellStyle name="汇总 4 2 5" xfId="6523"/>
    <cellStyle name="汇总 4 2 6" xfId="8776"/>
    <cellStyle name="汇总 4 3" xfId="6524"/>
    <cellStyle name="汇总 4 3 2" xfId="6525"/>
    <cellStyle name="汇总 4 3 2 2" xfId="6526"/>
    <cellStyle name="汇总 4 3 3" xfId="6527"/>
    <cellStyle name="汇总 4 4" xfId="6528"/>
    <cellStyle name="汇总 4 4 2" xfId="6529"/>
    <cellStyle name="汇总 4 5" xfId="6530"/>
    <cellStyle name="汇总 4 5 2" xfId="6531"/>
    <cellStyle name="汇总 4 6" xfId="6532"/>
    <cellStyle name="汇总 4 7" xfId="8775"/>
    <cellStyle name="汇总 5" xfId="6533"/>
    <cellStyle name="汇总 5 2" xfId="6534"/>
    <cellStyle name="汇总 5 2 2" xfId="6535"/>
    <cellStyle name="汇总 5 2 2 2" xfId="6536"/>
    <cellStyle name="汇总 5 2 3" xfId="6537"/>
    <cellStyle name="汇总 5 3" xfId="6538"/>
    <cellStyle name="汇总 5 3 2" xfId="6539"/>
    <cellStyle name="汇总 5 4" xfId="6540"/>
    <cellStyle name="汇总 5 4 2" xfId="6541"/>
    <cellStyle name="汇总 5 5" xfId="6542"/>
    <cellStyle name="汇总 6" xfId="6543"/>
    <cellStyle name="汇总 6 2" xfId="6544"/>
    <cellStyle name="汇总 6 2 2" xfId="6545"/>
    <cellStyle name="汇总 6 2 2 2" xfId="6546"/>
    <cellStyle name="汇总 6 2 3" xfId="6547"/>
    <cellStyle name="汇总 6 3" xfId="6548"/>
    <cellStyle name="汇总 6 3 2" xfId="6549"/>
    <cellStyle name="汇总 6 4" xfId="6550"/>
    <cellStyle name="汇总 6 4 2" xfId="6551"/>
    <cellStyle name="汇总 6 5" xfId="6552"/>
    <cellStyle name="货币 3" xfId="9294"/>
    <cellStyle name="货币[0] 2" xfId="9178"/>
    <cellStyle name="货币[0] 2 2" xfId="9193"/>
    <cellStyle name="计算 2" xfId="6553"/>
    <cellStyle name="计算 2 10" xfId="8777"/>
    <cellStyle name="计算 2 11" xfId="8932"/>
    <cellStyle name="计算 2 11 2" xfId="9397"/>
    <cellStyle name="计算 2 12" xfId="8950"/>
    <cellStyle name="计算 2 12 2" xfId="9407"/>
    <cellStyle name="计算 2 13" xfId="8987"/>
    <cellStyle name="计算 2 13 2" xfId="9421"/>
    <cellStyle name="计算 2 14" xfId="9275"/>
    <cellStyle name="计算 2 14 2" xfId="9470"/>
    <cellStyle name="计算 2 15" xfId="9286"/>
    <cellStyle name="计算 2 15 2" xfId="9481"/>
    <cellStyle name="计算 2 2" xfId="6554"/>
    <cellStyle name="计算 2 2 2" xfId="6555"/>
    <cellStyle name="计算 2 2 2 2" xfId="6556"/>
    <cellStyle name="计算 2 2 2 2 2" xfId="6557"/>
    <cellStyle name="计算 2 2 2 3" xfId="6558"/>
    <cellStyle name="计算 2 2 3" xfId="6559"/>
    <cellStyle name="计算 2 2 3 2" xfId="6560"/>
    <cellStyle name="计算 2 2 4" xfId="6561"/>
    <cellStyle name="计算 2 2 4 2" xfId="6562"/>
    <cellStyle name="计算 2 2 5" xfId="6563"/>
    <cellStyle name="计算 2 2 6" xfId="8778"/>
    <cellStyle name="计算 2 2 7" xfId="8944"/>
    <cellStyle name="计算 2 2 7 2" xfId="9402"/>
    <cellStyle name="计算 2 2 8" xfId="8955"/>
    <cellStyle name="计算 2 2 8 2" xfId="9412"/>
    <cellStyle name="计算 2 3" xfId="6564"/>
    <cellStyle name="计算 2 3 2" xfId="6565"/>
    <cellStyle name="计算 2 3 2 2" xfId="6566"/>
    <cellStyle name="计算 2 3 3" xfId="6567"/>
    <cellStyle name="计算 2 4" xfId="6568"/>
    <cellStyle name="计算 2 4 2" xfId="6569"/>
    <cellStyle name="计算 2 5" xfId="6570"/>
    <cellStyle name="计算 2 5 2" xfId="6571"/>
    <cellStyle name="计算 2 6" xfId="6572"/>
    <cellStyle name="计算 2 7" xfId="8601"/>
    <cellStyle name="计算 2 8" xfId="8607"/>
    <cellStyle name="计算 2 8 2" xfId="9301"/>
    <cellStyle name="计算 2 9" xfId="8623"/>
    <cellStyle name="计算 2 9 2" xfId="9306"/>
    <cellStyle name="计算 3" xfId="6573"/>
    <cellStyle name="计算 3 2" xfId="6574"/>
    <cellStyle name="计算 3 2 2" xfId="6575"/>
    <cellStyle name="计算 3 2 2 2" xfId="6576"/>
    <cellStyle name="计算 3 2 2 2 2" xfId="6577"/>
    <cellStyle name="计算 3 2 2 3" xfId="6578"/>
    <cellStyle name="计算 3 2 3" xfId="6579"/>
    <cellStyle name="计算 3 2 3 2" xfId="6580"/>
    <cellStyle name="计算 3 2 4" xfId="6581"/>
    <cellStyle name="计算 3 2 4 2" xfId="6582"/>
    <cellStyle name="计算 3 2 5" xfId="6583"/>
    <cellStyle name="计算 3 2 6" xfId="8780"/>
    <cellStyle name="计算 3 3" xfId="6584"/>
    <cellStyle name="计算 3 3 2" xfId="6585"/>
    <cellStyle name="计算 3 3 2 2" xfId="6586"/>
    <cellStyle name="计算 3 3 3" xfId="6587"/>
    <cellStyle name="计算 3 4" xfId="6588"/>
    <cellStyle name="计算 3 4 2" xfId="6589"/>
    <cellStyle name="计算 3 5" xfId="6590"/>
    <cellStyle name="计算 3 5 2" xfId="6591"/>
    <cellStyle name="计算 3 6" xfId="6592"/>
    <cellStyle name="计算 3 7" xfId="8779"/>
    <cellStyle name="计算 4" xfId="6593"/>
    <cellStyle name="计算 4 2" xfId="6594"/>
    <cellStyle name="计算 4 2 2" xfId="6595"/>
    <cellStyle name="计算 4 2 2 2" xfId="6596"/>
    <cellStyle name="计算 4 2 2 2 2" xfId="6597"/>
    <cellStyle name="计算 4 2 2 3" xfId="6598"/>
    <cellStyle name="计算 4 2 3" xfId="6599"/>
    <cellStyle name="计算 4 2 3 2" xfId="6600"/>
    <cellStyle name="计算 4 2 4" xfId="6601"/>
    <cellStyle name="计算 4 2 4 2" xfId="6602"/>
    <cellStyle name="计算 4 2 5" xfId="6603"/>
    <cellStyle name="计算 4 2 6" xfId="8782"/>
    <cellStyle name="计算 4 3" xfId="6604"/>
    <cellStyle name="计算 4 3 2" xfId="6605"/>
    <cellStyle name="计算 4 3 2 2" xfId="6606"/>
    <cellStyle name="计算 4 3 3" xfId="6607"/>
    <cellStyle name="计算 4 4" xfId="6608"/>
    <cellStyle name="计算 4 4 2" xfId="6609"/>
    <cellStyle name="计算 4 5" xfId="6610"/>
    <cellStyle name="计算 4 5 2" xfId="6611"/>
    <cellStyle name="计算 4 6" xfId="6612"/>
    <cellStyle name="计算 4 7" xfId="8781"/>
    <cellStyle name="计算 5" xfId="6613"/>
    <cellStyle name="计算 5 2" xfId="6614"/>
    <cellStyle name="计算 5 2 2" xfId="6615"/>
    <cellStyle name="计算 5 2 2 2" xfId="6616"/>
    <cellStyle name="计算 5 2 3" xfId="6617"/>
    <cellStyle name="计算 5 3" xfId="6618"/>
    <cellStyle name="计算 5 3 2" xfId="6619"/>
    <cellStyle name="计算 5 4" xfId="6620"/>
    <cellStyle name="计算 5 4 2" xfId="6621"/>
    <cellStyle name="计算 5 5" xfId="6622"/>
    <cellStyle name="计算 6" xfId="6623"/>
    <cellStyle name="计算 6 2" xfId="6624"/>
    <cellStyle name="计算 6 2 2" xfId="6625"/>
    <cellStyle name="计算 6 2 2 2" xfId="6626"/>
    <cellStyle name="计算 6 2 3" xfId="6627"/>
    <cellStyle name="计算 6 3" xfId="6628"/>
    <cellStyle name="计算 6 3 2" xfId="6629"/>
    <cellStyle name="计算 6 4" xfId="6630"/>
    <cellStyle name="计算 6 4 2" xfId="6631"/>
    <cellStyle name="计算 6 5" xfId="6632"/>
    <cellStyle name="计算 7" xfId="6633"/>
    <cellStyle name="计算 7 2" xfId="6634"/>
    <cellStyle name="计算 7 2 2" xfId="6635"/>
    <cellStyle name="计算 7 2 2 2" xfId="6636"/>
    <cellStyle name="计算 7 2 3" xfId="6637"/>
    <cellStyle name="计算 7 3" xfId="6638"/>
    <cellStyle name="计算 7 3 2" xfId="6639"/>
    <cellStyle name="计算 7 4" xfId="6640"/>
    <cellStyle name="计算 7 4 2" xfId="6641"/>
    <cellStyle name="计算 7 5" xfId="6642"/>
    <cellStyle name="检查单元格 2" xfId="6643"/>
    <cellStyle name="检查单元格 2 10" xfId="8988"/>
    <cellStyle name="检查单元格 2 11" xfId="9276"/>
    <cellStyle name="检查单元格 2 11 2" xfId="9471"/>
    <cellStyle name="检查单元格 2 2" xfId="6644"/>
    <cellStyle name="检查单元格 2 2 2" xfId="6645"/>
    <cellStyle name="检查单元格 2 2 2 2" xfId="6646"/>
    <cellStyle name="检查单元格 2 2 2 2 2" xfId="6647"/>
    <cellStyle name="检查单元格 2 2 2 3" xfId="6648"/>
    <cellStyle name="检查单元格 2 2 3" xfId="6649"/>
    <cellStyle name="检查单元格 2 2 3 2" xfId="6650"/>
    <cellStyle name="检查单元格 2 2 4" xfId="6651"/>
    <cellStyle name="检查单元格 2 2 4 2" xfId="6652"/>
    <cellStyle name="检查单元格 2 2 5" xfId="6653"/>
    <cellStyle name="检查单元格 2 2 6" xfId="8784"/>
    <cellStyle name="检查单元格 2 3" xfId="6654"/>
    <cellStyle name="检查单元格 2 3 2" xfId="6655"/>
    <cellStyle name="检查单元格 2 3 2 2" xfId="6656"/>
    <cellStyle name="检查单元格 2 3 3" xfId="6657"/>
    <cellStyle name="检查单元格 2 4" xfId="6658"/>
    <cellStyle name="检查单元格 2 4 2" xfId="6659"/>
    <cellStyle name="检查单元格 2 5" xfId="6660"/>
    <cellStyle name="检查单元格 2 5 2" xfId="6661"/>
    <cellStyle name="检查单元格 2 6" xfId="6662"/>
    <cellStyle name="检查单元格 2 7" xfId="8608"/>
    <cellStyle name="检查单元格 2 8" xfId="8783"/>
    <cellStyle name="检查单元格 2 9" xfId="8933"/>
    <cellStyle name="检查单元格 3" xfId="6663"/>
    <cellStyle name="检查单元格 3 2" xfId="6664"/>
    <cellStyle name="检查单元格 3 2 2" xfId="6665"/>
    <cellStyle name="检查单元格 3 2 2 2" xfId="6666"/>
    <cellStyle name="检查单元格 3 2 2 2 2" xfId="6667"/>
    <cellStyle name="检查单元格 3 2 2 3" xfId="6668"/>
    <cellStyle name="检查单元格 3 2 3" xfId="6669"/>
    <cellStyle name="检查单元格 3 2 3 2" xfId="6670"/>
    <cellStyle name="检查单元格 3 2 4" xfId="6671"/>
    <cellStyle name="检查单元格 3 2 4 2" xfId="6672"/>
    <cellStyle name="检查单元格 3 2 5" xfId="6673"/>
    <cellStyle name="检查单元格 3 2 6" xfId="8786"/>
    <cellStyle name="检查单元格 3 3" xfId="6674"/>
    <cellStyle name="检查单元格 3 3 2" xfId="6675"/>
    <cellStyle name="检查单元格 3 3 2 2" xfId="6676"/>
    <cellStyle name="检查单元格 3 3 3" xfId="6677"/>
    <cellStyle name="检查单元格 3 4" xfId="6678"/>
    <cellStyle name="检查单元格 3 4 2" xfId="6679"/>
    <cellStyle name="检查单元格 3 5" xfId="6680"/>
    <cellStyle name="检查单元格 3 5 2" xfId="6681"/>
    <cellStyle name="检查单元格 3 6" xfId="6682"/>
    <cellStyle name="检查单元格 3 7" xfId="8785"/>
    <cellStyle name="检查单元格 4" xfId="6683"/>
    <cellStyle name="检查单元格 4 2" xfId="6684"/>
    <cellStyle name="检查单元格 4 2 2" xfId="6685"/>
    <cellStyle name="检查单元格 4 2 2 2" xfId="6686"/>
    <cellStyle name="检查单元格 4 2 2 2 2" xfId="6687"/>
    <cellStyle name="检查单元格 4 2 2 3" xfId="6688"/>
    <cellStyle name="检查单元格 4 2 3" xfId="6689"/>
    <cellStyle name="检查单元格 4 2 3 2" xfId="6690"/>
    <cellStyle name="检查单元格 4 2 4" xfId="6691"/>
    <cellStyle name="检查单元格 4 2 4 2" xfId="6692"/>
    <cellStyle name="检查单元格 4 2 5" xfId="6693"/>
    <cellStyle name="检查单元格 4 2 6" xfId="8788"/>
    <cellStyle name="检查单元格 4 3" xfId="6694"/>
    <cellStyle name="检查单元格 4 3 2" xfId="6695"/>
    <cellStyle name="检查单元格 4 3 2 2" xfId="6696"/>
    <cellStyle name="检查单元格 4 3 3" xfId="6697"/>
    <cellStyle name="检查单元格 4 4" xfId="6698"/>
    <cellStyle name="检查单元格 4 4 2" xfId="6699"/>
    <cellStyle name="检查单元格 4 5" xfId="6700"/>
    <cellStyle name="检查单元格 4 5 2" xfId="6701"/>
    <cellStyle name="检查单元格 4 6" xfId="6702"/>
    <cellStyle name="检查单元格 4 7" xfId="8787"/>
    <cellStyle name="检查单元格 5" xfId="6703"/>
    <cellStyle name="检查单元格 5 2" xfId="6704"/>
    <cellStyle name="检查单元格 5 2 2" xfId="6705"/>
    <cellStyle name="检查单元格 5 2 2 2" xfId="6706"/>
    <cellStyle name="检查单元格 5 2 3" xfId="6707"/>
    <cellStyle name="检查单元格 5 3" xfId="6708"/>
    <cellStyle name="检查单元格 5 3 2" xfId="6709"/>
    <cellStyle name="检查单元格 5 4" xfId="6710"/>
    <cellStyle name="检查单元格 5 4 2" xfId="6711"/>
    <cellStyle name="检查单元格 5 5" xfId="6712"/>
    <cellStyle name="检查单元格 6" xfId="6713"/>
    <cellStyle name="检查单元格 6 2" xfId="6714"/>
    <cellStyle name="检查单元格 6 2 2" xfId="6715"/>
    <cellStyle name="检查单元格 6 2 2 2" xfId="6716"/>
    <cellStyle name="检查单元格 6 2 3" xfId="6717"/>
    <cellStyle name="检查单元格 6 3" xfId="6718"/>
    <cellStyle name="检查单元格 6 3 2" xfId="6719"/>
    <cellStyle name="检查单元格 6 4" xfId="6720"/>
    <cellStyle name="检查单元格 6 4 2" xfId="6721"/>
    <cellStyle name="检查单元格 6 5" xfId="6722"/>
    <cellStyle name="检查单元格 7" xfId="6723"/>
    <cellStyle name="检查单元格 7 2" xfId="6724"/>
    <cellStyle name="检查单元格 7 2 2" xfId="6725"/>
    <cellStyle name="检查单元格 7 2 2 2" xfId="6726"/>
    <cellStyle name="检查单元格 7 2 3" xfId="6727"/>
    <cellStyle name="检查单元格 7 3" xfId="6728"/>
    <cellStyle name="检查单元格 7 3 2" xfId="6729"/>
    <cellStyle name="检查单元格 7 4" xfId="6730"/>
    <cellStyle name="检查单元格 7 4 2" xfId="6731"/>
    <cellStyle name="检查单元格 7 5" xfId="6732"/>
    <cellStyle name="解释性文本 2" xfId="6733"/>
    <cellStyle name="解释性文本 2 10" xfId="8989"/>
    <cellStyle name="解释性文本 2 11" xfId="9277"/>
    <cellStyle name="解释性文本 2 11 2" xfId="9472"/>
    <cellStyle name="解释性文本 2 2" xfId="6734"/>
    <cellStyle name="解释性文本 2 2 2" xfId="6735"/>
    <cellStyle name="解释性文本 2 2 2 2" xfId="6736"/>
    <cellStyle name="解释性文本 2 2 2 2 2" xfId="6737"/>
    <cellStyle name="解释性文本 2 2 2 3" xfId="6738"/>
    <cellStyle name="解释性文本 2 2 3" xfId="6739"/>
    <cellStyle name="解释性文本 2 2 3 2" xfId="6740"/>
    <cellStyle name="解释性文本 2 2 4" xfId="6741"/>
    <cellStyle name="解释性文本 2 2 4 2" xfId="6742"/>
    <cellStyle name="解释性文本 2 2 5" xfId="6743"/>
    <cellStyle name="解释性文本 2 2 6" xfId="8790"/>
    <cellStyle name="解释性文本 2 3" xfId="6744"/>
    <cellStyle name="解释性文本 2 3 2" xfId="6745"/>
    <cellStyle name="解释性文本 2 3 2 2" xfId="6746"/>
    <cellStyle name="解释性文本 2 3 3" xfId="6747"/>
    <cellStyle name="解释性文本 2 4" xfId="6748"/>
    <cellStyle name="解释性文本 2 4 2" xfId="6749"/>
    <cellStyle name="解释性文本 2 5" xfId="6750"/>
    <cellStyle name="解释性文本 2 5 2" xfId="6751"/>
    <cellStyle name="解释性文本 2 6" xfId="6752"/>
    <cellStyle name="解释性文本 2 7" xfId="8609"/>
    <cellStyle name="解释性文本 2 8" xfId="8789"/>
    <cellStyle name="解释性文本 2 9" xfId="8934"/>
    <cellStyle name="解释性文本 3" xfId="6753"/>
    <cellStyle name="解释性文本 3 2" xfId="6754"/>
    <cellStyle name="解释性文本 3 2 2" xfId="6755"/>
    <cellStyle name="解释性文本 3 2 2 2" xfId="6756"/>
    <cellStyle name="解释性文本 3 2 2 2 2" xfId="6757"/>
    <cellStyle name="解释性文本 3 2 2 3" xfId="6758"/>
    <cellStyle name="解释性文本 3 2 3" xfId="6759"/>
    <cellStyle name="解释性文本 3 2 3 2" xfId="6760"/>
    <cellStyle name="解释性文本 3 2 4" xfId="6761"/>
    <cellStyle name="解释性文本 3 2 4 2" xfId="6762"/>
    <cellStyle name="解释性文本 3 2 5" xfId="6763"/>
    <cellStyle name="解释性文本 3 2 6" xfId="8792"/>
    <cellStyle name="解释性文本 3 3" xfId="6764"/>
    <cellStyle name="解释性文本 3 3 2" xfId="6765"/>
    <cellStyle name="解释性文本 3 3 2 2" xfId="6766"/>
    <cellStyle name="解释性文本 3 3 3" xfId="6767"/>
    <cellStyle name="解释性文本 3 4" xfId="6768"/>
    <cellStyle name="解释性文本 3 4 2" xfId="6769"/>
    <cellStyle name="解释性文本 3 5" xfId="6770"/>
    <cellStyle name="解释性文本 3 5 2" xfId="6771"/>
    <cellStyle name="解释性文本 3 6" xfId="6772"/>
    <cellStyle name="解释性文本 3 7" xfId="8791"/>
    <cellStyle name="解释性文本 4" xfId="6773"/>
    <cellStyle name="解释性文本 4 2" xfId="6774"/>
    <cellStyle name="解释性文本 4 2 2" xfId="6775"/>
    <cellStyle name="解释性文本 4 2 2 2" xfId="6776"/>
    <cellStyle name="解释性文本 4 2 2 2 2" xfId="6777"/>
    <cellStyle name="解释性文本 4 2 2 3" xfId="6778"/>
    <cellStyle name="解释性文本 4 2 3" xfId="6779"/>
    <cellStyle name="解释性文本 4 2 3 2" xfId="6780"/>
    <cellStyle name="解释性文本 4 2 4" xfId="6781"/>
    <cellStyle name="解释性文本 4 2 4 2" xfId="6782"/>
    <cellStyle name="解释性文本 4 2 5" xfId="6783"/>
    <cellStyle name="解释性文本 4 2 6" xfId="8794"/>
    <cellStyle name="解释性文本 4 3" xfId="6784"/>
    <cellStyle name="解释性文本 4 3 2" xfId="6785"/>
    <cellStyle name="解释性文本 4 3 2 2" xfId="6786"/>
    <cellStyle name="解释性文本 4 3 3" xfId="6787"/>
    <cellStyle name="解释性文本 4 4" xfId="6788"/>
    <cellStyle name="解释性文本 4 4 2" xfId="6789"/>
    <cellStyle name="解释性文本 4 5" xfId="6790"/>
    <cellStyle name="解释性文本 4 5 2" xfId="6791"/>
    <cellStyle name="解释性文本 4 6" xfId="6792"/>
    <cellStyle name="解释性文本 4 7" xfId="8793"/>
    <cellStyle name="解释性文本 5" xfId="6793"/>
    <cellStyle name="解释性文本 5 2" xfId="6794"/>
    <cellStyle name="解释性文本 5 2 2" xfId="6795"/>
    <cellStyle name="解释性文本 5 2 2 2" xfId="6796"/>
    <cellStyle name="解释性文本 5 2 3" xfId="6797"/>
    <cellStyle name="解释性文本 5 3" xfId="6798"/>
    <cellStyle name="解释性文本 5 3 2" xfId="6799"/>
    <cellStyle name="解释性文本 5 4" xfId="6800"/>
    <cellStyle name="解释性文本 5 4 2" xfId="6801"/>
    <cellStyle name="解释性文本 5 5" xfId="6802"/>
    <cellStyle name="解释性文本 6" xfId="6803"/>
    <cellStyle name="解释性文本 6 2" xfId="6804"/>
    <cellStyle name="解释性文本 6 2 2" xfId="6805"/>
    <cellStyle name="解释性文本 6 2 2 2" xfId="6806"/>
    <cellStyle name="解释性文本 6 2 3" xfId="6807"/>
    <cellStyle name="解释性文本 6 3" xfId="6808"/>
    <cellStyle name="解释性文本 6 3 2" xfId="6809"/>
    <cellStyle name="解释性文本 6 4" xfId="6810"/>
    <cellStyle name="解释性文本 6 4 2" xfId="6811"/>
    <cellStyle name="解释性文本 6 5" xfId="6812"/>
    <cellStyle name="警告文本 2" xfId="6813"/>
    <cellStyle name="警告文本 2 10" xfId="8990"/>
    <cellStyle name="警告文本 2 11" xfId="9278"/>
    <cellStyle name="警告文本 2 11 2" xfId="9473"/>
    <cellStyle name="警告文本 2 2" xfId="6814"/>
    <cellStyle name="警告文本 2 2 2" xfId="6815"/>
    <cellStyle name="警告文本 2 2 2 2" xfId="6816"/>
    <cellStyle name="警告文本 2 2 2 2 2" xfId="6817"/>
    <cellStyle name="警告文本 2 2 2 3" xfId="6818"/>
    <cellStyle name="警告文本 2 2 3" xfId="6819"/>
    <cellStyle name="警告文本 2 2 3 2" xfId="6820"/>
    <cellStyle name="警告文本 2 2 4" xfId="6821"/>
    <cellStyle name="警告文本 2 2 4 2" xfId="6822"/>
    <cellStyle name="警告文本 2 2 5" xfId="6823"/>
    <cellStyle name="警告文本 2 2 6" xfId="8796"/>
    <cellStyle name="警告文本 2 3" xfId="6824"/>
    <cellStyle name="警告文本 2 3 2" xfId="6825"/>
    <cellStyle name="警告文本 2 3 2 2" xfId="6826"/>
    <cellStyle name="警告文本 2 3 3" xfId="6827"/>
    <cellStyle name="警告文本 2 4" xfId="6828"/>
    <cellStyle name="警告文本 2 4 2" xfId="6829"/>
    <cellStyle name="警告文本 2 5" xfId="6830"/>
    <cellStyle name="警告文本 2 5 2" xfId="6831"/>
    <cellStyle name="警告文本 2 6" xfId="6832"/>
    <cellStyle name="警告文本 2 7" xfId="8610"/>
    <cellStyle name="警告文本 2 8" xfId="8795"/>
    <cellStyle name="警告文本 2 9" xfId="8935"/>
    <cellStyle name="警告文本 3" xfId="6833"/>
    <cellStyle name="警告文本 3 2" xfId="6834"/>
    <cellStyle name="警告文本 3 2 2" xfId="6835"/>
    <cellStyle name="警告文本 3 2 2 2" xfId="6836"/>
    <cellStyle name="警告文本 3 2 2 2 2" xfId="6837"/>
    <cellStyle name="警告文本 3 2 2 3" xfId="6838"/>
    <cellStyle name="警告文本 3 2 3" xfId="6839"/>
    <cellStyle name="警告文本 3 2 3 2" xfId="6840"/>
    <cellStyle name="警告文本 3 2 4" xfId="6841"/>
    <cellStyle name="警告文本 3 2 4 2" xfId="6842"/>
    <cellStyle name="警告文本 3 2 5" xfId="6843"/>
    <cellStyle name="警告文本 3 2 6" xfId="8798"/>
    <cellStyle name="警告文本 3 3" xfId="6844"/>
    <cellStyle name="警告文本 3 3 2" xfId="6845"/>
    <cellStyle name="警告文本 3 3 2 2" xfId="6846"/>
    <cellStyle name="警告文本 3 3 3" xfId="6847"/>
    <cellStyle name="警告文本 3 4" xfId="6848"/>
    <cellStyle name="警告文本 3 4 2" xfId="6849"/>
    <cellStyle name="警告文本 3 5" xfId="6850"/>
    <cellStyle name="警告文本 3 5 2" xfId="6851"/>
    <cellStyle name="警告文本 3 6" xfId="6852"/>
    <cellStyle name="警告文本 3 7" xfId="8797"/>
    <cellStyle name="警告文本 4" xfId="6853"/>
    <cellStyle name="警告文本 4 2" xfId="6854"/>
    <cellStyle name="警告文本 4 2 2" xfId="6855"/>
    <cellStyle name="警告文本 4 2 2 2" xfId="6856"/>
    <cellStyle name="警告文本 4 2 2 2 2" xfId="6857"/>
    <cellStyle name="警告文本 4 2 2 3" xfId="6858"/>
    <cellStyle name="警告文本 4 2 3" xfId="6859"/>
    <cellStyle name="警告文本 4 2 3 2" xfId="6860"/>
    <cellStyle name="警告文本 4 2 4" xfId="6861"/>
    <cellStyle name="警告文本 4 2 4 2" xfId="6862"/>
    <cellStyle name="警告文本 4 2 5" xfId="6863"/>
    <cellStyle name="警告文本 4 2 6" xfId="8800"/>
    <cellStyle name="警告文本 4 3" xfId="6864"/>
    <cellStyle name="警告文本 4 3 2" xfId="6865"/>
    <cellStyle name="警告文本 4 3 2 2" xfId="6866"/>
    <cellStyle name="警告文本 4 3 3" xfId="6867"/>
    <cellStyle name="警告文本 4 4" xfId="6868"/>
    <cellStyle name="警告文本 4 4 2" xfId="6869"/>
    <cellStyle name="警告文本 4 5" xfId="6870"/>
    <cellStyle name="警告文本 4 5 2" xfId="6871"/>
    <cellStyle name="警告文本 4 6" xfId="6872"/>
    <cellStyle name="警告文本 4 7" xfId="8799"/>
    <cellStyle name="警告文本 5" xfId="6873"/>
    <cellStyle name="警告文本 5 2" xfId="6874"/>
    <cellStyle name="警告文本 5 2 2" xfId="6875"/>
    <cellStyle name="警告文本 5 2 2 2" xfId="6876"/>
    <cellStyle name="警告文本 5 2 3" xfId="6877"/>
    <cellStyle name="警告文本 5 3" xfId="6878"/>
    <cellStyle name="警告文本 5 3 2" xfId="6879"/>
    <cellStyle name="警告文本 5 4" xfId="6880"/>
    <cellStyle name="警告文本 5 4 2" xfId="6881"/>
    <cellStyle name="警告文本 5 5" xfId="6882"/>
    <cellStyle name="警告文本 6" xfId="6883"/>
    <cellStyle name="警告文本 6 2" xfId="6884"/>
    <cellStyle name="警告文本 6 2 2" xfId="6885"/>
    <cellStyle name="警告文本 6 2 2 2" xfId="6886"/>
    <cellStyle name="警告文本 6 2 3" xfId="6887"/>
    <cellStyle name="警告文本 6 3" xfId="6888"/>
    <cellStyle name="警告文本 6 3 2" xfId="6889"/>
    <cellStyle name="警告文本 6 4" xfId="6890"/>
    <cellStyle name="警告文本 6 4 2" xfId="6891"/>
    <cellStyle name="警告文本 6 5" xfId="6892"/>
    <cellStyle name="链接单元格 2" xfId="6893"/>
    <cellStyle name="链接单元格 2 10" xfId="8991"/>
    <cellStyle name="链接单元格 2 11" xfId="9279"/>
    <cellStyle name="链接单元格 2 11 2" xfId="9474"/>
    <cellStyle name="链接单元格 2 2" xfId="6894"/>
    <cellStyle name="链接单元格 2 2 2" xfId="6895"/>
    <cellStyle name="链接单元格 2 2 2 2" xfId="6896"/>
    <cellStyle name="链接单元格 2 2 2 2 2" xfId="6897"/>
    <cellStyle name="链接单元格 2 2 2 3" xfId="6898"/>
    <cellStyle name="链接单元格 2 2 3" xfId="6899"/>
    <cellStyle name="链接单元格 2 2 3 2" xfId="6900"/>
    <cellStyle name="链接单元格 2 2 4" xfId="6901"/>
    <cellStyle name="链接单元格 2 2 4 2" xfId="6902"/>
    <cellStyle name="链接单元格 2 2 5" xfId="6903"/>
    <cellStyle name="链接单元格 2 2 6" xfId="8802"/>
    <cellStyle name="链接单元格 2 3" xfId="6904"/>
    <cellStyle name="链接单元格 2 3 2" xfId="6905"/>
    <cellStyle name="链接单元格 2 3 2 2" xfId="6906"/>
    <cellStyle name="链接单元格 2 3 3" xfId="6907"/>
    <cellStyle name="链接单元格 2 4" xfId="6908"/>
    <cellStyle name="链接单元格 2 4 2" xfId="6909"/>
    <cellStyle name="链接单元格 2 5" xfId="6910"/>
    <cellStyle name="链接单元格 2 5 2" xfId="6911"/>
    <cellStyle name="链接单元格 2 6" xfId="6912"/>
    <cellStyle name="链接单元格 2 7" xfId="8611"/>
    <cellStyle name="链接单元格 2 8" xfId="8801"/>
    <cellStyle name="链接单元格 2 9" xfId="8936"/>
    <cellStyle name="链接单元格 3" xfId="6913"/>
    <cellStyle name="链接单元格 3 2" xfId="6914"/>
    <cellStyle name="链接单元格 3 2 2" xfId="6915"/>
    <cellStyle name="链接单元格 3 2 2 2" xfId="6916"/>
    <cellStyle name="链接单元格 3 2 2 2 2" xfId="6917"/>
    <cellStyle name="链接单元格 3 2 2 3" xfId="6918"/>
    <cellStyle name="链接单元格 3 2 3" xfId="6919"/>
    <cellStyle name="链接单元格 3 2 3 2" xfId="6920"/>
    <cellStyle name="链接单元格 3 2 4" xfId="6921"/>
    <cellStyle name="链接单元格 3 2 4 2" xfId="6922"/>
    <cellStyle name="链接单元格 3 2 5" xfId="6923"/>
    <cellStyle name="链接单元格 3 2 6" xfId="8804"/>
    <cellStyle name="链接单元格 3 3" xfId="6924"/>
    <cellStyle name="链接单元格 3 3 2" xfId="6925"/>
    <cellStyle name="链接单元格 3 3 2 2" xfId="6926"/>
    <cellStyle name="链接单元格 3 3 3" xfId="6927"/>
    <cellStyle name="链接单元格 3 4" xfId="6928"/>
    <cellStyle name="链接单元格 3 4 2" xfId="6929"/>
    <cellStyle name="链接单元格 3 5" xfId="6930"/>
    <cellStyle name="链接单元格 3 5 2" xfId="6931"/>
    <cellStyle name="链接单元格 3 6" xfId="6932"/>
    <cellStyle name="链接单元格 3 7" xfId="8803"/>
    <cellStyle name="链接单元格 4" xfId="6933"/>
    <cellStyle name="链接单元格 4 2" xfId="6934"/>
    <cellStyle name="链接单元格 4 2 2" xfId="6935"/>
    <cellStyle name="链接单元格 4 2 2 2" xfId="6936"/>
    <cellStyle name="链接单元格 4 2 2 2 2" xfId="6937"/>
    <cellStyle name="链接单元格 4 2 2 3" xfId="6938"/>
    <cellStyle name="链接单元格 4 2 3" xfId="6939"/>
    <cellStyle name="链接单元格 4 2 3 2" xfId="6940"/>
    <cellStyle name="链接单元格 4 2 4" xfId="6941"/>
    <cellStyle name="链接单元格 4 2 4 2" xfId="6942"/>
    <cellStyle name="链接单元格 4 2 5" xfId="6943"/>
    <cellStyle name="链接单元格 4 2 6" xfId="8806"/>
    <cellStyle name="链接单元格 4 3" xfId="6944"/>
    <cellStyle name="链接单元格 4 3 2" xfId="6945"/>
    <cellStyle name="链接单元格 4 3 2 2" xfId="6946"/>
    <cellStyle name="链接单元格 4 3 3" xfId="6947"/>
    <cellStyle name="链接单元格 4 4" xfId="6948"/>
    <cellStyle name="链接单元格 4 4 2" xfId="6949"/>
    <cellStyle name="链接单元格 4 5" xfId="6950"/>
    <cellStyle name="链接单元格 4 5 2" xfId="6951"/>
    <cellStyle name="链接单元格 4 6" xfId="6952"/>
    <cellStyle name="链接单元格 4 7" xfId="8805"/>
    <cellStyle name="链接单元格 5" xfId="6953"/>
    <cellStyle name="链接单元格 5 2" xfId="6954"/>
    <cellStyle name="链接单元格 5 2 2" xfId="6955"/>
    <cellStyle name="链接单元格 5 2 2 2" xfId="6956"/>
    <cellStyle name="链接单元格 5 2 3" xfId="6957"/>
    <cellStyle name="链接单元格 5 3" xfId="6958"/>
    <cellStyle name="链接单元格 5 3 2" xfId="6959"/>
    <cellStyle name="链接单元格 5 4" xfId="6960"/>
    <cellStyle name="链接单元格 5 4 2" xfId="6961"/>
    <cellStyle name="链接单元格 5 5" xfId="6962"/>
    <cellStyle name="链接单元格 6" xfId="6963"/>
    <cellStyle name="链接单元格 6 2" xfId="6964"/>
    <cellStyle name="链接单元格 6 2 2" xfId="6965"/>
    <cellStyle name="链接单元格 6 2 2 2" xfId="6966"/>
    <cellStyle name="链接单元格 6 2 3" xfId="6967"/>
    <cellStyle name="链接单元格 6 3" xfId="6968"/>
    <cellStyle name="链接单元格 6 3 2" xfId="6969"/>
    <cellStyle name="链接单元格 6 4" xfId="6970"/>
    <cellStyle name="链接单元格 6 4 2" xfId="6971"/>
    <cellStyle name="链接单元格 6 5" xfId="6972"/>
    <cellStyle name="千位分隔" xfId="16" builtinId="3"/>
    <cellStyle name="千位分隔 10" xfId="6973"/>
    <cellStyle name="千位分隔 10 2" xfId="6974"/>
    <cellStyle name="千位分隔 10 2 2" xfId="6975"/>
    <cellStyle name="千位分隔 10 2 2 2" xfId="6976"/>
    <cellStyle name="千位分隔 10 2 3" xfId="6977"/>
    <cellStyle name="千位分隔 10 3" xfId="6978"/>
    <cellStyle name="千位分隔 10 3 2" xfId="6979"/>
    <cellStyle name="千位分隔 10 4" xfId="6980"/>
    <cellStyle name="千位分隔 10 4 2" xfId="6981"/>
    <cellStyle name="千位分隔 10 5" xfId="6982"/>
    <cellStyle name="千位分隔 11" xfId="6983"/>
    <cellStyle name="千位分隔 12" xfId="6984"/>
    <cellStyle name="千位分隔 12 2" xfId="6985"/>
    <cellStyle name="千位分隔 12 2 2" xfId="6986"/>
    <cellStyle name="千位分隔 12 2 2 2" xfId="6987"/>
    <cellStyle name="千位分隔 12 2 3" xfId="6988"/>
    <cellStyle name="千位分隔 12 3" xfId="6989"/>
    <cellStyle name="千位分隔 12 3 2" xfId="6990"/>
    <cellStyle name="千位分隔 12 3 3" xfId="8595"/>
    <cellStyle name="千位分隔 12 4" xfId="6991"/>
    <cellStyle name="千位分隔 12 4 2" xfId="6992"/>
    <cellStyle name="千位分隔 12 5" xfId="6993"/>
    <cellStyle name="千位分隔 13" xfId="6994"/>
    <cellStyle name="千位分隔 13 2" xfId="6995"/>
    <cellStyle name="千位分隔 13 2 2" xfId="6996"/>
    <cellStyle name="千位分隔 13 3" xfId="6997"/>
    <cellStyle name="千位分隔 14" xfId="6998"/>
    <cellStyle name="千位分隔 14 2" xfId="6999"/>
    <cellStyle name="千位分隔 14 3" xfId="8591"/>
    <cellStyle name="千位分隔 15" xfId="7000"/>
    <cellStyle name="千位分隔 15 2" xfId="7001"/>
    <cellStyle name="千位分隔 16" xfId="7002"/>
    <cellStyle name="千位分隔 16 2" xfId="7003"/>
    <cellStyle name="千位分隔 17" xfId="7004"/>
    <cellStyle name="千位分隔 17 2" xfId="7005"/>
    <cellStyle name="千位分隔 18" xfId="7006"/>
    <cellStyle name="千位分隔 18 2" xfId="7007"/>
    <cellStyle name="千位分隔 19" xfId="8603"/>
    <cellStyle name="千位分隔 2" xfId="7008"/>
    <cellStyle name="千位分隔 2 10" xfId="7009"/>
    <cellStyle name="千位分隔 2 10 2" xfId="7010"/>
    <cellStyle name="千位分隔 2 11" xfId="7011"/>
    <cellStyle name="千位分隔 2 11 2" xfId="7012"/>
    <cellStyle name="千位分隔 2 12" xfId="7013"/>
    <cellStyle name="千位分隔 2 12 2" xfId="7014"/>
    <cellStyle name="千位分隔 2 13" xfId="7015"/>
    <cellStyle name="千位分隔 2 2" xfId="7016"/>
    <cellStyle name="千位分隔 2 2 2" xfId="7017"/>
    <cellStyle name="千位分隔 2 2 2 2" xfId="7018"/>
    <cellStyle name="千位分隔 2 2 2 2 2" xfId="7019"/>
    <cellStyle name="千位分隔 2 2 2 2 2 2" xfId="7020"/>
    <cellStyle name="千位分隔 2 2 2 2 3" xfId="7021"/>
    <cellStyle name="千位分隔 2 2 2 3" xfId="7022"/>
    <cellStyle name="千位分隔 2 2 2 3 2" xfId="7023"/>
    <cellStyle name="千位分隔 2 2 2 4" xfId="7024"/>
    <cellStyle name="千位分隔 2 2 2 4 2" xfId="7025"/>
    <cellStyle name="千位分隔 2 2 2 5" xfId="7026"/>
    <cellStyle name="千位分隔 2 2 2 6" xfId="8905"/>
    <cellStyle name="千位分隔 2 2 3" xfId="7027"/>
    <cellStyle name="千位分隔 2 2 3 2" xfId="7028"/>
    <cellStyle name="千位分隔 2 2 3 2 2" xfId="7029"/>
    <cellStyle name="千位分隔 2 2 3 3" xfId="7030"/>
    <cellStyle name="千位分隔 2 2 4" xfId="7031"/>
    <cellStyle name="千位分隔 2 2 4 2" xfId="7032"/>
    <cellStyle name="千位分隔 2 2 4 2 2" xfId="7033"/>
    <cellStyle name="千位分隔 2 2 4 3" xfId="7034"/>
    <cellStyle name="千位分隔 2 2 5" xfId="7035"/>
    <cellStyle name="千位分隔 2 2 5 2" xfId="7036"/>
    <cellStyle name="千位分隔 2 2 6" xfId="7037"/>
    <cellStyle name="千位分隔 2 2 6 2" xfId="7038"/>
    <cellStyle name="千位分隔 2 2 7" xfId="7039"/>
    <cellStyle name="千位分隔 2 2 8" xfId="8941"/>
    <cellStyle name="千位分隔 2 3" xfId="7040"/>
    <cellStyle name="千位分隔 2 3 2" xfId="7041"/>
    <cellStyle name="千位分隔 2 3 2 2" xfId="7042"/>
    <cellStyle name="千位分隔 2 3 2 2 2" xfId="7043"/>
    <cellStyle name="千位分隔 2 3 2 3" xfId="7044"/>
    <cellStyle name="千位分隔 2 3 2 3 2" xfId="7045"/>
    <cellStyle name="千位分隔 2 3 2 4" xfId="7046"/>
    <cellStyle name="千位分隔 2 3 3" xfId="7047"/>
    <cellStyle name="千位分隔 2 3 3 2" xfId="7048"/>
    <cellStyle name="千位分隔 2 3 3 2 2" xfId="7049"/>
    <cellStyle name="千位分隔 2 3 3 3" xfId="7050"/>
    <cellStyle name="千位分隔 2 3 4" xfId="7051"/>
    <cellStyle name="千位分隔 2 3 4 2" xfId="7052"/>
    <cellStyle name="千位分隔 2 3 5" xfId="7053"/>
    <cellStyle name="千位分隔 2 3 5 2" xfId="7054"/>
    <cellStyle name="千位分隔 2 3 6" xfId="7055"/>
    <cellStyle name="千位分隔 2 4" xfId="7056"/>
    <cellStyle name="千位分隔 2 4 2" xfId="7057"/>
    <cellStyle name="千位分隔 2 4 2 2" xfId="7058"/>
    <cellStyle name="千位分隔 2 4 2 2 2" xfId="7059"/>
    <cellStyle name="千位分隔 2 4 2 2 2 2" xfId="7060"/>
    <cellStyle name="千位分隔 2 4 2 2 3" xfId="7061"/>
    <cellStyle name="千位分隔 2 4 2 3" xfId="7062"/>
    <cellStyle name="千位分隔 2 4 2 3 2" xfId="7063"/>
    <cellStyle name="千位分隔 2 4 2 4" xfId="7064"/>
    <cellStyle name="千位分隔 2 4 2 4 2" xfId="7065"/>
    <cellStyle name="千位分隔 2 4 2 5" xfId="7066"/>
    <cellStyle name="千位分隔 2 4 3" xfId="7067"/>
    <cellStyle name="千位分隔 2 4 3 2" xfId="7068"/>
    <cellStyle name="千位分隔 2 4 3 2 2" xfId="7069"/>
    <cellStyle name="千位分隔 2 4 3 3" xfId="7070"/>
    <cellStyle name="千位分隔 2 4 4" xfId="7071"/>
    <cellStyle name="千位分隔 2 4 4 2" xfId="7072"/>
    <cellStyle name="千位分隔 2 4 5" xfId="7073"/>
    <cellStyle name="千位分隔 2 4 5 2" xfId="7074"/>
    <cellStyle name="千位分隔 2 4 6" xfId="7075"/>
    <cellStyle name="千位分隔 2 5" xfId="7076"/>
    <cellStyle name="千位分隔 2 5 2" xfId="7077"/>
    <cellStyle name="千位分隔 2 5 2 2" xfId="7078"/>
    <cellStyle name="千位分隔 2 5 2 2 2" xfId="7079"/>
    <cellStyle name="千位分隔 2 5 2 3" xfId="7080"/>
    <cellStyle name="千位分隔 2 5 3" xfId="7081"/>
    <cellStyle name="千位分隔 2 5 3 2" xfId="7082"/>
    <cellStyle name="千位分隔 2 5 4" xfId="7083"/>
    <cellStyle name="千位分隔 2 5 4 2" xfId="7084"/>
    <cellStyle name="千位分隔 2 5 5" xfId="7085"/>
    <cellStyle name="千位分隔 2 6" xfId="7086"/>
    <cellStyle name="千位分隔 2 6 2" xfId="7087"/>
    <cellStyle name="千位分隔 2 6 2 2" xfId="7088"/>
    <cellStyle name="千位分隔 2 6 2 2 2" xfId="7089"/>
    <cellStyle name="千位分隔 2 6 2 3" xfId="7090"/>
    <cellStyle name="千位分隔 2 6 3" xfId="7091"/>
    <cellStyle name="千位分隔 2 6 3 2" xfId="7092"/>
    <cellStyle name="千位分隔 2 6 4" xfId="7093"/>
    <cellStyle name="千位分隔 2 6 4 2" xfId="7094"/>
    <cellStyle name="千位分隔 2 6 5" xfId="7095"/>
    <cellStyle name="千位分隔 2 7" xfId="7096"/>
    <cellStyle name="千位分隔 2 7 2" xfId="7097"/>
    <cellStyle name="千位分隔 2 7 2 2" xfId="7098"/>
    <cellStyle name="千位分隔 2 7 2 2 2" xfId="7099"/>
    <cellStyle name="千位分隔 2 7 2 3" xfId="7100"/>
    <cellStyle name="千位分隔 2 7 3" xfId="7101"/>
    <cellStyle name="千位分隔 2 7 3 2" xfId="7102"/>
    <cellStyle name="千位分隔 2 7 3 3" xfId="8594"/>
    <cellStyle name="千位分隔 2 7 4" xfId="7103"/>
    <cellStyle name="千位分隔 2 7 4 2" xfId="7104"/>
    <cellStyle name="千位分隔 2 7 5" xfId="7105"/>
    <cellStyle name="千位分隔 2 8" xfId="7106"/>
    <cellStyle name="千位分隔 2 8 2" xfId="7107"/>
    <cellStyle name="千位分隔 2 8 2 2" xfId="7108"/>
    <cellStyle name="千位分隔 2 8 2 2 2" xfId="7109"/>
    <cellStyle name="千位分隔 2 8 2 3" xfId="7110"/>
    <cellStyle name="千位分隔 2 8 3" xfId="7111"/>
    <cellStyle name="千位分隔 2 8 3 2" xfId="7112"/>
    <cellStyle name="千位分隔 2 8 4" xfId="7113"/>
    <cellStyle name="千位分隔 2 8 4 2" xfId="7114"/>
    <cellStyle name="千位分隔 2 8 5" xfId="7115"/>
    <cellStyle name="千位分隔 2 9" xfId="7116"/>
    <cellStyle name="千位分隔 2 9 2" xfId="7117"/>
    <cellStyle name="千位分隔 2 9 2 2" xfId="7118"/>
    <cellStyle name="千位分隔 2 9 3" xfId="7119"/>
    <cellStyle name="千位分隔 20" xfId="3"/>
    <cellStyle name="千位分隔 21" xfId="9200"/>
    <cellStyle name="千位分隔 3" xfId="7120"/>
    <cellStyle name="千位分隔 3 2" xfId="7121"/>
    <cellStyle name="千位分隔 3 2 2" xfId="7122"/>
    <cellStyle name="千位分隔 3 2 2 2" xfId="7123"/>
    <cellStyle name="千位分隔 3 2 2 2 2" xfId="7124"/>
    <cellStyle name="千位分隔 3 2 2 2 2 2" xfId="7125"/>
    <cellStyle name="千位分隔 3 2 2 2 3" xfId="7126"/>
    <cellStyle name="千位分隔 3 2 2 3" xfId="7127"/>
    <cellStyle name="千位分隔 3 2 2 3 2" xfId="7128"/>
    <cellStyle name="千位分隔 3 2 2 4" xfId="7129"/>
    <cellStyle name="千位分隔 3 2 2 4 2" xfId="7130"/>
    <cellStyle name="千位分隔 3 2 2 5" xfId="7131"/>
    <cellStyle name="千位分隔 3 2 3" xfId="7132"/>
    <cellStyle name="千位分隔 3 2 3 2" xfId="7133"/>
    <cellStyle name="千位分隔 3 2 3 2 2" xfId="7134"/>
    <cellStyle name="千位分隔 3 2 3 3" xfId="7135"/>
    <cellStyle name="千位分隔 3 2 4" xfId="7136"/>
    <cellStyle name="千位分隔 3 2 4 2" xfId="7137"/>
    <cellStyle name="千位分隔 3 2 5" xfId="7138"/>
    <cellStyle name="千位分隔 3 2 5 2" xfId="7139"/>
    <cellStyle name="千位分隔 3 2 6" xfId="7140"/>
    <cellStyle name="千位分隔 3 2 7" xfId="9235"/>
    <cellStyle name="千位分隔 3 3" xfId="7141"/>
    <cellStyle name="千位分隔 3 3 2" xfId="7142"/>
    <cellStyle name="千位分隔 3 3 2 2" xfId="7143"/>
    <cellStyle name="千位分隔 3 3 2 2 2" xfId="7144"/>
    <cellStyle name="千位分隔 3 3 2 3" xfId="7145"/>
    <cellStyle name="千位分隔 3 3 3" xfId="7146"/>
    <cellStyle name="千位分隔 3 3 3 2" xfId="7147"/>
    <cellStyle name="千位分隔 3 3 4" xfId="7148"/>
    <cellStyle name="千位分隔 3 3 4 2" xfId="7149"/>
    <cellStyle name="千位分隔 3 3 5" xfId="7150"/>
    <cellStyle name="千位分隔 3 4" xfId="7151"/>
    <cellStyle name="千位分隔 3 4 2" xfId="7152"/>
    <cellStyle name="千位分隔 3 4 2 2" xfId="7153"/>
    <cellStyle name="千位分隔 3 4 3" xfId="7154"/>
    <cellStyle name="千位分隔 3 5" xfId="7155"/>
    <cellStyle name="千位分隔 3 5 2" xfId="7156"/>
    <cellStyle name="千位分隔 3 6" xfId="7157"/>
    <cellStyle name="千位分隔 3 6 2" xfId="7158"/>
    <cellStyle name="千位分隔 3 7" xfId="7159"/>
    <cellStyle name="千位分隔 3 8" xfId="9234"/>
    <cellStyle name="千位分隔 4" xfId="7160"/>
    <cellStyle name="千位分隔 4 2" xfId="7161"/>
    <cellStyle name="千位分隔 4 2 2" xfId="7162"/>
    <cellStyle name="千位分隔 4 2 2 2" xfId="7163"/>
    <cellStyle name="千位分隔 4 2 3" xfId="7164"/>
    <cellStyle name="千位分隔 4 2 3 2" xfId="7165"/>
    <cellStyle name="千位分隔 4 2 4" xfId="7166"/>
    <cellStyle name="千位分隔 4 2 5" xfId="9237"/>
    <cellStyle name="千位分隔 4 3" xfId="7167"/>
    <cellStyle name="千位分隔 4 3 2" xfId="7168"/>
    <cellStyle name="千位分隔 4 3 2 2" xfId="7169"/>
    <cellStyle name="千位分隔 4 3 3" xfId="7170"/>
    <cellStyle name="千位分隔 4 4" xfId="7171"/>
    <cellStyle name="千位分隔 4 4 2" xfId="7172"/>
    <cellStyle name="千位分隔 4 5" xfId="7173"/>
    <cellStyle name="千位分隔 4 5 2" xfId="7174"/>
    <cellStyle name="千位分隔 4 6" xfId="7175"/>
    <cellStyle name="千位分隔 4 7" xfId="9236"/>
    <cellStyle name="千位分隔 5" xfId="7176"/>
    <cellStyle name="千位分隔 5 2" xfId="7177"/>
    <cellStyle name="千位分隔 5 2 2" xfId="7178"/>
    <cellStyle name="千位分隔 5 2 2 2" xfId="7179"/>
    <cellStyle name="千位分隔 5 2 2 2 2" xfId="7180"/>
    <cellStyle name="千位分隔 5 2 2 3" xfId="7181"/>
    <cellStyle name="千位分隔 5 2 3" xfId="7182"/>
    <cellStyle name="千位分隔 5 2 3 2" xfId="7183"/>
    <cellStyle name="千位分隔 5 2 4" xfId="7184"/>
    <cellStyle name="千位分隔 5 2 4 2" xfId="7185"/>
    <cellStyle name="千位分隔 5 2 5" xfId="7186"/>
    <cellStyle name="千位分隔 5 3" xfId="7187"/>
    <cellStyle name="千位分隔 5 3 2" xfId="7188"/>
    <cellStyle name="千位分隔 5 3 2 2" xfId="7189"/>
    <cellStyle name="千位分隔 5 3 3" xfId="7190"/>
    <cellStyle name="千位分隔 5 4" xfId="7191"/>
    <cellStyle name="千位分隔 5 4 2" xfId="7192"/>
    <cellStyle name="千位分隔 5 5" xfId="7193"/>
    <cellStyle name="千位分隔 5 5 2" xfId="7194"/>
    <cellStyle name="千位分隔 5 6" xfId="7195"/>
    <cellStyle name="千位分隔 6" xfId="7196"/>
    <cellStyle name="千位分隔 6 2" xfId="7197"/>
    <cellStyle name="千位分隔 6 2 2" xfId="7198"/>
    <cellStyle name="千位分隔 6 2 2 2" xfId="7199"/>
    <cellStyle name="千位分隔 6 2 3" xfId="7200"/>
    <cellStyle name="千位分隔 6 2 4" xfId="7201"/>
    <cellStyle name="千位分隔 6 3" xfId="7202"/>
    <cellStyle name="千位分隔 6 3 2" xfId="7203"/>
    <cellStyle name="千位分隔 6 3 3" xfId="8590"/>
    <cellStyle name="千位分隔 6 4" xfId="7204"/>
    <cellStyle name="千位分隔 6 4 2" xfId="7205"/>
    <cellStyle name="千位分隔 6 5" xfId="7206"/>
    <cellStyle name="千位分隔 6 6" xfId="7207"/>
    <cellStyle name="千位分隔 7" xfId="7208"/>
    <cellStyle name="千位分隔 7 2" xfId="7209"/>
    <cellStyle name="千位分隔 7 2 2" xfId="7210"/>
    <cellStyle name="千位分隔 7 2 2 2" xfId="7211"/>
    <cellStyle name="千位分隔 7 2 3" xfId="7212"/>
    <cellStyle name="千位分隔 7 3" xfId="7213"/>
    <cellStyle name="千位分隔 7 3 2" xfId="7214"/>
    <cellStyle name="千位分隔 7 4" xfId="7215"/>
    <cellStyle name="千位分隔 7 4 2" xfId="7216"/>
    <cellStyle name="千位分隔 7 5" xfId="7217"/>
    <cellStyle name="千位分隔 8" xfId="7218"/>
    <cellStyle name="千位分隔 8 2" xfId="7219"/>
    <cellStyle name="千位分隔 8 2 2" xfId="7220"/>
    <cellStyle name="千位分隔 8 2 2 2" xfId="7221"/>
    <cellStyle name="千位分隔 8 2 3" xfId="7222"/>
    <cellStyle name="千位分隔 8 3" xfId="7223"/>
    <cellStyle name="千位分隔 8 3 2" xfId="7224"/>
    <cellStyle name="千位分隔 8 3 3" xfId="8592"/>
    <cellStyle name="千位分隔 8 4" xfId="7225"/>
    <cellStyle name="千位分隔 8 4 2" xfId="7226"/>
    <cellStyle name="千位分隔 8 5" xfId="7227"/>
    <cellStyle name="千位分隔 9" xfId="7228"/>
    <cellStyle name="千位分隔[0] 2" xfId="7229"/>
    <cellStyle name="千位分隔[0] 2 2" xfId="7230"/>
    <cellStyle name="千位分隔[0] 2 3" xfId="8909"/>
    <cellStyle name="千位分隔[0] 3" xfId="7231"/>
    <cellStyle name="千位分隔[0] 3 2" xfId="7232"/>
    <cellStyle name="千位分隔[0] 3 3" xfId="8913"/>
    <cellStyle name="千位分隔[0] 4" xfId="8919"/>
    <cellStyle name="千位分隔[0] 5" xfId="8940"/>
    <cellStyle name="千位分隔[0] 6" xfId="8912"/>
    <cellStyle name="强调文字颜色 1 2" xfId="7233"/>
    <cellStyle name="强调文字颜色 1 2 2" xfId="7234"/>
    <cellStyle name="强调文字颜色 1 2 2 2" xfId="7235"/>
    <cellStyle name="强调文字颜色 1 2 2 2 2" xfId="7236"/>
    <cellStyle name="强调文字颜色 1 2 2 2 2 2" xfId="7237"/>
    <cellStyle name="强调文字颜色 1 2 2 2 3" xfId="7238"/>
    <cellStyle name="强调文字颜色 1 2 2 3" xfId="7239"/>
    <cellStyle name="强调文字颜色 1 2 2 3 2" xfId="7240"/>
    <cellStyle name="强调文字颜色 1 2 2 4" xfId="7241"/>
    <cellStyle name="强调文字颜色 1 2 2 4 2" xfId="7242"/>
    <cellStyle name="强调文字颜色 1 2 2 5" xfId="7243"/>
    <cellStyle name="强调文字颜色 1 2 2 6" xfId="8808"/>
    <cellStyle name="强调文字颜色 1 2 3" xfId="7244"/>
    <cellStyle name="强调文字颜色 1 2 3 2" xfId="7245"/>
    <cellStyle name="强调文字颜色 1 2 3 2 2" xfId="7246"/>
    <cellStyle name="强调文字颜色 1 2 3 3" xfId="7247"/>
    <cellStyle name="强调文字颜色 1 2 4" xfId="7248"/>
    <cellStyle name="强调文字颜色 1 2 4 2" xfId="7249"/>
    <cellStyle name="强调文字颜色 1 2 5" xfId="7250"/>
    <cellStyle name="强调文字颜色 1 2 5 2" xfId="7251"/>
    <cellStyle name="强调文字颜色 1 2 6" xfId="7252"/>
    <cellStyle name="强调文字颜色 1 2 7" xfId="8612"/>
    <cellStyle name="强调文字颜色 1 2 8" xfId="8807"/>
    <cellStyle name="强调文字颜色 1 3" xfId="7253"/>
    <cellStyle name="强调文字颜色 1 3 2" xfId="7254"/>
    <cellStyle name="强调文字颜色 1 3 2 2" xfId="7255"/>
    <cellStyle name="强调文字颜色 1 3 2 2 2" xfId="7256"/>
    <cellStyle name="强调文字颜色 1 3 2 2 2 2" xfId="7257"/>
    <cellStyle name="强调文字颜色 1 3 2 2 3" xfId="7258"/>
    <cellStyle name="强调文字颜色 1 3 2 3" xfId="7259"/>
    <cellStyle name="强调文字颜色 1 3 2 3 2" xfId="7260"/>
    <cellStyle name="强调文字颜色 1 3 2 4" xfId="7261"/>
    <cellStyle name="强调文字颜色 1 3 2 4 2" xfId="7262"/>
    <cellStyle name="强调文字颜色 1 3 2 5" xfId="7263"/>
    <cellStyle name="强调文字颜色 1 3 2 6" xfId="8810"/>
    <cellStyle name="强调文字颜色 1 3 3" xfId="7264"/>
    <cellStyle name="强调文字颜色 1 3 3 2" xfId="7265"/>
    <cellStyle name="强调文字颜色 1 3 3 2 2" xfId="7266"/>
    <cellStyle name="强调文字颜色 1 3 3 3" xfId="7267"/>
    <cellStyle name="强调文字颜色 1 3 4" xfId="7268"/>
    <cellStyle name="强调文字颜色 1 3 4 2" xfId="7269"/>
    <cellStyle name="强调文字颜色 1 3 5" xfId="7270"/>
    <cellStyle name="强调文字颜色 1 3 5 2" xfId="7271"/>
    <cellStyle name="强调文字颜色 1 3 6" xfId="7272"/>
    <cellStyle name="强调文字颜色 1 3 7" xfId="8809"/>
    <cellStyle name="强调文字颜色 1 4" xfId="7273"/>
    <cellStyle name="强调文字颜色 1 4 2" xfId="7274"/>
    <cellStyle name="强调文字颜色 1 4 2 2" xfId="7275"/>
    <cellStyle name="强调文字颜色 1 4 2 2 2" xfId="7276"/>
    <cellStyle name="强调文字颜色 1 4 2 2 2 2" xfId="7277"/>
    <cellStyle name="强调文字颜色 1 4 2 2 3" xfId="7278"/>
    <cellStyle name="强调文字颜色 1 4 2 3" xfId="7279"/>
    <cellStyle name="强调文字颜色 1 4 2 3 2" xfId="7280"/>
    <cellStyle name="强调文字颜色 1 4 2 4" xfId="7281"/>
    <cellStyle name="强调文字颜色 1 4 2 4 2" xfId="7282"/>
    <cellStyle name="强调文字颜色 1 4 2 5" xfId="7283"/>
    <cellStyle name="强调文字颜色 1 4 2 6" xfId="8812"/>
    <cellStyle name="强调文字颜色 1 4 3" xfId="7284"/>
    <cellStyle name="强调文字颜色 1 4 3 2" xfId="7285"/>
    <cellStyle name="强调文字颜色 1 4 3 2 2" xfId="7286"/>
    <cellStyle name="强调文字颜色 1 4 3 3" xfId="7287"/>
    <cellStyle name="强调文字颜色 1 4 4" xfId="7288"/>
    <cellStyle name="强调文字颜色 1 4 4 2" xfId="7289"/>
    <cellStyle name="强调文字颜色 1 4 5" xfId="7290"/>
    <cellStyle name="强调文字颜色 1 4 5 2" xfId="7291"/>
    <cellStyle name="强调文字颜色 1 4 6" xfId="7292"/>
    <cellStyle name="强调文字颜色 1 4 7" xfId="8811"/>
    <cellStyle name="强调文字颜色 1 5" xfId="7293"/>
    <cellStyle name="强调文字颜色 1 5 2" xfId="7294"/>
    <cellStyle name="强调文字颜色 1 5 2 2" xfId="7295"/>
    <cellStyle name="强调文字颜色 1 5 2 2 2" xfId="7296"/>
    <cellStyle name="强调文字颜色 1 5 2 3" xfId="7297"/>
    <cellStyle name="强调文字颜色 1 5 3" xfId="7298"/>
    <cellStyle name="强调文字颜色 1 5 3 2" xfId="7299"/>
    <cellStyle name="强调文字颜色 1 5 4" xfId="7300"/>
    <cellStyle name="强调文字颜色 1 5 4 2" xfId="7301"/>
    <cellStyle name="强调文字颜色 1 5 5" xfId="7302"/>
    <cellStyle name="强调文字颜色 1 6" xfId="7303"/>
    <cellStyle name="强调文字颜色 1 6 2" xfId="7304"/>
    <cellStyle name="强调文字颜色 1 6 2 2" xfId="7305"/>
    <cellStyle name="强调文字颜色 1 6 2 2 2" xfId="7306"/>
    <cellStyle name="强调文字颜色 1 6 2 3" xfId="7307"/>
    <cellStyle name="强调文字颜色 1 6 3" xfId="7308"/>
    <cellStyle name="强调文字颜色 1 6 3 2" xfId="7309"/>
    <cellStyle name="强调文字颜色 1 6 4" xfId="7310"/>
    <cellStyle name="强调文字颜色 1 6 4 2" xfId="7311"/>
    <cellStyle name="强调文字颜色 1 6 5" xfId="7312"/>
    <cellStyle name="强调文字颜色 1 7" xfId="7313"/>
    <cellStyle name="强调文字颜色 1 7 2" xfId="7314"/>
    <cellStyle name="强调文字颜色 1 7 2 2" xfId="7315"/>
    <cellStyle name="强调文字颜色 1 7 2 2 2" xfId="7316"/>
    <cellStyle name="强调文字颜色 1 7 2 3" xfId="7317"/>
    <cellStyle name="强调文字颜色 1 7 3" xfId="7318"/>
    <cellStyle name="强调文字颜色 1 7 3 2" xfId="7319"/>
    <cellStyle name="强调文字颜色 1 7 4" xfId="7320"/>
    <cellStyle name="强调文字颜色 1 7 4 2" xfId="7321"/>
    <cellStyle name="强调文字颜色 1 7 5" xfId="7322"/>
    <cellStyle name="强调文字颜色 2 2" xfId="7323"/>
    <cellStyle name="强调文字颜色 2 2 2" xfId="7324"/>
    <cellStyle name="强调文字颜色 2 2 2 2" xfId="7325"/>
    <cellStyle name="强调文字颜色 2 2 2 2 2" xfId="7326"/>
    <cellStyle name="强调文字颜色 2 2 2 2 2 2" xfId="7327"/>
    <cellStyle name="强调文字颜色 2 2 2 2 3" xfId="7328"/>
    <cellStyle name="强调文字颜色 2 2 2 3" xfId="7329"/>
    <cellStyle name="强调文字颜色 2 2 2 3 2" xfId="7330"/>
    <cellStyle name="强调文字颜色 2 2 2 4" xfId="7331"/>
    <cellStyle name="强调文字颜色 2 2 2 4 2" xfId="7332"/>
    <cellStyle name="强调文字颜色 2 2 2 5" xfId="7333"/>
    <cellStyle name="强调文字颜色 2 2 2 6" xfId="8814"/>
    <cellStyle name="强调文字颜色 2 2 3" xfId="7334"/>
    <cellStyle name="强调文字颜色 2 2 3 2" xfId="7335"/>
    <cellStyle name="强调文字颜色 2 2 3 2 2" xfId="7336"/>
    <cellStyle name="强调文字颜色 2 2 3 3" xfId="7337"/>
    <cellStyle name="强调文字颜色 2 2 4" xfId="7338"/>
    <cellStyle name="强调文字颜色 2 2 4 2" xfId="7339"/>
    <cellStyle name="强调文字颜色 2 2 5" xfId="7340"/>
    <cellStyle name="强调文字颜色 2 2 5 2" xfId="7341"/>
    <cellStyle name="强调文字颜色 2 2 6" xfId="7342"/>
    <cellStyle name="强调文字颜色 2 2 7" xfId="8613"/>
    <cellStyle name="强调文字颜色 2 2 8" xfId="8813"/>
    <cellStyle name="强调文字颜色 2 3" xfId="7343"/>
    <cellStyle name="强调文字颜色 2 3 2" xfId="7344"/>
    <cellStyle name="强调文字颜色 2 3 2 2" xfId="7345"/>
    <cellStyle name="强调文字颜色 2 3 2 2 2" xfId="7346"/>
    <cellStyle name="强调文字颜色 2 3 2 2 2 2" xfId="7347"/>
    <cellStyle name="强调文字颜色 2 3 2 2 3" xfId="7348"/>
    <cellStyle name="强调文字颜色 2 3 2 3" xfId="7349"/>
    <cellStyle name="强调文字颜色 2 3 2 3 2" xfId="7350"/>
    <cellStyle name="强调文字颜色 2 3 2 4" xfId="7351"/>
    <cellStyle name="强调文字颜色 2 3 2 4 2" xfId="7352"/>
    <cellStyle name="强调文字颜色 2 3 2 5" xfId="7353"/>
    <cellStyle name="强调文字颜色 2 3 2 6" xfId="8816"/>
    <cellStyle name="强调文字颜色 2 3 3" xfId="7354"/>
    <cellStyle name="强调文字颜色 2 3 3 2" xfId="7355"/>
    <cellStyle name="强调文字颜色 2 3 3 2 2" xfId="7356"/>
    <cellStyle name="强调文字颜色 2 3 3 3" xfId="7357"/>
    <cellStyle name="强调文字颜色 2 3 4" xfId="7358"/>
    <cellStyle name="强调文字颜色 2 3 4 2" xfId="7359"/>
    <cellStyle name="强调文字颜色 2 3 5" xfId="7360"/>
    <cellStyle name="强调文字颜色 2 3 5 2" xfId="7361"/>
    <cellStyle name="强调文字颜色 2 3 6" xfId="7362"/>
    <cellStyle name="强调文字颜色 2 3 7" xfId="8815"/>
    <cellStyle name="强调文字颜色 2 4" xfId="7363"/>
    <cellStyle name="强调文字颜色 2 4 2" xfId="7364"/>
    <cellStyle name="强调文字颜色 2 4 2 2" xfId="7365"/>
    <cellStyle name="强调文字颜色 2 4 2 2 2" xfId="7366"/>
    <cellStyle name="强调文字颜色 2 4 2 2 2 2" xfId="7367"/>
    <cellStyle name="强调文字颜色 2 4 2 2 3" xfId="7368"/>
    <cellStyle name="强调文字颜色 2 4 2 3" xfId="7369"/>
    <cellStyle name="强调文字颜色 2 4 2 3 2" xfId="7370"/>
    <cellStyle name="强调文字颜色 2 4 2 4" xfId="7371"/>
    <cellStyle name="强调文字颜色 2 4 2 4 2" xfId="7372"/>
    <cellStyle name="强调文字颜色 2 4 2 5" xfId="7373"/>
    <cellStyle name="强调文字颜色 2 4 2 6" xfId="8818"/>
    <cellStyle name="强调文字颜色 2 4 3" xfId="7374"/>
    <cellStyle name="强调文字颜色 2 4 3 2" xfId="7375"/>
    <cellStyle name="强调文字颜色 2 4 3 2 2" xfId="7376"/>
    <cellStyle name="强调文字颜色 2 4 3 3" xfId="7377"/>
    <cellStyle name="强调文字颜色 2 4 4" xfId="7378"/>
    <cellStyle name="强调文字颜色 2 4 4 2" xfId="7379"/>
    <cellStyle name="强调文字颜色 2 4 5" xfId="7380"/>
    <cellStyle name="强调文字颜色 2 4 5 2" xfId="7381"/>
    <cellStyle name="强调文字颜色 2 4 6" xfId="7382"/>
    <cellStyle name="强调文字颜色 2 4 7" xfId="8817"/>
    <cellStyle name="强调文字颜色 2 5" xfId="7383"/>
    <cellStyle name="强调文字颜色 2 5 2" xfId="7384"/>
    <cellStyle name="强调文字颜色 2 5 2 2" xfId="7385"/>
    <cellStyle name="强调文字颜色 2 5 2 2 2" xfId="7386"/>
    <cellStyle name="强调文字颜色 2 5 2 3" xfId="7387"/>
    <cellStyle name="强调文字颜色 2 5 3" xfId="7388"/>
    <cellStyle name="强调文字颜色 2 5 3 2" xfId="7389"/>
    <cellStyle name="强调文字颜色 2 5 4" xfId="7390"/>
    <cellStyle name="强调文字颜色 2 5 4 2" xfId="7391"/>
    <cellStyle name="强调文字颜色 2 5 5" xfId="7392"/>
    <cellStyle name="强调文字颜色 2 6" xfId="7393"/>
    <cellStyle name="强调文字颜色 2 6 2" xfId="7394"/>
    <cellStyle name="强调文字颜色 2 6 2 2" xfId="7395"/>
    <cellStyle name="强调文字颜色 2 6 2 2 2" xfId="7396"/>
    <cellStyle name="强调文字颜色 2 6 2 3" xfId="7397"/>
    <cellStyle name="强调文字颜色 2 6 3" xfId="7398"/>
    <cellStyle name="强调文字颜色 2 6 3 2" xfId="7399"/>
    <cellStyle name="强调文字颜色 2 6 4" xfId="7400"/>
    <cellStyle name="强调文字颜色 2 6 4 2" xfId="7401"/>
    <cellStyle name="强调文字颜色 2 6 5" xfId="7402"/>
    <cellStyle name="强调文字颜色 2 7" xfId="7403"/>
    <cellStyle name="强调文字颜色 2 7 2" xfId="7404"/>
    <cellStyle name="强调文字颜色 2 7 2 2" xfId="7405"/>
    <cellStyle name="强调文字颜色 2 7 2 2 2" xfId="7406"/>
    <cellStyle name="强调文字颜色 2 7 2 3" xfId="7407"/>
    <cellStyle name="强调文字颜色 2 7 3" xfId="7408"/>
    <cellStyle name="强调文字颜色 2 7 3 2" xfId="7409"/>
    <cellStyle name="强调文字颜色 2 7 4" xfId="7410"/>
    <cellStyle name="强调文字颜色 2 7 4 2" xfId="7411"/>
    <cellStyle name="强调文字颜色 2 7 5" xfId="7412"/>
    <cellStyle name="强调文字颜色 3 2" xfId="7413"/>
    <cellStyle name="强调文字颜色 3 2 2" xfId="7414"/>
    <cellStyle name="强调文字颜色 3 2 2 2" xfId="7415"/>
    <cellStyle name="强调文字颜色 3 2 2 2 2" xfId="7416"/>
    <cellStyle name="强调文字颜色 3 2 2 2 2 2" xfId="7417"/>
    <cellStyle name="强调文字颜色 3 2 2 2 3" xfId="7418"/>
    <cellStyle name="强调文字颜色 3 2 2 3" xfId="7419"/>
    <cellStyle name="强调文字颜色 3 2 2 3 2" xfId="7420"/>
    <cellStyle name="强调文字颜色 3 2 2 4" xfId="7421"/>
    <cellStyle name="强调文字颜色 3 2 2 4 2" xfId="7422"/>
    <cellStyle name="强调文字颜色 3 2 2 5" xfId="7423"/>
    <cellStyle name="强调文字颜色 3 2 2 6" xfId="8820"/>
    <cellStyle name="强调文字颜色 3 2 3" xfId="7424"/>
    <cellStyle name="强调文字颜色 3 2 3 2" xfId="7425"/>
    <cellStyle name="强调文字颜色 3 2 3 2 2" xfId="7426"/>
    <cellStyle name="强调文字颜色 3 2 3 3" xfId="7427"/>
    <cellStyle name="强调文字颜色 3 2 4" xfId="7428"/>
    <cellStyle name="强调文字颜色 3 2 4 2" xfId="7429"/>
    <cellStyle name="强调文字颜色 3 2 5" xfId="7430"/>
    <cellStyle name="强调文字颜色 3 2 5 2" xfId="7431"/>
    <cellStyle name="强调文字颜色 3 2 6" xfId="7432"/>
    <cellStyle name="强调文字颜色 3 2 7" xfId="8614"/>
    <cellStyle name="强调文字颜色 3 2 8" xfId="8819"/>
    <cellStyle name="强调文字颜色 3 3" xfId="7433"/>
    <cellStyle name="强调文字颜色 3 3 2" xfId="7434"/>
    <cellStyle name="强调文字颜色 3 3 2 2" xfId="7435"/>
    <cellStyle name="强调文字颜色 3 3 2 2 2" xfId="7436"/>
    <cellStyle name="强调文字颜色 3 3 2 2 2 2" xfId="7437"/>
    <cellStyle name="强调文字颜色 3 3 2 2 3" xfId="7438"/>
    <cellStyle name="强调文字颜色 3 3 2 3" xfId="7439"/>
    <cellStyle name="强调文字颜色 3 3 2 3 2" xfId="7440"/>
    <cellStyle name="强调文字颜色 3 3 2 4" xfId="7441"/>
    <cellStyle name="强调文字颜色 3 3 2 4 2" xfId="7442"/>
    <cellStyle name="强调文字颜色 3 3 2 5" xfId="7443"/>
    <cellStyle name="强调文字颜色 3 3 2 6" xfId="8822"/>
    <cellStyle name="强调文字颜色 3 3 3" xfId="7444"/>
    <cellStyle name="强调文字颜色 3 3 3 2" xfId="7445"/>
    <cellStyle name="强调文字颜色 3 3 3 2 2" xfId="7446"/>
    <cellStyle name="强调文字颜色 3 3 3 3" xfId="7447"/>
    <cellStyle name="强调文字颜色 3 3 4" xfId="7448"/>
    <cellStyle name="强调文字颜色 3 3 4 2" xfId="7449"/>
    <cellStyle name="强调文字颜色 3 3 5" xfId="7450"/>
    <cellStyle name="强调文字颜色 3 3 5 2" xfId="7451"/>
    <cellStyle name="强调文字颜色 3 3 6" xfId="7452"/>
    <cellStyle name="强调文字颜色 3 3 7" xfId="8821"/>
    <cellStyle name="强调文字颜色 3 4" xfId="7453"/>
    <cellStyle name="强调文字颜色 3 4 2" xfId="7454"/>
    <cellStyle name="强调文字颜色 3 4 2 2" xfId="7455"/>
    <cellStyle name="强调文字颜色 3 4 2 2 2" xfId="7456"/>
    <cellStyle name="强调文字颜色 3 4 2 2 2 2" xfId="7457"/>
    <cellStyle name="强调文字颜色 3 4 2 2 3" xfId="7458"/>
    <cellStyle name="强调文字颜色 3 4 2 3" xfId="7459"/>
    <cellStyle name="强调文字颜色 3 4 2 3 2" xfId="7460"/>
    <cellStyle name="强调文字颜色 3 4 2 4" xfId="7461"/>
    <cellStyle name="强调文字颜色 3 4 2 4 2" xfId="7462"/>
    <cellStyle name="强调文字颜色 3 4 2 5" xfId="7463"/>
    <cellStyle name="强调文字颜色 3 4 2 6" xfId="8824"/>
    <cellStyle name="强调文字颜色 3 4 3" xfId="7464"/>
    <cellStyle name="强调文字颜色 3 4 3 2" xfId="7465"/>
    <cellStyle name="强调文字颜色 3 4 3 2 2" xfId="7466"/>
    <cellStyle name="强调文字颜色 3 4 3 3" xfId="7467"/>
    <cellStyle name="强调文字颜色 3 4 4" xfId="7468"/>
    <cellStyle name="强调文字颜色 3 4 4 2" xfId="7469"/>
    <cellStyle name="强调文字颜色 3 4 5" xfId="7470"/>
    <cellStyle name="强调文字颜色 3 4 5 2" xfId="7471"/>
    <cellStyle name="强调文字颜色 3 4 6" xfId="7472"/>
    <cellStyle name="强调文字颜色 3 4 7" xfId="8823"/>
    <cellStyle name="强调文字颜色 3 5" xfId="7473"/>
    <cellStyle name="强调文字颜色 3 5 2" xfId="7474"/>
    <cellStyle name="强调文字颜色 3 5 2 2" xfId="7475"/>
    <cellStyle name="强调文字颜色 3 5 2 2 2" xfId="7476"/>
    <cellStyle name="强调文字颜色 3 5 2 3" xfId="7477"/>
    <cellStyle name="强调文字颜色 3 5 3" xfId="7478"/>
    <cellStyle name="强调文字颜色 3 5 3 2" xfId="7479"/>
    <cellStyle name="强调文字颜色 3 5 4" xfId="7480"/>
    <cellStyle name="强调文字颜色 3 5 4 2" xfId="7481"/>
    <cellStyle name="强调文字颜色 3 5 5" xfId="7482"/>
    <cellStyle name="强调文字颜色 3 6" xfId="7483"/>
    <cellStyle name="强调文字颜色 3 6 2" xfId="7484"/>
    <cellStyle name="强调文字颜色 3 6 2 2" xfId="7485"/>
    <cellStyle name="强调文字颜色 3 6 2 2 2" xfId="7486"/>
    <cellStyle name="强调文字颜色 3 6 2 3" xfId="7487"/>
    <cellStyle name="强调文字颜色 3 6 3" xfId="7488"/>
    <cellStyle name="强调文字颜色 3 6 3 2" xfId="7489"/>
    <cellStyle name="强调文字颜色 3 6 4" xfId="7490"/>
    <cellStyle name="强调文字颜色 3 6 4 2" xfId="7491"/>
    <cellStyle name="强调文字颜色 3 6 5" xfId="7492"/>
    <cellStyle name="强调文字颜色 3 7" xfId="7493"/>
    <cellStyle name="强调文字颜色 3 7 2" xfId="7494"/>
    <cellStyle name="强调文字颜色 3 7 2 2" xfId="7495"/>
    <cellStyle name="强调文字颜色 3 7 2 2 2" xfId="7496"/>
    <cellStyle name="强调文字颜色 3 7 2 3" xfId="7497"/>
    <cellStyle name="强调文字颜色 3 7 3" xfId="7498"/>
    <cellStyle name="强调文字颜色 3 7 3 2" xfId="7499"/>
    <cellStyle name="强调文字颜色 3 7 4" xfId="7500"/>
    <cellStyle name="强调文字颜色 3 7 4 2" xfId="7501"/>
    <cellStyle name="强调文字颜色 3 7 5" xfId="7502"/>
    <cellStyle name="强调文字颜色 4 2" xfId="7503"/>
    <cellStyle name="强调文字颜色 4 2 2" xfId="7504"/>
    <cellStyle name="强调文字颜色 4 2 2 2" xfId="7505"/>
    <cellStyle name="强调文字颜色 4 2 2 2 2" xfId="7506"/>
    <cellStyle name="强调文字颜色 4 2 2 2 2 2" xfId="7507"/>
    <cellStyle name="强调文字颜色 4 2 2 2 3" xfId="7508"/>
    <cellStyle name="强调文字颜色 4 2 2 3" xfId="7509"/>
    <cellStyle name="强调文字颜色 4 2 2 3 2" xfId="7510"/>
    <cellStyle name="强调文字颜色 4 2 2 4" xfId="7511"/>
    <cellStyle name="强调文字颜色 4 2 2 4 2" xfId="7512"/>
    <cellStyle name="强调文字颜色 4 2 2 5" xfId="7513"/>
    <cellStyle name="强调文字颜色 4 2 2 6" xfId="8826"/>
    <cellStyle name="强调文字颜色 4 2 3" xfId="7514"/>
    <cellStyle name="强调文字颜色 4 2 3 2" xfId="7515"/>
    <cellStyle name="强调文字颜色 4 2 3 2 2" xfId="7516"/>
    <cellStyle name="强调文字颜色 4 2 3 3" xfId="7517"/>
    <cellStyle name="强调文字颜色 4 2 4" xfId="7518"/>
    <cellStyle name="强调文字颜色 4 2 4 2" xfId="7519"/>
    <cellStyle name="强调文字颜色 4 2 5" xfId="7520"/>
    <cellStyle name="强调文字颜色 4 2 5 2" xfId="7521"/>
    <cellStyle name="强调文字颜色 4 2 6" xfId="7522"/>
    <cellStyle name="强调文字颜色 4 2 7" xfId="8615"/>
    <cellStyle name="强调文字颜色 4 2 8" xfId="8825"/>
    <cellStyle name="强调文字颜色 4 3" xfId="7523"/>
    <cellStyle name="强调文字颜色 4 3 2" xfId="7524"/>
    <cellStyle name="强调文字颜色 4 3 2 2" xfId="7525"/>
    <cellStyle name="强调文字颜色 4 3 2 2 2" xfId="7526"/>
    <cellStyle name="强调文字颜色 4 3 2 2 2 2" xfId="7527"/>
    <cellStyle name="强调文字颜色 4 3 2 2 3" xfId="7528"/>
    <cellStyle name="强调文字颜色 4 3 2 3" xfId="7529"/>
    <cellStyle name="强调文字颜色 4 3 2 3 2" xfId="7530"/>
    <cellStyle name="强调文字颜色 4 3 2 4" xfId="7531"/>
    <cellStyle name="强调文字颜色 4 3 2 4 2" xfId="7532"/>
    <cellStyle name="强调文字颜色 4 3 2 5" xfId="7533"/>
    <cellStyle name="强调文字颜色 4 3 2 6" xfId="8828"/>
    <cellStyle name="强调文字颜色 4 3 3" xfId="7534"/>
    <cellStyle name="强调文字颜色 4 3 3 2" xfId="7535"/>
    <cellStyle name="强调文字颜色 4 3 3 2 2" xfId="7536"/>
    <cellStyle name="强调文字颜色 4 3 3 3" xfId="7537"/>
    <cellStyle name="强调文字颜色 4 3 4" xfId="7538"/>
    <cellStyle name="强调文字颜色 4 3 4 2" xfId="7539"/>
    <cellStyle name="强调文字颜色 4 3 5" xfId="7540"/>
    <cellStyle name="强调文字颜色 4 3 5 2" xfId="7541"/>
    <cellStyle name="强调文字颜色 4 3 6" xfId="7542"/>
    <cellStyle name="强调文字颜色 4 3 7" xfId="8827"/>
    <cellStyle name="强调文字颜色 4 4" xfId="7543"/>
    <cellStyle name="强调文字颜色 4 4 2" xfId="7544"/>
    <cellStyle name="强调文字颜色 4 4 2 2" xfId="7545"/>
    <cellStyle name="强调文字颜色 4 4 2 2 2" xfId="7546"/>
    <cellStyle name="强调文字颜色 4 4 2 2 2 2" xfId="7547"/>
    <cellStyle name="强调文字颜色 4 4 2 2 3" xfId="7548"/>
    <cellStyle name="强调文字颜色 4 4 2 3" xfId="7549"/>
    <cellStyle name="强调文字颜色 4 4 2 3 2" xfId="7550"/>
    <cellStyle name="强调文字颜色 4 4 2 4" xfId="7551"/>
    <cellStyle name="强调文字颜色 4 4 2 4 2" xfId="7552"/>
    <cellStyle name="强调文字颜色 4 4 2 5" xfId="7553"/>
    <cellStyle name="强调文字颜色 4 4 2 6" xfId="8830"/>
    <cellStyle name="强调文字颜色 4 4 3" xfId="7554"/>
    <cellStyle name="强调文字颜色 4 4 3 2" xfId="7555"/>
    <cellStyle name="强调文字颜色 4 4 3 2 2" xfId="7556"/>
    <cellStyle name="强调文字颜色 4 4 3 3" xfId="7557"/>
    <cellStyle name="强调文字颜色 4 4 4" xfId="7558"/>
    <cellStyle name="强调文字颜色 4 4 4 2" xfId="7559"/>
    <cellStyle name="强调文字颜色 4 4 5" xfId="7560"/>
    <cellStyle name="强调文字颜色 4 4 5 2" xfId="7561"/>
    <cellStyle name="强调文字颜色 4 4 6" xfId="7562"/>
    <cellStyle name="强调文字颜色 4 4 7" xfId="8829"/>
    <cellStyle name="强调文字颜色 4 5" xfId="7563"/>
    <cellStyle name="强调文字颜色 4 5 2" xfId="7564"/>
    <cellStyle name="强调文字颜色 4 5 2 2" xfId="7565"/>
    <cellStyle name="强调文字颜色 4 5 2 2 2" xfId="7566"/>
    <cellStyle name="强调文字颜色 4 5 2 3" xfId="7567"/>
    <cellStyle name="强调文字颜色 4 5 3" xfId="7568"/>
    <cellStyle name="强调文字颜色 4 5 3 2" xfId="7569"/>
    <cellStyle name="强调文字颜色 4 5 4" xfId="7570"/>
    <cellStyle name="强调文字颜色 4 5 4 2" xfId="7571"/>
    <cellStyle name="强调文字颜色 4 5 5" xfId="7572"/>
    <cellStyle name="强调文字颜色 4 6" xfId="7573"/>
    <cellStyle name="强调文字颜色 4 6 2" xfId="7574"/>
    <cellStyle name="强调文字颜色 4 6 2 2" xfId="7575"/>
    <cellStyle name="强调文字颜色 4 6 2 2 2" xfId="7576"/>
    <cellStyle name="强调文字颜色 4 6 2 3" xfId="7577"/>
    <cellStyle name="强调文字颜色 4 6 3" xfId="7578"/>
    <cellStyle name="强调文字颜色 4 6 3 2" xfId="7579"/>
    <cellStyle name="强调文字颜色 4 6 4" xfId="7580"/>
    <cellStyle name="强调文字颜色 4 6 4 2" xfId="7581"/>
    <cellStyle name="强调文字颜色 4 6 5" xfId="7582"/>
    <cellStyle name="强调文字颜色 4 7" xfId="7583"/>
    <cellStyle name="强调文字颜色 4 7 2" xfId="7584"/>
    <cellStyle name="强调文字颜色 4 7 2 2" xfId="7585"/>
    <cellStyle name="强调文字颜色 4 7 2 2 2" xfId="7586"/>
    <cellStyle name="强调文字颜色 4 7 2 3" xfId="7587"/>
    <cellStyle name="强调文字颜色 4 7 3" xfId="7588"/>
    <cellStyle name="强调文字颜色 4 7 3 2" xfId="7589"/>
    <cellStyle name="强调文字颜色 4 7 4" xfId="7590"/>
    <cellStyle name="强调文字颜色 4 7 4 2" xfId="7591"/>
    <cellStyle name="强调文字颜色 4 7 5" xfId="7592"/>
    <cellStyle name="强调文字颜色 5 2" xfId="7593"/>
    <cellStyle name="强调文字颜色 5 2 2" xfId="7594"/>
    <cellStyle name="强调文字颜色 5 2 2 2" xfId="7595"/>
    <cellStyle name="强调文字颜色 5 2 2 2 2" xfId="7596"/>
    <cellStyle name="强调文字颜色 5 2 2 2 2 2" xfId="7597"/>
    <cellStyle name="强调文字颜色 5 2 2 2 3" xfId="7598"/>
    <cellStyle name="强调文字颜色 5 2 2 3" xfId="7599"/>
    <cellStyle name="强调文字颜色 5 2 2 3 2" xfId="7600"/>
    <cellStyle name="强调文字颜色 5 2 2 4" xfId="7601"/>
    <cellStyle name="强调文字颜色 5 2 2 4 2" xfId="7602"/>
    <cellStyle name="强调文字颜色 5 2 2 5" xfId="7603"/>
    <cellStyle name="强调文字颜色 5 2 2 6" xfId="8832"/>
    <cellStyle name="强调文字颜色 5 2 3" xfId="7604"/>
    <cellStyle name="强调文字颜色 5 2 3 2" xfId="7605"/>
    <cellStyle name="强调文字颜色 5 2 3 2 2" xfId="7606"/>
    <cellStyle name="强调文字颜色 5 2 3 3" xfId="7607"/>
    <cellStyle name="强调文字颜色 5 2 4" xfId="7608"/>
    <cellStyle name="强调文字颜色 5 2 4 2" xfId="7609"/>
    <cellStyle name="强调文字颜色 5 2 5" xfId="7610"/>
    <cellStyle name="强调文字颜色 5 2 5 2" xfId="7611"/>
    <cellStyle name="强调文字颜色 5 2 6" xfId="7612"/>
    <cellStyle name="强调文字颜色 5 2 7" xfId="8616"/>
    <cellStyle name="强调文字颜色 5 2 8" xfId="8831"/>
    <cellStyle name="强调文字颜色 5 3" xfId="7613"/>
    <cellStyle name="强调文字颜色 5 3 2" xfId="7614"/>
    <cellStyle name="强调文字颜色 5 3 2 2" xfId="7615"/>
    <cellStyle name="强调文字颜色 5 3 2 2 2" xfId="7616"/>
    <cellStyle name="强调文字颜色 5 3 2 2 2 2" xfId="7617"/>
    <cellStyle name="强调文字颜色 5 3 2 2 3" xfId="7618"/>
    <cellStyle name="强调文字颜色 5 3 2 3" xfId="7619"/>
    <cellStyle name="强调文字颜色 5 3 2 3 2" xfId="7620"/>
    <cellStyle name="强调文字颜色 5 3 2 4" xfId="7621"/>
    <cellStyle name="强调文字颜色 5 3 2 4 2" xfId="7622"/>
    <cellStyle name="强调文字颜色 5 3 2 5" xfId="7623"/>
    <cellStyle name="强调文字颜色 5 3 2 6" xfId="8834"/>
    <cellStyle name="强调文字颜色 5 3 3" xfId="7624"/>
    <cellStyle name="强调文字颜色 5 3 3 2" xfId="7625"/>
    <cellStyle name="强调文字颜色 5 3 3 2 2" xfId="7626"/>
    <cellStyle name="强调文字颜色 5 3 3 3" xfId="7627"/>
    <cellStyle name="强调文字颜色 5 3 4" xfId="7628"/>
    <cellStyle name="强调文字颜色 5 3 4 2" xfId="7629"/>
    <cellStyle name="强调文字颜色 5 3 5" xfId="7630"/>
    <cellStyle name="强调文字颜色 5 3 5 2" xfId="7631"/>
    <cellStyle name="强调文字颜色 5 3 6" xfId="7632"/>
    <cellStyle name="强调文字颜色 5 3 7" xfId="8833"/>
    <cellStyle name="强调文字颜色 5 4" xfId="7633"/>
    <cellStyle name="强调文字颜色 5 4 2" xfId="7634"/>
    <cellStyle name="强调文字颜色 5 4 2 2" xfId="7635"/>
    <cellStyle name="强调文字颜色 5 4 2 2 2" xfId="7636"/>
    <cellStyle name="强调文字颜色 5 4 2 2 2 2" xfId="7637"/>
    <cellStyle name="强调文字颜色 5 4 2 2 3" xfId="7638"/>
    <cellStyle name="强调文字颜色 5 4 2 3" xfId="7639"/>
    <cellStyle name="强调文字颜色 5 4 2 3 2" xfId="7640"/>
    <cellStyle name="强调文字颜色 5 4 2 4" xfId="7641"/>
    <cellStyle name="强调文字颜色 5 4 2 4 2" xfId="7642"/>
    <cellStyle name="强调文字颜色 5 4 2 5" xfId="7643"/>
    <cellStyle name="强调文字颜色 5 4 2 6" xfId="8836"/>
    <cellStyle name="强调文字颜色 5 4 3" xfId="7644"/>
    <cellStyle name="强调文字颜色 5 4 3 2" xfId="7645"/>
    <cellStyle name="强调文字颜色 5 4 3 2 2" xfId="7646"/>
    <cellStyle name="强调文字颜色 5 4 3 3" xfId="7647"/>
    <cellStyle name="强调文字颜色 5 4 4" xfId="7648"/>
    <cellStyle name="强调文字颜色 5 4 4 2" xfId="7649"/>
    <cellStyle name="强调文字颜色 5 4 5" xfId="7650"/>
    <cellStyle name="强调文字颜色 5 4 5 2" xfId="7651"/>
    <cellStyle name="强调文字颜色 5 4 6" xfId="7652"/>
    <cellStyle name="强调文字颜色 5 4 7" xfId="8835"/>
    <cellStyle name="强调文字颜色 5 5" xfId="7653"/>
    <cellStyle name="强调文字颜色 5 5 2" xfId="7654"/>
    <cellStyle name="强调文字颜色 5 5 2 2" xfId="7655"/>
    <cellStyle name="强调文字颜色 5 5 2 2 2" xfId="7656"/>
    <cellStyle name="强调文字颜色 5 5 2 3" xfId="7657"/>
    <cellStyle name="强调文字颜色 5 5 3" xfId="7658"/>
    <cellStyle name="强调文字颜色 5 5 3 2" xfId="7659"/>
    <cellStyle name="强调文字颜色 5 5 4" xfId="7660"/>
    <cellStyle name="强调文字颜色 5 5 4 2" xfId="7661"/>
    <cellStyle name="强调文字颜色 5 5 5" xfId="7662"/>
    <cellStyle name="强调文字颜色 5 6" xfId="7663"/>
    <cellStyle name="强调文字颜色 5 6 2" xfId="7664"/>
    <cellStyle name="强调文字颜色 5 6 2 2" xfId="7665"/>
    <cellStyle name="强调文字颜色 5 6 2 2 2" xfId="7666"/>
    <cellStyle name="强调文字颜色 5 6 2 3" xfId="7667"/>
    <cellStyle name="强调文字颜色 5 6 3" xfId="7668"/>
    <cellStyle name="强调文字颜色 5 6 3 2" xfId="7669"/>
    <cellStyle name="强调文字颜色 5 6 4" xfId="7670"/>
    <cellStyle name="强调文字颜色 5 6 4 2" xfId="7671"/>
    <cellStyle name="强调文字颜色 5 6 5" xfId="7672"/>
    <cellStyle name="强调文字颜色 5 7" xfId="7673"/>
    <cellStyle name="强调文字颜色 5 7 2" xfId="7674"/>
    <cellStyle name="强调文字颜色 5 7 2 2" xfId="7675"/>
    <cellStyle name="强调文字颜色 5 7 2 2 2" xfId="7676"/>
    <cellStyle name="强调文字颜色 5 7 2 3" xfId="7677"/>
    <cellStyle name="强调文字颜色 5 7 3" xfId="7678"/>
    <cellStyle name="强调文字颜色 5 7 3 2" xfId="7679"/>
    <cellStyle name="强调文字颜色 5 7 4" xfId="7680"/>
    <cellStyle name="强调文字颜色 5 7 4 2" xfId="7681"/>
    <cellStyle name="强调文字颜色 5 7 5" xfId="7682"/>
    <cellStyle name="强调文字颜色 6 2" xfId="7683"/>
    <cellStyle name="强调文字颜色 6 2 2" xfId="7684"/>
    <cellStyle name="强调文字颜色 6 2 2 2" xfId="7685"/>
    <cellStyle name="强调文字颜色 6 2 2 2 2" xfId="7686"/>
    <cellStyle name="强调文字颜色 6 2 2 2 2 2" xfId="7687"/>
    <cellStyle name="强调文字颜色 6 2 2 2 3" xfId="7688"/>
    <cellStyle name="强调文字颜色 6 2 2 3" xfId="7689"/>
    <cellStyle name="强调文字颜色 6 2 2 3 2" xfId="7690"/>
    <cellStyle name="强调文字颜色 6 2 2 4" xfId="7691"/>
    <cellStyle name="强调文字颜色 6 2 2 4 2" xfId="7692"/>
    <cellStyle name="强调文字颜色 6 2 2 5" xfId="7693"/>
    <cellStyle name="强调文字颜色 6 2 2 6" xfId="8838"/>
    <cellStyle name="强调文字颜色 6 2 3" xfId="7694"/>
    <cellStyle name="强调文字颜色 6 2 3 2" xfId="7695"/>
    <cellStyle name="强调文字颜色 6 2 3 2 2" xfId="7696"/>
    <cellStyle name="强调文字颜色 6 2 3 3" xfId="7697"/>
    <cellStyle name="强调文字颜色 6 2 4" xfId="7698"/>
    <cellStyle name="强调文字颜色 6 2 4 2" xfId="7699"/>
    <cellStyle name="强调文字颜色 6 2 5" xfId="7700"/>
    <cellStyle name="强调文字颜色 6 2 5 2" xfId="7701"/>
    <cellStyle name="强调文字颜色 6 2 6" xfId="7702"/>
    <cellStyle name="强调文字颜色 6 2 7" xfId="8617"/>
    <cellStyle name="强调文字颜色 6 2 8" xfId="8837"/>
    <cellStyle name="强调文字颜色 6 3" xfId="7703"/>
    <cellStyle name="强调文字颜色 6 3 2" xfId="7704"/>
    <cellStyle name="强调文字颜色 6 3 2 2" xfId="7705"/>
    <cellStyle name="强调文字颜色 6 3 2 2 2" xfId="7706"/>
    <cellStyle name="强调文字颜色 6 3 2 2 2 2" xfId="7707"/>
    <cellStyle name="强调文字颜色 6 3 2 2 3" xfId="7708"/>
    <cellStyle name="强调文字颜色 6 3 2 3" xfId="7709"/>
    <cellStyle name="强调文字颜色 6 3 2 3 2" xfId="7710"/>
    <cellStyle name="强调文字颜色 6 3 2 4" xfId="7711"/>
    <cellStyle name="强调文字颜色 6 3 2 4 2" xfId="7712"/>
    <cellStyle name="强调文字颜色 6 3 2 5" xfId="7713"/>
    <cellStyle name="强调文字颜色 6 3 2 6" xfId="8840"/>
    <cellStyle name="强调文字颜色 6 3 3" xfId="7714"/>
    <cellStyle name="强调文字颜色 6 3 3 2" xfId="7715"/>
    <cellStyle name="强调文字颜色 6 3 3 2 2" xfId="7716"/>
    <cellStyle name="强调文字颜色 6 3 3 3" xfId="7717"/>
    <cellStyle name="强调文字颜色 6 3 4" xfId="7718"/>
    <cellStyle name="强调文字颜色 6 3 4 2" xfId="7719"/>
    <cellStyle name="强调文字颜色 6 3 5" xfId="7720"/>
    <cellStyle name="强调文字颜色 6 3 5 2" xfId="7721"/>
    <cellStyle name="强调文字颜色 6 3 6" xfId="7722"/>
    <cellStyle name="强调文字颜色 6 3 7" xfId="8839"/>
    <cellStyle name="强调文字颜色 6 4" xfId="7723"/>
    <cellStyle name="强调文字颜色 6 4 2" xfId="7724"/>
    <cellStyle name="强调文字颜色 6 4 2 2" xfId="7725"/>
    <cellStyle name="强调文字颜色 6 4 2 2 2" xfId="7726"/>
    <cellStyle name="强调文字颜色 6 4 2 2 2 2" xfId="7727"/>
    <cellStyle name="强调文字颜色 6 4 2 2 3" xfId="7728"/>
    <cellStyle name="强调文字颜色 6 4 2 3" xfId="7729"/>
    <cellStyle name="强调文字颜色 6 4 2 3 2" xfId="7730"/>
    <cellStyle name="强调文字颜色 6 4 2 4" xfId="7731"/>
    <cellStyle name="强调文字颜色 6 4 2 4 2" xfId="7732"/>
    <cellStyle name="强调文字颜色 6 4 2 5" xfId="7733"/>
    <cellStyle name="强调文字颜色 6 4 2 6" xfId="8842"/>
    <cellStyle name="强调文字颜色 6 4 3" xfId="7734"/>
    <cellStyle name="强调文字颜色 6 4 3 2" xfId="7735"/>
    <cellStyle name="强调文字颜色 6 4 3 2 2" xfId="7736"/>
    <cellStyle name="强调文字颜色 6 4 3 3" xfId="7737"/>
    <cellStyle name="强调文字颜色 6 4 4" xfId="7738"/>
    <cellStyle name="强调文字颜色 6 4 4 2" xfId="7739"/>
    <cellStyle name="强调文字颜色 6 4 5" xfId="7740"/>
    <cellStyle name="强调文字颜色 6 4 5 2" xfId="7741"/>
    <cellStyle name="强调文字颜色 6 4 6" xfId="7742"/>
    <cellStyle name="强调文字颜色 6 4 7" xfId="8841"/>
    <cellStyle name="强调文字颜色 6 5" xfId="7743"/>
    <cellStyle name="强调文字颜色 6 5 2" xfId="7744"/>
    <cellStyle name="强调文字颜色 6 5 2 2" xfId="7745"/>
    <cellStyle name="强调文字颜色 6 5 2 2 2" xfId="7746"/>
    <cellStyle name="强调文字颜色 6 5 2 3" xfId="7747"/>
    <cellStyle name="强调文字颜色 6 5 3" xfId="7748"/>
    <cellStyle name="强调文字颜色 6 5 3 2" xfId="7749"/>
    <cellStyle name="强调文字颜色 6 5 4" xfId="7750"/>
    <cellStyle name="强调文字颜色 6 5 4 2" xfId="7751"/>
    <cellStyle name="强调文字颜色 6 5 5" xfId="7752"/>
    <cellStyle name="强调文字颜色 6 6" xfId="7753"/>
    <cellStyle name="强调文字颜色 6 6 2" xfId="7754"/>
    <cellStyle name="强调文字颜色 6 6 2 2" xfId="7755"/>
    <cellStyle name="强调文字颜色 6 6 2 2 2" xfId="7756"/>
    <cellStyle name="强调文字颜色 6 6 2 3" xfId="7757"/>
    <cellStyle name="强调文字颜色 6 6 3" xfId="7758"/>
    <cellStyle name="强调文字颜色 6 6 3 2" xfId="7759"/>
    <cellStyle name="强调文字颜色 6 6 4" xfId="7760"/>
    <cellStyle name="强调文字颜色 6 6 4 2" xfId="7761"/>
    <cellStyle name="强调文字颜色 6 6 5" xfId="7762"/>
    <cellStyle name="强调文字颜色 6 7" xfId="7763"/>
    <cellStyle name="强调文字颜色 6 7 2" xfId="7764"/>
    <cellStyle name="强调文字颜色 6 7 2 2" xfId="7765"/>
    <cellStyle name="强调文字颜色 6 7 2 2 2" xfId="7766"/>
    <cellStyle name="强调文字颜色 6 7 2 3" xfId="7767"/>
    <cellStyle name="强调文字颜色 6 7 3" xfId="7768"/>
    <cellStyle name="强调文字颜色 6 7 3 2" xfId="7769"/>
    <cellStyle name="强调文字颜色 6 7 4" xfId="7770"/>
    <cellStyle name="强调文字颜色 6 7 4 2" xfId="7771"/>
    <cellStyle name="强调文字颜色 6 7 5" xfId="7772"/>
    <cellStyle name="适中 2" xfId="7773"/>
    <cellStyle name="适中 2 10" xfId="8992"/>
    <cellStyle name="适中 2 11" xfId="9281"/>
    <cellStyle name="适中 2 11 2" xfId="9476"/>
    <cellStyle name="适中 2 2" xfId="7774"/>
    <cellStyle name="适中 2 2 2" xfId="7775"/>
    <cellStyle name="适中 2 2 2 2" xfId="7776"/>
    <cellStyle name="适中 2 2 2 2 2" xfId="7777"/>
    <cellStyle name="适中 2 2 2 3" xfId="7778"/>
    <cellStyle name="适中 2 2 3" xfId="7779"/>
    <cellStyle name="适中 2 2 3 2" xfId="7780"/>
    <cellStyle name="适中 2 2 4" xfId="7781"/>
    <cellStyle name="适中 2 2 4 2" xfId="7782"/>
    <cellStyle name="适中 2 2 5" xfId="7783"/>
    <cellStyle name="适中 2 2 6" xfId="8844"/>
    <cellStyle name="适中 2 3" xfId="7784"/>
    <cellStyle name="适中 2 3 2" xfId="7785"/>
    <cellStyle name="适中 2 3 2 2" xfId="7786"/>
    <cellStyle name="适中 2 3 3" xfId="7787"/>
    <cellStyle name="适中 2 4" xfId="7788"/>
    <cellStyle name="适中 2 4 2" xfId="7789"/>
    <cellStyle name="适中 2 5" xfId="7790"/>
    <cellStyle name="适中 2 5 2" xfId="7791"/>
    <cellStyle name="适中 2 6" xfId="7792"/>
    <cellStyle name="适中 2 7" xfId="8618"/>
    <cellStyle name="适中 2 8" xfId="8843"/>
    <cellStyle name="适中 2 9" xfId="8917"/>
    <cellStyle name="适中 3" xfId="7793"/>
    <cellStyle name="适中 3 2" xfId="7794"/>
    <cellStyle name="适中 3 2 2" xfId="7795"/>
    <cellStyle name="适中 3 2 2 2" xfId="7796"/>
    <cellStyle name="适中 3 2 2 2 2" xfId="7797"/>
    <cellStyle name="适中 3 2 2 3" xfId="7798"/>
    <cellStyle name="适中 3 2 3" xfId="7799"/>
    <cellStyle name="适中 3 2 3 2" xfId="7800"/>
    <cellStyle name="适中 3 2 4" xfId="7801"/>
    <cellStyle name="适中 3 2 4 2" xfId="7802"/>
    <cellStyle name="适中 3 2 5" xfId="7803"/>
    <cellStyle name="适中 3 2 6" xfId="8846"/>
    <cellStyle name="适中 3 3" xfId="7804"/>
    <cellStyle name="适中 3 3 2" xfId="7805"/>
    <cellStyle name="适中 3 3 2 2" xfId="7806"/>
    <cellStyle name="适中 3 3 3" xfId="7807"/>
    <cellStyle name="适中 3 4" xfId="7808"/>
    <cellStyle name="适中 3 4 2" xfId="7809"/>
    <cellStyle name="适中 3 5" xfId="7810"/>
    <cellStyle name="适中 3 5 2" xfId="7811"/>
    <cellStyle name="适中 3 6" xfId="7812"/>
    <cellStyle name="适中 3 7" xfId="8845"/>
    <cellStyle name="适中 4" xfId="7813"/>
    <cellStyle name="适中 4 2" xfId="7814"/>
    <cellStyle name="适中 4 2 2" xfId="7815"/>
    <cellStyle name="适中 4 2 2 2" xfId="7816"/>
    <cellStyle name="适中 4 2 2 2 2" xfId="7817"/>
    <cellStyle name="适中 4 2 2 3" xfId="7818"/>
    <cellStyle name="适中 4 2 3" xfId="7819"/>
    <cellStyle name="适中 4 2 3 2" xfId="7820"/>
    <cellStyle name="适中 4 2 4" xfId="7821"/>
    <cellStyle name="适中 4 2 4 2" xfId="7822"/>
    <cellStyle name="适中 4 2 5" xfId="7823"/>
    <cellStyle name="适中 4 2 6" xfId="8848"/>
    <cellStyle name="适中 4 3" xfId="7824"/>
    <cellStyle name="适中 4 3 2" xfId="7825"/>
    <cellStyle name="适中 4 3 2 2" xfId="7826"/>
    <cellStyle name="适中 4 3 3" xfId="7827"/>
    <cellStyle name="适中 4 4" xfId="7828"/>
    <cellStyle name="适中 4 4 2" xfId="7829"/>
    <cellStyle name="适中 4 5" xfId="7830"/>
    <cellStyle name="适中 4 5 2" xfId="7831"/>
    <cellStyle name="适中 4 6" xfId="7832"/>
    <cellStyle name="适中 4 7" xfId="8847"/>
    <cellStyle name="适中 5" xfId="7833"/>
    <cellStyle name="适中 5 2" xfId="7834"/>
    <cellStyle name="适中 5 2 2" xfId="7835"/>
    <cellStyle name="适中 5 2 2 2" xfId="7836"/>
    <cellStyle name="适中 5 2 3" xfId="7837"/>
    <cellStyle name="适中 5 3" xfId="7838"/>
    <cellStyle name="适中 5 3 2" xfId="7839"/>
    <cellStyle name="适中 5 4" xfId="7840"/>
    <cellStyle name="适中 5 4 2" xfId="7841"/>
    <cellStyle name="适中 5 5" xfId="7842"/>
    <cellStyle name="适中 6" xfId="7843"/>
    <cellStyle name="适中 6 2" xfId="7844"/>
    <cellStyle name="适中 6 2 2" xfId="7845"/>
    <cellStyle name="适中 6 2 2 2" xfId="7846"/>
    <cellStyle name="适中 6 2 3" xfId="7847"/>
    <cellStyle name="适中 6 3" xfId="7848"/>
    <cellStyle name="适中 6 3 2" xfId="7849"/>
    <cellStyle name="适中 6 4" xfId="7850"/>
    <cellStyle name="适中 6 4 2" xfId="7851"/>
    <cellStyle name="适中 6 5" xfId="7852"/>
    <cellStyle name="适中 7" xfId="7853"/>
    <cellStyle name="适中 7 2" xfId="7854"/>
    <cellStyle name="适中 7 2 2" xfId="7855"/>
    <cellStyle name="适中 7 2 2 2" xfId="7856"/>
    <cellStyle name="适中 7 2 3" xfId="7857"/>
    <cellStyle name="适中 7 3" xfId="7858"/>
    <cellStyle name="适中 7 3 2" xfId="7859"/>
    <cellStyle name="适中 7 4" xfId="7860"/>
    <cellStyle name="适中 7 4 2" xfId="7861"/>
    <cellStyle name="适中 7 5" xfId="7862"/>
    <cellStyle name="输出 2" xfId="7863"/>
    <cellStyle name="输出 2 10" xfId="8937"/>
    <cellStyle name="输出 2 10 2" xfId="9398"/>
    <cellStyle name="输出 2 11" xfId="8951"/>
    <cellStyle name="输出 2 11 2" xfId="9408"/>
    <cellStyle name="输出 2 12" xfId="8993"/>
    <cellStyle name="输出 2 12 2" xfId="9422"/>
    <cellStyle name="输出 2 13" xfId="9282"/>
    <cellStyle name="输出 2 13 2" xfId="9477"/>
    <cellStyle name="输出 2 14" xfId="9288"/>
    <cellStyle name="输出 2 14 2" xfId="9483"/>
    <cellStyle name="输出 2 2" xfId="7864"/>
    <cellStyle name="输出 2 2 2" xfId="7865"/>
    <cellStyle name="输出 2 2 2 2" xfId="7866"/>
    <cellStyle name="输出 2 2 2 2 2" xfId="7867"/>
    <cellStyle name="输出 2 2 2 3" xfId="7868"/>
    <cellStyle name="输出 2 2 3" xfId="7869"/>
    <cellStyle name="输出 2 2 3 2" xfId="7870"/>
    <cellStyle name="输出 2 2 4" xfId="7871"/>
    <cellStyle name="输出 2 2 4 2" xfId="7872"/>
    <cellStyle name="输出 2 2 5" xfId="7873"/>
    <cellStyle name="输出 2 2 6" xfId="8850"/>
    <cellStyle name="输出 2 2 7" xfId="8945"/>
    <cellStyle name="输出 2 2 7 2" xfId="9403"/>
    <cellStyle name="输出 2 2 8" xfId="8956"/>
    <cellStyle name="输出 2 2 8 2" xfId="9413"/>
    <cellStyle name="输出 2 3" xfId="7874"/>
    <cellStyle name="输出 2 3 2" xfId="7875"/>
    <cellStyle name="输出 2 3 2 2" xfId="7876"/>
    <cellStyle name="输出 2 3 3" xfId="7877"/>
    <cellStyle name="输出 2 4" xfId="7878"/>
    <cellStyle name="输出 2 4 2" xfId="7879"/>
    <cellStyle name="输出 2 5" xfId="7880"/>
    <cellStyle name="输出 2 5 2" xfId="7881"/>
    <cellStyle name="输出 2 6" xfId="7882"/>
    <cellStyle name="输出 2 7" xfId="8619"/>
    <cellStyle name="输出 2 7 2" xfId="9302"/>
    <cellStyle name="输出 2 8" xfId="8624"/>
    <cellStyle name="输出 2 8 2" xfId="9307"/>
    <cellStyle name="输出 2 9" xfId="8849"/>
    <cellStyle name="输出 3" xfId="7883"/>
    <cellStyle name="输出 3 2" xfId="7884"/>
    <cellStyle name="输出 3 2 2" xfId="7885"/>
    <cellStyle name="输出 3 2 2 2" xfId="7886"/>
    <cellStyle name="输出 3 2 2 2 2" xfId="7887"/>
    <cellStyle name="输出 3 2 2 3" xfId="7888"/>
    <cellStyle name="输出 3 2 3" xfId="7889"/>
    <cellStyle name="输出 3 2 3 2" xfId="7890"/>
    <cellStyle name="输出 3 2 4" xfId="7891"/>
    <cellStyle name="输出 3 2 4 2" xfId="7892"/>
    <cellStyle name="输出 3 2 5" xfId="7893"/>
    <cellStyle name="输出 3 2 6" xfId="8852"/>
    <cellStyle name="输出 3 3" xfId="7894"/>
    <cellStyle name="输出 3 3 2" xfId="7895"/>
    <cellStyle name="输出 3 3 2 2" xfId="7896"/>
    <cellStyle name="输出 3 3 3" xfId="7897"/>
    <cellStyle name="输出 3 4" xfId="7898"/>
    <cellStyle name="输出 3 4 2" xfId="7899"/>
    <cellStyle name="输出 3 5" xfId="7900"/>
    <cellStyle name="输出 3 5 2" xfId="7901"/>
    <cellStyle name="输出 3 6" xfId="7902"/>
    <cellStyle name="输出 3 7" xfId="8851"/>
    <cellStyle name="输出 4" xfId="7903"/>
    <cellStyle name="输出 4 2" xfId="7904"/>
    <cellStyle name="输出 4 2 2" xfId="7905"/>
    <cellStyle name="输出 4 2 2 2" xfId="7906"/>
    <cellStyle name="输出 4 2 2 2 2" xfId="7907"/>
    <cellStyle name="输出 4 2 2 3" xfId="7908"/>
    <cellStyle name="输出 4 2 3" xfId="7909"/>
    <cellStyle name="输出 4 2 3 2" xfId="7910"/>
    <cellStyle name="输出 4 2 4" xfId="7911"/>
    <cellStyle name="输出 4 2 4 2" xfId="7912"/>
    <cellStyle name="输出 4 2 5" xfId="7913"/>
    <cellStyle name="输出 4 2 6" xfId="8854"/>
    <cellStyle name="输出 4 3" xfId="7914"/>
    <cellStyle name="输出 4 3 2" xfId="7915"/>
    <cellStyle name="输出 4 3 2 2" xfId="7916"/>
    <cellStyle name="输出 4 3 3" xfId="7917"/>
    <cellStyle name="输出 4 4" xfId="7918"/>
    <cellStyle name="输出 4 4 2" xfId="7919"/>
    <cellStyle name="输出 4 5" xfId="7920"/>
    <cellStyle name="输出 4 5 2" xfId="7921"/>
    <cellStyle name="输出 4 6" xfId="7922"/>
    <cellStyle name="输出 4 7" xfId="8853"/>
    <cellStyle name="输出 5" xfId="7923"/>
    <cellStyle name="输出 5 2" xfId="7924"/>
    <cellStyle name="输出 5 2 2" xfId="7925"/>
    <cellStyle name="输出 5 2 2 2" xfId="7926"/>
    <cellStyle name="输出 5 2 3" xfId="7927"/>
    <cellStyle name="输出 5 3" xfId="7928"/>
    <cellStyle name="输出 5 3 2" xfId="7929"/>
    <cellStyle name="输出 5 4" xfId="7930"/>
    <cellStyle name="输出 5 4 2" xfId="7931"/>
    <cellStyle name="输出 5 5" xfId="7932"/>
    <cellStyle name="输出 6" xfId="7933"/>
    <cellStyle name="输出 6 2" xfId="7934"/>
    <cellStyle name="输出 6 2 2" xfId="7935"/>
    <cellStyle name="输出 6 2 2 2" xfId="7936"/>
    <cellStyle name="输出 6 2 3" xfId="7937"/>
    <cellStyle name="输出 6 3" xfId="7938"/>
    <cellStyle name="输出 6 3 2" xfId="7939"/>
    <cellStyle name="输出 6 4" xfId="7940"/>
    <cellStyle name="输出 6 4 2" xfId="7941"/>
    <cellStyle name="输出 6 5" xfId="7942"/>
    <cellStyle name="输出 7" xfId="7943"/>
    <cellStyle name="输出 7 2" xfId="7944"/>
    <cellStyle name="输出 7 2 2" xfId="7945"/>
    <cellStyle name="输出 7 2 2 2" xfId="7946"/>
    <cellStyle name="输出 7 2 3" xfId="7947"/>
    <cellStyle name="输出 7 3" xfId="7948"/>
    <cellStyle name="输出 7 3 2" xfId="7949"/>
    <cellStyle name="输出 7 4" xfId="7950"/>
    <cellStyle name="输出 7 4 2" xfId="7951"/>
    <cellStyle name="输出 7 5" xfId="7952"/>
    <cellStyle name="输入 2" xfId="7953"/>
    <cellStyle name="输入 2 10" xfId="8938"/>
    <cellStyle name="输入 2 10 2" xfId="9399"/>
    <cellStyle name="输入 2 11" xfId="8952"/>
    <cellStyle name="输入 2 11 2" xfId="9409"/>
    <cellStyle name="输入 2 12" xfId="8994"/>
    <cellStyle name="输入 2 12 2" xfId="9423"/>
    <cellStyle name="输入 2 13" xfId="9283"/>
    <cellStyle name="输入 2 13 2" xfId="9478"/>
    <cellStyle name="输入 2 14" xfId="9289"/>
    <cellStyle name="输入 2 14 2" xfId="9484"/>
    <cellStyle name="输入 2 2" xfId="7954"/>
    <cellStyle name="输入 2 2 2" xfId="7955"/>
    <cellStyle name="输入 2 2 2 2" xfId="7956"/>
    <cellStyle name="输入 2 2 2 2 2" xfId="7957"/>
    <cellStyle name="输入 2 2 2 3" xfId="7958"/>
    <cellStyle name="输入 2 2 3" xfId="7959"/>
    <cellStyle name="输入 2 2 3 2" xfId="7960"/>
    <cellStyle name="输入 2 2 4" xfId="7961"/>
    <cellStyle name="输入 2 2 4 2" xfId="7962"/>
    <cellStyle name="输入 2 2 5" xfId="7963"/>
    <cellStyle name="输入 2 2 6" xfId="8856"/>
    <cellStyle name="输入 2 2 7" xfId="8946"/>
    <cellStyle name="输入 2 2 7 2" xfId="9404"/>
    <cellStyle name="输入 2 2 8" xfId="8957"/>
    <cellStyle name="输入 2 2 8 2" xfId="9414"/>
    <cellStyle name="输入 2 3" xfId="7964"/>
    <cellStyle name="输入 2 3 2" xfId="7965"/>
    <cellStyle name="输入 2 3 2 2" xfId="7966"/>
    <cellStyle name="输入 2 3 3" xfId="7967"/>
    <cellStyle name="输入 2 4" xfId="7968"/>
    <cellStyle name="输入 2 4 2" xfId="7969"/>
    <cellStyle name="输入 2 5" xfId="7970"/>
    <cellStyle name="输入 2 5 2" xfId="7971"/>
    <cellStyle name="输入 2 6" xfId="7972"/>
    <cellStyle name="输入 2 7" xfId="8620"/>
    <cellStyle name="输入 2 7 2" xfId="9303"/>
    <cellStyle name="输入 2 8" xfId="8625"/>
    <cellStyle name="输入 2 8 2" xfId="9308"/>
    <cellStyle name="输入 2 9" xfId="8855"/>
    <cellStyle name="输入 3" xfId="7973"/>
    <cellStyle name="输入 3 2" xfId="7974"/>
    <cellStyle name="输入 3 2 2" xfId="7975"/>
    <cellStyle name="输入 3 2 2 2" xfId="7976"/>
    <cellStyle name="输入 3 2 2 2 2" xfId="7977"/>
    <cellStyle name="输入 3 2 2 3" xfId="7978"/>
    <cellStyle name="输入 3 2 3" xfId="7979"/>
    <cellStyle name="输入 3 2 3 2" xfId="7980"/>
    <cellStyle name="输入 3 2 4" xfId="7981"/>
    <cellStyle name="输入 3 2 4 2" xfId="7982"/>
    <cellStyle name="输入 3 2 5" xfId="7983"/>
    <cellStyle name="输入 3 2 6" xfId="8858"/>
    <cellStyle name="输入 3 3" xfId="7984"/>
    <cellStyle name="输入 3 3 2" xfId="7985"/>
    <cellStyle name="输入 3 3 2 2" xfId="7986"/>
    <cellStyle name="输入 3 3 3" xfId="7987"/>
    <cellStyle name="输入 3 4" xfId="7988"/>
    <cellStyle name="输入 3 4 2" xfId="7989"/>
    <cellStyle name="输入 3 5" xfId="7990"/>
    <cellStyle name="输入 3 5 2" xfId="7991"/>
    <cellStyle name="输入 3 6" xfId="7992"/>
    <cellStyle name="输入 3 7" xfId="8857"/>
    <cellStyle name="输入 4" xfId="7993"/>
    <cellStyle name="输入 4 2" xfId="7994"/>
    <cellStyle name="输入 4 2 2" xfId="7995"/>
    <cellStyle name="输入 4 2 2 2" xfId="7996"/>
    <cellStyle name="输入 4 2 2 2 2" xfId="7997"/>
    <cellStyle name="输入 4 2 2 3" xfId="7998"/>
    <cellStyle name="输入 4 2 3" xfId="7999"/>
    <cellStyle name="输入 4 2 3 2" xfId="8000"/>
    <cellStyle name="输入 4 2 4" xfId="8001"/>
    <cellStyle name="输入 4 2 4 2" xfId="8002"/>
    <cellStyle name="输入 4 2 5" xfId="8003"/>
    <cellStyle name="输入 4 2 6" xfId="8860"/>
    <cellStyle name="输入 4 3" xfId="8004"/>
    <cellStyle name="输入 4 3 2" xfId="8005"/>
    <cellStyle name="输入 4 3 2 2" xfId="8006"/>
    <cellStyle name="输入 4 3 3" xfId="8007"/>
    <cellStyle name="输入 4 4" xfId="8008"/>
    <cellStyle name="输入 4 4 2" xfId="8009"/>
    <cellStyle name="输入 4 5" xfId="8010"/>
    <cellStyle name="输入 4 5 2" xfId="8011"/>
    <cellStyle name="输入 4 6" xfId="8012"/>
    <cellStyle name="输入 4 7" xfId="8859"/>
    <cellStyle name="输入 5" xfId="8013"/>
    <cellStyle name="输入 5 2" xfId="8014"/>
    <cellStyle name="输入 5 2 2" xfId="8015"/>
    <cellStyle name="输入 5 2 2 2" xfId="8016"/>
    <cellStyle name="输入 5 2 3" xfId="8017"/>
    <cellStyle name="输入 5 3" xfId="8018"/>
    <cellStyle name="输入 5 3 2" xfId="8019"/>
    <cellStyle name="输入 5 4" xfId="8020"/>
    <cellStyle name="输入 5 4 2" xfId="8021"/>
    <cellStyle name="输入 5 5" xfId="8022"/>
    <cellStyle name="输入 6" xfId="8023"/>
    <cellStyle name="输入 6 2" xfId="8024"/>
    <cellStyle name="输入 6 2 2" xfId="8025"/>
    <cellStyle name="输入 6 2 2 2" xfId="8026"/>
    <cellStyle name="输入 6 2 3" xfId="8027"/>
    <cellStyle name="输入 6 3" xfId="8028"/>
    <cellStyle name="输入 6 3 2" xfId="8029"/>
    <cellStyle name="输入 6 4" xfId="8030"/>
    <cellStyle name="输入 6 4 2" xfId="8031"/>
    <cellStyle name="输入 6 5" xfId="8032"/>
    <cellStyle name="输入 7" xfId="8033"/>
    <cellStyle name="输入 7 2" xfId="8034"/>
    <cellStyle name="输入 7 2 2" xfId="8035"/>
    <cellStyle name="输入 7 2 2 2" xfId="8036"/>
    <cellStyle name="输入 7 2 3" xfId="8037"/>
    <cellStyle name="输入 7 3" xfId="8038"/>
    <cellStyle name="输入 7 3 2" xfId="8039"/>
    <cellStyle name="输入 7 4" xfId="8040"/>
    <cellStyle name="输入 7 4 2" xfId="8041"/>
    <cellStyle name="输入 7 5" xfId="8042"/>
    <cellStyle name="说明文本" xfId="8043"/>
    <cellStyle name="说明文本 2" xfId="8044"/>
    <cellStyle name="说明文本 2 2" xfId="8045"/>
    <cellStyle name="说明文本 2 2 2" xfId="8046"/>
    <cellStyle name="说明文本 2 2 2 2" xfId="8047"/>
    <cellStyle name="说明文本 2 2 2 2 2" xfId="8048"/>
    <cellStyle name="说明文本 2 2 2 3" xfId="8049"/>
    <cellStyle name="说明文本 2 2 3" xfId="8050"/>
    <cellStyle name="说明文本 2 2 3 2" xfId="8051"/>
    <cellStyle name="说明文本 2 2 4" xfId="8052"/>
    <cellStyle name="说明文本 2 2 4 2" xfId="8053"/>
    <cellStyle name="说明文本 2 2 5" xfId="8054"/>
    <cellStyle name="说明文本 2 3" xfId="8055"/>
    <cellStyle name="说明文本 2 3 2" xfId="8056"/>
    <cellStyle name="说明文本 2 3 2 2" xfId="8057"/>
    <cellStyle name="说明文本 2 3 3" xfId="8058"/>
    <cellStyle name="说明文本 2 4" xfId="8059"/>
    <cellStyle name="说明文本 2 4 2" xfId="8060"/>
    <cellStyle name="说明文本 2 5" xfId="8061"/>
    <cellStyle name="说明文本 2 5 2" xfId="8062"/>
    <cellStyle name="说明文本 2 6" xfId="8063"/>
    <cellStyle name="说明文本 3" xfId="8064"/>
    <cellStyle name="说明文本 3 2" xfId="8065"/>
    <cellStyle name="说明文本 3 2 2" xfId="8066"/>
    <cellStyle name="说明文本 3 2 2 2" xfId="8067"/>
    <cellStyle name="说明文本 3 2 3" xfId="8068"/>
    <cellStyle name="说明文本 3 3" xfId="8069"/>
    <cellStyle name="说明文本 3 3 2" xfId="8070"/>
    <cellStyle name="说明文本 3 4" xfId="8071"/>
    <cellStyle name="说明文本 3 4 2" xfId="8072"/>
    <cellStyle name="说明文本 3 5" xfId="8073"/>
    <cellStyle name="说明文本 4" xfId="8074"/>
    <cellStyle name="说明文本 4 2" xfId="8075"/>
    <cellStyle name="说明文本 4 2 2" xfId="8076"/>
    <cellStyle name="说明文本 4 2 2 2" xfId="8077"/>
    <cellStyle name="说明文本 4 2 3" xfId="8078"/>
    <cellStyle name="说明文本 4 3" xfId="8079"/>
    <cellStyle name="说明文本 4 3 2" xfId="8080"/>
    <cellStyle name="说明文本 4 4" xfId="8081"/>
    <cellStyle name="说明文本 4 4 2" xfId="8082"/>
    <cellStyle name="说明文本 4 5" xfId="8083"/>
    <cellStyle name="说明文本 5" xfId="8084"/>
    <cellStyle name="说明文本 5 2" xfId="8085"/>
    <cellStyle name="说明文本 5 2 2" xfId="8086"/>
    <cellStyle name="说明文本 5 3" xfId="8087"/>
    <cellStyle name="说明文本 6" xfId="8088"/>
    <cellStyle name="说明文本 6 2" xfId="8089"/>
    <cellStyle name="说明文本 7" xfId="8090"/>
    <cellStyle name="说明文本 7 2" xfId="8091"/>
    <cellStyle name="说明文本 8" xfId="8092"/>
    <cellStyle name="说明文本 8 2" xfId="8093"/>
    <cellStyle name="说明文本 9" xfId="8094"/>
    <cellStyle name="无色" xfId="8095"/>
    <cellStyle name="无色 2" xfId="8096"/>
    <cellStyle name="无色 2 2" xfId="8097"/>
    <cellStyle name="无色 2 2 2" xfId="8098"/>
    <cellStyle name="无色 2 2 2 2" xfId="8099"/>
    <cellStyle name="无色 2 2 2 2 2" xfId="8100"/>
    <cellStyle name="无色 2 2 2 3" xfId="8101"/>
    <cellStyle name="无色 2 2 3" xfId="8102"/>
    <cellStyle name="无色 2 2 3 2" xfId="8103"/>
    <cellStyle name="无色 2 2 4" xfId="8104"/>
    <cellStyle name="无色 2 2 4 2" xfId="8105"/>
    <cellStyle name="无色 2 2 5" xfId="8106"/>
    <cellStyle name="无色 2 3" xfId="8107"/>
    <cellStyle name="无色 2 3 2" xfId="8108"/>
    <cellStyle name="无色 2 3 2 2" xfId="8109"/>
    <cellStyle name="无色 2 3 3" xfId="8110"/>
    <cellStyle name="无色 2 4" xfId="8111"/>
    <cellStyle name="无色 2 4 2" xfId="8112"/>
    <cellStyle name="无色 2 5" xfId="8113"/>
    <cellStyle name="无色 2 5 2" xfId="8114"/>
    <cellStyle name="无色 2 6" xfId="8115"/>
    <cellStyle name="无色 3" xfId="8116"/>
    <cellStyle name="无色 3 2" xfId="8117"/>
    <cellStyle name="无色 3 2 2" xfId="8118"/>
    <cellStyle name="无色 3 2 2 2" xfId="8119"/>
    <cellStyle name="无色 3 2 3" xfId="8120"/>
    <cellStyle name="无色 3 3" xfId="8121"/>
    <cellStyle name="无色 3 3 2" xfId="8122"/>
    <cellStyle name="无色 3 4" xfId="8123"/>
    <cellStyle name="无色 3 4 2" xfId="8124"/>
    <cellStyle name="无色 3 5" xfId="8125"/>
    <cellStyle name="无色 4" xfId="8126"/>
    <cellStyle name="无色 4 2" xfId="8127"/>
    <cellStyle name="无色 4 2 2" xfId="8128"/>
    <cellStyle name="无色 4 2 2 2" xfId="8129"/>
    <cellStyle name="无色 4 2 3" xfId="8130"/>
    <cellStyle name="无色 4 3" xfId="8131"/>
    <cellStyle name="无色 4 3 2" xfId="8132"/>
    <cellStyle name="无色 4 4" xfId="8133"/>
    <cellStyle name="无色 4 4 2" xfId="8134"/>
    <cellStyle name="无色 4 5" xfId="8135"/>
    <cellStyle name="无色 5" xfId="8136"/>
    <cellStyle name="无色 5 2" xfId="8137"/>
    <cellStyle name="无色 5 2 2" xfId="8138"/>
    <cellStyle name="无色 5 3" xfId="8139"/>
    <cellStyle name="无色 6" xfId="8140"/>
    <cellStyle name="无色 6 2" xfId="8141"/>
    <cellStyle name="无色 7" xfId="8142"/>
    <cellStyle name="无色 7 2" xfId="8143"/>
    <cellStyle name="无色 8" xfId="8144"/>
    <cellStyle name="无色 8 2" xfId="8145"/>
    <cellStyle name="无色 9" xfId="8146"/>
    <cellStyle name="样式 1" xfId="8147"/>
    <cellStyle name="样式 1 2" xfId="8588"/>
    <cellStyle name="着色 1" xfId="8148"/>
    <cellStyle name="着色 1 2" xfId="8149"/>
    <cellStyle name="着色 1 2 2" xfId="8150"/>
    <cellStyle name="着色 1 2 2 2" xfId="8151"/>
    <cellStyle name="着色 1 2 2 2 2" xfId="8152"/>
    <cellStyle name="着色 1 2 2 2 2 2" xfId="8153"/>
    <cellStyle name="着色 1 2 2 2 3" xfId="8154"/>
    <cellStyle name="着色 1 2 2 3" xfId="8155"/>
    <cellStyle name="着色 1 2 2 3 2" xfId="8156"/>
    <cellStyle name="着色 1 2 2 4" xfId="8157"/>
    <cellStyle name="着色 1 2 2 4 2" xfId="8158"/>
    <cellStyle name="着色 1 2 2 5" xfId="8159"/>
    <cellStyle name="着色 1 2 3" xfId="8160"/>
    <cellStyle name="着色 1 2 3 2" xfId="8161"/>
    <cellStyle name="着色 1 2 3 2 2" xfId="8162"/>
    <cellStyle name="着色 1 2 3 3" xfId="8163"/>
    <cellStyle name="着色 1 2 4" xfId="8164"/>
    <cellStyle name="着色 1 2 4 2" xfId="8165"/>
    <cellStyle name="着色 1 2 5" xfId="8166"/>
    <cellStyle name="着色 1 2 5 2" xfId="8167"/>
    <cellStyle name="着色 1 2 6" xfId="8168"/>
    <cellStyle name="着色 1 3" xfId="8169"/>
    <cellStyle name="着色 1 3 2" xfId="8170"/>
    <cellStyle name="着色 1 3 2 2" xfId="8171"/>
    <cellStyle name="着色 1 3 2 2 2" xfId="8172"/>
    <cellStyle name="着色 1 3 2 3" xfId="8173"/>
    <cellStyle name="着色 1 3 3" xfId="8174"/>
    <cellStyle name="着色 1 3 3 2" xfId="8175"/>
    <cellStyle name="着色 1 3 4" xfId="8176"/>
    <cellStyle name="着色 1 3 4 2" xfId="8177"/>
    <cellStyle name="着色 1 3 5" xfId="8178"/>
    <cellStyle name="着色 1 4" xfId="8179"/>
    <cellStyle name="着色 1 4 2" xfId="8180"/>
    <cellStyle name="着色 1 4 2 2" xfId="8181"/>
    <cellStyle name="着色 1 4 2 2 2" xfId="8182"/>
    <cellStyle name="着色 1 4 2 3" xfId="8183"/>
    <cellStyle name="着色 1 4 3" xfId="8184"/>
    <cellStyle name="着色 1 4 3 2" xfId="8185"/>
    <cellStyle name="着色 1 4 4" xfId="8186"/>
    <cellStyle name="着色 1 4 4 2" xfId="8187"/>
    <cellStyle name="着色 1 4 5" xfId="8188"/>
    <cellStyle name="着色 1 5" xfId="8189"/>
    <cellStyle name="着色 1 5 2" xfId="8190"/>
    <cellStyle name="着色 1 5 2 2" xfId="8191"/>
    <cellStyle name="着色 1 5 3" xfId="8192"/>
    <cellStyle name="着色 1 6" xfId="8193"/>
    <cellStyle name="着色 1 6 2" xfId="8194"/>
    <cellStyle name="着色 1 7" xfId="8195"/>
    <cellStyle name="着色 1 7 2" xfId="8196"/>
    <cellStyle name="着色 1 8" xfId="8197"/>
    <cellStyle name="着色 1 8 2" xfId="8198"/>
    <cellStyle name="着色 1 9" xfId="8199"/>
    <cellStyle name="着色 2" xfId="8200"/>
    <cellStyle name="着色 2 2" xfId="8201"/>
    <cellStyle name="着色 2 2 2" xfId="8202"/>
    <cellStyle name="着色 2 2 2 2" xfId="8203"/>
    <cellStyle name="着色 2 2 2 2 2" xfId="8204"/>
    <cellStyle name="着色 2 2 2 2 2 2" xfId="8205"/>
    <cellStyle name="着色 2 2 2 2 3" xfId="8206"/>
    <cellStyle name="着色 2 2 2 3" xfId="8207"/>
    <cellStyle name="着色 2 2 2 3 2" xfId="8208"/>
    <cellStyle name="着色 2 2 2 4" xfId="8209"/>
    <cellStyle name="着色 2 2 2 4 2" xfId="8210"/>
    <cellStyle name="着色 2 2 2 5" xfId="8211"/>
    <cellStyle name="着色 2 2 3" xfId="8212"/>
    <cellStyle name="着色 2 2 3 2" xfId="8213"/>
    <cellStyle name="着色 2 2 3 2 2" xfId="8214"/>
    <cellStyle name="着色 2 2 3 3" xfId="8215"/>
    <cellStyle name="着色 2 2 4" xfId="8216"/>
    <cellStyle name="着色 2 2 4 2" xfId="8217"/>
    <cellStyle name="着色 2 2 5" xfId="8218"/>
    <cellStyle name="着色 2 2 5 2" xfId="8219"/>
    <cellStyle name="着色 2 2 6" xfId="8220"/>
    <cellStyle name="着色 2 3" xfId="8221"/>
    <cellStyle name="着色 2 3 2" xfId="8222"/>
    <cellStyle name="着色 2 3 2 2" xfId="8223"/>
    <cellStyle name="着色 2 3 2 2 2" xfId="8224"/>
    <cellStyle name="着色 2 3 2 3" xfId="8225"/>
    <cellStyle name="着色 2 3 3" xfId="8226"/>
    <cellStyle name="着色 2 3 3 2" xfId="8227"/>
    <cellStyle name="着色 2 3 4" xfId="8228"/>
    <cellStyle name="着色 2 3 4 2" xfId="8229"/>
    <cellStyle name="着色 2 3 5" xfId="8230"/>
    <cellStyle name="着色 2 4" xfId="8231"/>
    <cellStyle name="着色 2 4 2" xfId="8232"/>
    <cellStyle name="着色 2 4 2 2" xfId="8233"/>
    <cellStyle name="着色 2 4 2 2 2" xfId="8234"/>
    <cellStyle name="着色 2 4 2 3" xfId="8235"/>
    <cellStyle name="着色 2 4 3" xfId="8236"/>
    <cellStyle name="着色 2 4 3 2" xfId="8237"/>
    <cellStyle name="着色 2 4 4" xfId="8238"/>
    <cellStyle name="着色 2 4 4 2" xfId="8239"/>
    <cellStyle name="着色 2 4 5" xfId="8240"/>
    <cellStyle name="着色 2 5" xfId="8241"/>
    <cellStyle name="着色 2 5 2" xfId="8242"/>
    <cellStyle name="着色 2 5 2 2" xfId="8243"/>
    <cellStyle name="着色 2 5 3" xfId="8244"/>
    <cellStyle name="着色 2 6" xfId="8245"/>
    <cellStyle name="着色 2 6 2" xfId="8246"/>
    <cellStyle name="着色 2 7" xfId="8247"/>
    <cellStyle name="着色 2 7 2" xfId="8248"/>
    <cellStyle name="着色 2 8" xfId="8249"/>
    <cellStyle name="着色 2 8 2" xfId="8250"/>
    <cellStyle name="着色 2 9" xfId="8251"/>
    <cellStyle name="着色 3" xfId="8252"/>
    <cellStyle name="着色 3 2" xfId="8253"/>
    <cellStyle name="着色 3 2 2" xfId="8254"/>
    <cellStyle name="着色 3 2 2 2" xfId="8255"/>
    <cellStyle name="着色 3 2 2 2 2" xfId="8256"/>
    <cellStyle name="着色 3 2 2 2 2 2" xfId="8257"/>
    <cellStyle name="着色 3 2 2 2 3" xfId="8258"/>
    <cellStyle name="着色 3 2 2 3" xfId="8259"/>
    <cellStyle name="着色 3 2 2 3 2" xfId="8260"/>
    <cellStyle name="着色 3 2 2 4" xfId="8261"/>
    <cellStyle name="着色 3 2 2 4 2" xfId="8262"/>
    <cellStyle name="着色 3 2 2 5" xfId="8263"/>
    <cellStyle name="着色 3 2 3" xfId="8264"/>
    <cellStyle name="着色 3 2 3 2" xfId="8265"/>
    <cellStyle name="着色 3 2 3 2 2" xfId="8266"/>
    <cellStyle name="着色 3 2 3 3" xfId="8267"/>
    <cellStyle name="着色 3 2 4" xfId="8268"/>
    <cellStyle name="着色 3 2 4 2" xfId="8269"/>
    <cellStyle name="着色 3 2 5" xfId="8270"/>
    <cellStyle name="着色 3 2 5 2" xfId="8271"/>
    <cellStyle name="着色 3 2 6" xfId="8272"/>
    <cellStyle name="着色 3 3" xfId="8273"/>
    <cellStyle name="着色 3 3 2" xfId="8274"/>
    <cellStyle name="着色 3 3 2 2" xfId="8275"/>
    <cellStyle name="着色 3 3 2 2 2" xfId="8276"/>
    <cellStyle name="着色 3 3 2 3" xfId="8277"/>
    <cellStyle name="着色 3 3 3" xfId="8278"/>
    <cellStyle name="着色 3 3 3 2" xfId="8279"/>
    <cellStyle name="着色 3 3 4" xfId="8280"/>
    <cellStyle name="着色 3 3 4 2" xfId="8281"/>
    <cellStyle name="着色 3 3 5" xfId="8282"/>
    <cellStyle name="着色 3 4" xfId="8283"/>
    <cellStyle name="着色 3 4 2" xfId="8284"/>
    <cellStyle name="着色 3 4 2 2" xfId="8285"/>
    <cellStyle name="着色 3 4 2 2 2" xfId="8286"/>
    <cellStyle name="着色 3 4 2 3" xfId="8287"/>
    <cellStyle name="着色 3 4 3" xfId="8288"/>
    <cellStyle name="着色 3 4 3 2" xfId="8289"/>
    <cellStyle name="着色 3 4 4" xfId="8290"/>
    <cellStyle name="着色 3 4 4 2" xfId="8291"/>
    <cellStyle name="着色 3 4 5" xfId="8292"/>
    <cellStyle name="着色 3 5" xfId="8293"/>
    <cellStyle name="着色 3 5 2" xfId="8294"/>
    <cellStyle name="着色 3 5 2 2" xfId="8295"/>
    <cellStyle name="着色 3 5 3" xfId="8296"/>
    <cellStyle name="着色 3 6" xfId="8297"/>
    <cellStyle name="着色 3 6 2" xfId="8298"/>
    <cellStyle name="着色 3 7" xfId="8299"/>
    <cellStyle name="着色 3 7 2" xfId="8300"/>
    <cellStyle name="着色 3 8" xfId="8301"/>
    <cellStyle name="着色 3 8 2" xfId="8302"/>
    <cellStyle name="着色 3 9" xfId="8303"/>
    <cellStyle name="着色 4" xfId="8304"/>
    <cellStyle name="着色 4 2" xfId="8305"/>
    <cellStyle name="着色 4 2 2" xfId="8306"/>
    <cellStyle name="着色 4 2 2 2" xfId="8307"/>
    <cellStyle name="着色 4 2 2 2 2" xfId="8308"/>
    <cellStyle name="着色 4 2 2 2 2 2" xfId="8309"/>
    <cellStyle name="着色 4 2 2 2 3" xfId="8310"/>
    <cellStyle name="着色 4 2 2 3" xfId="8311"/>
    <cellStyle name="着色 4 2 2 3 2" xfId="8312"/>
    <cellStyle name="着色 4 2 2 4" xfId="8313"/>
    <cellStyle name="着色 4 2 2 4 2" xfId="8314"/>
    <cellStyle name="着色 4 2 2 5" xfId="8315"/>
    <cellStyle name="着色 4 2 3" xfId="8316"/>
    <cellStyle name="着色 4 2 3 2" xfId="8317"/>
    <cellStyle name="着色 4 2 3 2 2" xfId="8318"/>
    <cellStyle name="着色 4 2 3 3" xfId="8319"/>
    <cellStyle name="着色 4 2 4" xfId="8320"/>
    <cellStyle name="着色 4 2 4 2" xfId="8321"/>
    <cellStyle name="着色 4 2 5" xfId="8322"/>
    <cellStyle name="着色 4 2 5 2" xfId="8323"/>
    <cellStyle name="着色 4 2 6" xfId="8324"/>
    <cellStyle name="着色 4 3" xfId="8325"/>
    <cellStyle name="着色 4 3 2" xfId="8326"/>
    <cellStyle name="着色 4 3 2 2" xfId="8327"/>
    <cellStyle name="着色 4 3 2 2 2" xfId="8328"/>
    <cellStyle name="着色 4 3 2 3" xfId="8329"/>
    <cellStyle name="着色 4 3 3" xfId="8330"/>
    <cellStyle name="着色 4 3 3 2" xfId="8331"/>
    <cellStyle name="着色 4 3 4" xfId="8332"/>
    <cellStyle name="着色 4 3 4 2" xfId="8333"/>
    <cellStyle name="着色 4 3 5" xfId="8334"/>
    <cellStyle name="着色 4 4" xfId="8335"/>
    <cellStyle name="着色 4 4 2" xfId="8336"/>
    <cellStyle name="着色 4 4 2 2" xfId="8337"/>
    <cellStyle name="着色 4 4 2 2 2" xfId="8338"/>
    <cellStyle name="着色 4 4 2 3" xfId="8339"/>
    <cellStyle name="着色 4 4 3" xfId="8340"/>
    <cellStyle name="着色 4 4 3 2" xfId="8341"/>
    <cellStyle name="着色 4 4 4" xfId="8342"/>
    <cellStyle name="着色 4 4 4 2" xfId="8343"/>
    <cellStyle name="着色 4 4 5" xfId="8344"/>
    <cellStyle name="着色 4 5" xfId="8345"/>
    <cellStyle name="着色 4 5 2" xfId="8346"/>
    <cellStyle name="着色 4 5 2 2" xfId="8347"/>
    <cellStyle name="着色 4 5 3" xfId="8348"/>
    <cellStyle name="着色 4 6" xfId="8349"/>
    <cellStyle name="着色 4 6 2" xfId="8350"/>
    <cellStyle name="着色 4 7" xfId="8351"/>
    <cellStyle name="着色 4 7 2" xfId="8352"/>
    <cellStyle name="着色 4 8" xfId="8353"/>
    <cellStyle name="着色 4 8 2" xfId="8354"/>
    <cellStyle name="着色 4 9" xfId="8355"/>
    <cellStyle name="着色 5" xfId="8356"/>
    <cellStyle name="着色 5 2" xfId="8357"/>
    <cellStyle name="着色 5 2 2" xfId="8358"/>
    <cellStyle name="着色 5 2 2 2" xfId="8359"/>
    <cellStyle name="着色 5 2 2 2 2" xfId="8360"/>
    <cellStyle name="着色 5 2 2 2 2 2" xfId="8361"/>
    <cellStyle name="着色 5 2 2 2 3" xfId="8362"/>
    <cellStyle name="着色 5 2 2 2 4" xfId="8363"/>
    <cellStyle name="着色 5 2 2 3" xfId="8364"/>
    <cellStyle name="着色 5 2 2 3 2" xfId="8365"/>
    <cellStyle name="着色 5 2 2 4" xfId="8366"/>
    <cellStyle name="着色 5 2 2 4 2" xfId="8367"/>
    <cellStyle name="着色 5 2 2 5" xfId="8368"/>
    <cellStyle name="着色 5 2 2 6" xfId="8369"/>
    <cellStyle name="着色 5 2 3" xfId="8370"/>
    <cellStyle name="着色 5 2 3 2" xfId="8371"/>
    <cellStyle name="着色 5 2 3 2 2" xfId="8372"/>
    <cellStyle name="着色 5 2 3 3" xfId="8373"/>
    <cellStyle name="着色 5 2 3 4" xfId="8374"/>
    <cellStyle name="着色 5 2 4" xfId="8375"/>
    <cellStyle name="着色 5 2 4 2" xfId="8376"/>
    <cellStyle name="着色 5 2 5" xfId="8377"/>
    <cellStyle name="着色 5 2 5 2" xfId="8378"/>
    <cellStyle name="着色 5 2 6" xfId="8379"/>
    <cellStyle name="着色 5 2 7" xfId="8380"/>
    <cellStyle name="着色 5 3" xfId="8381"/>
    <cellStyle name="着色 5 3 2" xfId="8382"/>
    <cellStyle name="着色 5 3 2 2" xfId="8383"/>
    <cellStyle name="着色 5 3 2 2 2" xfId="8384"/>
    <cellStyle name="着色 5 3 2 3" xfId="8385"/>
    <cellStyle name="着色 5 3 2 4" xfId="8386"/>
    <cellStyle name="着色 5 3 3" xfId="8387"/>
    <cellStyle name="着色 5 3 3 2" xfId="8388"/>
    <cellStyle name="着色 5 3 4" xfId="8389"/>
    <cellStyle name="着色 5 3 4 2" xfId="8390"/>
    <cellStyle name="着色 5 3 5" xfId="8391"/>
    <cellStyle name="着色 5 3 6" xfId="8392"/>
    <cellStyle name="着色 5 4" xfId="8393"/>
    <cellStyle name="着色 5 4 2" xfId="8394"/>
    <cellStyle name="着色 5 4 2 2" xfId="8395"/>
    <cellStyle name="着色 5 4 2 2 2" xfId="8396"/>
    <cellStyle name="着色 5 4 2 3" xfId="8397"/>
    <cellStyle name="着色 5 4 2 4" xfId="8398"/>
    <cellStyle name="着色 5 4 3" xfId="8399"/>
    <cellStyle name="着色 5 4 3 2" xfId="8400"/>
    <cellStyle name="着色 5 4 4" xfId="8401"/>
    <cellStyle name="着色 5 4 4 2" xfId="8402"/>
    <cellStyle name="着色 5 4 5" xfId="8403"/>
    <cellStyle name="着色 5 4 6" xfId="8404"/>
    <cellStyle name="着色 5 5" xfId="8405"/>
    <cellStyle name="着色 5 5 2" xfId="8406"/>
    <cellStyle name="着色 5 5 2 2" xfId="8407"/>
    <cellStyle name="着色 5 5 3" xfId="8408"/>
    <cellStyle name="着色 5 5 4" xfId="8409"/>
    <cellStyle name="着色 5 6" xfId="8410"/>
    <cellStyle name="着色 5 6 2" xfId="8411"/>
    <cellStyle name="着色 5 7" xfId="8412"/>
    <cellStyle name="着色 5 7 2" xfId="8413"/>
    <cellStyle name="着色 5 8" xfId="8414"/>
    <cellStyle name="着色 5 8 2" xfId="8415"/>
    <cellStyle name="着色 5 9" xfId="8416"/>
    <cellStyle name="着色 6" xfId="8417"/>
    <cellStyle name="着色 6 10" xfId="8418"/>
    <cellStyle name="着色 6 2" xfId="8419"/>
    <cellStyle name="着色 6 2 2" xfId="8420"/>
    <cellStyle name="着色 6 2 2 2" xfId="8421"/>
    <cellStyle name="着色 6 2 2 2 2" xfId="8422"/>
    <cellStyle name="着色 6 2 2 2 2 2" xfId="8423"/>
    <cellStyle name="着色 6 2 2 2 3" xfId="8424"/>
    <cellStyle name="着色 6 2 2 2 4" xfId="8425"/>
    <cellStyle name="着色 6 2 2 3" xfId="8426"/>
    <cellStyle name="着色 6 2 2 3 2" xfId="8427"/>
    <cellStyle name="着色 6 2 2 4" xfId="8428"/>
    <cellStyle name="着色 6 2 2 4 2" xfId="8429"/>
    <cellStyle name="着色 6 2 2 5" xfId="8430"/>
    <cellStyle name="着色 6 2 2 6" xfId="8431"/>
    <cellStyle name="着色 6 2 3" xfId="8432"/>
    <cellStyle name="着色 6 2 3 2" xfId="8433"/>
    <cellStyle name="着色 6 2 3 2 2" xfId="8434"/>
    <cellStyle name="着色 6 2 3 3" xfId="8435"/>
    <cellStyle name="着色 6 2 3 4" xfId="8436"/>
    <cellStyle name="着色 6 2 4" xfId="8437"/>
    <cellStyle name="着色 6 2 4 2" xfId="8438"/>
    <cellStyle name="着色 6 2 5" xfId="8439"/>
    <cellStyle name="着色 6 2 5 2" xfId="8440"/>
    <cellStyle name="着色 6 2 6" xfId="8441"/>
    <cellStyle name="着色 6 2 7" xfId="8442"/>
    <cellStyle name="着色 6 3" xfId="8443"/>
    <cellStyle name="着色 6 3 2" xfId="8444"/>
    <cellStyle name="着色 6 3 2 2" xfId="8445"/>
    <cellStyle name="着色 6 3 2 2 2" xfId="8446"/>
    <cellStyle name="着色 6 3 2 3" xfId="8447"/>
    <cellStyle name="着色 6 3 2 4" xfId="8448"/>
    <cellStyle name="着色 6 3 3" xfId="8449"/>
    <cellStyle name="着色 6 3 3 2" xfId="8450"/>
    <cellStyle name="着色 6 3 4" xfId="8451"/>
    <cellStyle name="着色 6 3 4 2" xfId="8452"/>
    <cellStyle name="着色 6 3 5" xfId="8453"/>
    <cellStyle name="着色 6 3 6" xfId="8454"/>
    <cellStyle name="着色 6 4" xfId="8455"/>
    <cellStyle name="着色 6 4 2" xfId="8456"/>
    <cellStyle name="着色 6 4 2 2" xfId="8457"/>
    <cellStyle name="着色 6 4 2 2 2" xfId="8458"/>
    <cellStyle name="着色 6 4 2 3" xfId="8459"/>
    <cellStyle name="着色 6 4 2 4" xfId="8460"/>
    <cellStyle name="着色 6 4 3" xfId="8461"/>
    <cellStyle name="着色 6 4 3 2" xfId="8462"/>
    <cellStyle name="着色 6 4 4" xfId="8463"/>
    <cellStyle name="着色 6 4 4 2" xfId="8464"/>
    <cellStyle name="着色 6 4 5" xfId="8465"/>
    <cellStyle name="着色 6 4 6" xfId="8466"/>
    <cellStyle name="着色 6 5" xfId="8467"/>
    <cellStyle name="着色 6 5 2" xfId="8468"/>
    <cellStyle name="着色 6 5 2 2" xfId="8469"/>
    <cellStyle name="着色 6 5 3" xfId="8470"/>
    <cellStyle name="着色 6 5 4" xfId="8471"/>
    <cellStyle name="着色 6 6" xfId="8472"/>
    <cellStyle name="着色 6 6 2" xfId="8473"/>
    <cellStyle name="着色 6 7" xfId="8474"/>
    <cellStyle name="着色 6 7 2" xfId="8475"/>
    <cellStyle name="着色 6 8" xfId="8476"/>
    <cellStyle name="着色 6 8 2" xfId="8477"/>
    <cellStyle name="着色 6 9" xfId="8478"/>
    <cellStyle name="注释 2" xfId="8479"/>
    <cellStyle name="注释 2 10" xfId="8861"/>
    <cellStyle name="注释 2 10 2" xfId="9373"/>
    <cellStyle name="注释 2 11" xfId="8939"/>
    <cellStyle name="注释 2 11 2" xfId="9400"/>
    <cellStyle name="注释 2 12" xfId="8953"/>
    <cellStyle name="注释 2 12 2" xfId="9410"/>
    <cellStyle name="注释 2 13" xfId="8995"/>
    <cellStyle name="注释 2 13 2" xfId="9424"/>
    <cellStyle name="注释 2 14" xfId="9284"/>
    <cellStyle name="注释 2 14 2" xfId="9479"/>
    <cellStyle name="注释 2 15" xfId="9290"/>
    <cellStyle name="注释 2 15 2" xfId="9485"/>
    <cellStyle name="注释 2 2" xfId="8480"/>
    <cellStyle name="注释 2 2 2" xfId="8481"/>
    <cellStyle name="注释 2 2 2 2" xfId="8482"/>
    <cellStyle name="注释 2 2 2 2 2" xfId="8483"/>
    <cellStyle name="注释 2 2 2 3" xfId="8484"/>
    <cellStyle name="注释 2 2 2 4" xfId="8485"/>
    <cellStyle name="注释 2 2 3" xfId="8486"/>
    <cellStyle name="注释 2 2 3 2" xfId="8487"/>
    <cellStyle name="注释 2 2 4" xfId="8488"/>
    <cellStyle name="注释 2 2 4 2" xfId="8489"/>
    <cellStyle name="注释 2 2 5" xfId="8490"/>
    <cellStyle name="注释 2 2 6" xfId="8491"/>
    <cellStyle name="注释 2 2 7" xfId="8862"/>
    <cellStyle name="注释 2 2 7 2" xfId="9374"/>
    <cellStyle name="注释 2 2 8" xfId="8947"/>
    <cellStyle name="注释 2 2 8 2" xfId="9405"/>
    <cellStyle name="注释 2 2 9" xfId="8958"/>
    <cellStyle name="注释 2 2 9 2" xfId="9415"/>
    <cellStyle name="注释 2 3" xfId="8492"/>
    <cellStyle name="注释 2 3 2" xfId="8493"/>
    <cellStyle name="注释 2 3 2 2" xfId="8494"/>
    <cellStyle name="注释 2 3 3" xfId="8495"/>
    <cellStyle name="注释 2 3 4" xfId="8496"/>
    <cellStyle name="注释 2 4" xfId="8497"/>
    <cellStyle name="注释 2 4 2" xfId="8498"/>
    <cellStyle name="注释 2 5" xfId="8499"/>
    <cellStyle name="注释 2 5 2" xfId="8500"/>
    <cellStyle name="注释 2 6" xfId="8501"/>
    <cellStyle name="注释 2 7" xfId="8502"/>
    <cellStyle name="注释 2 8" xfId="8621"/>
    <cellStyle name="注释 2 8 2" xfId="9304"/>
    <cellStyle name="注释 2 9" xfId="8626"/>
    <cellStyle name="注释 2 9 2" xfId="9309"/>
    <cellStyle name="注释 3" xfId="8503"/>
    <cellStyle name="注释 3 2" xfId="8504"/>
    <cellStyle name="注释 3 2 2" xfId="8505"/>
    <cellStyle name="注释 3 2 2 2" xfId="8506"/>
    <cellStyle name="注释 3 2 2 2 2" xfId="8507"/>
    <cellStyle name="注释 3 2 2 3" xfId="8508"/>
    <cellStyle name="注释 3 2 2 4" xfId="8509"/>
    <cellStyle name="注释 3 2 3" xfId="8510"/>
    <cellStyle name="注释 3 2 3 2" xfId="8511"/>
    <cellStyle name="注释 3 2 4" xfId="8512"/>
    <cellStyle name="注释 3 2 4 2" xfId="8513"/>
    <cellStyle name="注释 3 2 5" xfId="8514"/>
    <cellStyle name="注释 3 2 6" xfId="8515"/>
    <cellStyle name="注释 3 2 7" xfId="8864"/>
    <cellStyle name="注释 3 2 7 2" xfId="9376"/>
    <cellStyle name="注释 3 3" xfId="8516"/>
    <cellStyle name="注释 3 3 2" xfId="8517"/>
    <cellStyle name="注释 3 3 2 2" xfId="8518"/>
    <cellStyle name="注释 3 3 3" xfId="8519"/>
    <cellStyle name="注释 3 3 4" xfId="8520"/>
    <cellStyle name="注释 3 4" xfId="8521"/>
    <cellStyle name="注释 3 4 2" xfId="8522"/>
    <cellStyle name="注释 3 5" xfId="8523"/>
    <cellStyle name="注释 3 5 2" xfId="8524"/>
    <cellStyle name="注释 3 6" xfId="8525"/>
    <cellStyle name="注释 3 7" xfId="8526"/>
    <cellStyle name="注释 3 8" xfId="8863"/>
    <cellStyle name="注释 3 8 2" xfId="9375"/>
    <cellStyle name="注释 4" xfId="8527"/>
    <cellStyle name="注释 4 2" xfId="8528"/>
    <cellStyle name="注释 4 2 2" xfId="8529"/>
    <cellStyle name="注释 4 2 2 2" xfId="8530"/>
    <cellStyle name="注释 4 2 2 2 2" xfId="8531"/>
    <cellStyle name="注释 4 2 2 3" xfId="8532"/>
    <cellStyle name="注释 4 2 2 4" xfId="8533"/>
    <cellStyle name="注释 4 2 3" xfId="8534"/>
    <cellStyle name="注释 4 2 3 2" xfId="8535"/>
    <cellStyle name="注释 4 2 4" xfId="8536"/>
    <cellStyle name="注释 4 2 4 2" xfId="8537"/>
    <cellStyle name="注释 4 2 5" xfId="8538"/>
    <cellStyle name="注释 4 2 6" xfId="8539"/>
    <cellStyle name="注释 4 2 7" xfId="8866"/>
    <cellStyle name="注释 4 2 7 2" xfId="9378"/>
    <cellStyle name="注释 4 3" xfId="8540"/>
    <cellStyle name="注释 4 3 2" xfId="8541"/>
    <cellStyle name="注释 4 3 2 2" xfId="8542"/>
    <cellStyle name="注释 4 3 3" xfId="8543"/>
    <cellStyle name="注释 4 3 4" xfId="8544"/>
    <cellStyle name="注释 4 4" xfId="8545"/>
    <cellStyle name="注释 4 4 2" xfId="8546"/>
    <cellStyle name="注释 4 5" xfId="8547"/>
    <cellStyle name="注释 4 5 2" xfId="8548"/>
    <cellStyle name="注释 4 6" xfId="8549"/>
    <cellStyle name="注释 4 7" xfId="8550"/>
    <cellStyle name="注释 4 8" xfId="8865"/>
    <cellStyle name="注释 4 8 2" xfId="9377"/>
    <cellStyle name="注释 5" xfId="8551"/>
    <cellStyle name="注释 5 2" xfId="8552"/>
    <cellStyle name="注释 5 2 2" xfId="8553"/>
    <cellStyle name="注释 5 2 2 2" xfId="8554"/>
    <cellStyle name="注释 5 2 3" xfId="8555"/>
    <cellStyle name="注释 5 2 4" xfId="8556"/>
    <cellStyle name="注释 5 3" xfId="8557"/>
    <cellStyle name="注释 5 3 2" xfId="8558"/>
    <cellStyle name="注释 5 4" xfId="8559"/>
    <cellStyle name="注释 5 4 2" xfId="8560"/>
    <cellStyle name="注释 5 5" xfId="8561"/>
    <cellStyle name="注释 5 6" xfId="8562"/>
    <cellStyle name="注释 6" xfId="8563"/>
    <cellStyle name="注释 6 2" xfId="8564"/>
    <cellStyle name="注释 6 2 2" xfId="8565"/>
    <cellStyle name="注释 6 2 2 2" xfId="8566"/>
    <cellStyle name="注释 6 2 3" xfId="8567"/>
    <cellStyle name="注释 6 2 4" xfId="8568"/>
    <cellStyle name="注释 6 3" xfId="8569"/>
    <cellStyle name="注释 6 3 2" xfId="8570"/>
    <cellStyle name="注释 6 4" xfId="8571"/>
    <cellStyle name="注释 6 4 2" xfId="8572"/>
    <cellStyle name="注释 6 5" xfId="8573"/>
    <cellStyle name="注释 6 6" xfId="8574"/>
    <cellStyle name="注释 7" xfId="8575"/>
    <cellStyle name="注释 7 2" xfId="8576"/>
    <cellStyle name="注释 7 2 2" xfId="8577"/>
    <cellStyle name="注释 7 2 2 2" xfId="8578"/>
    <cellStyle name="注释 7 2 3" xfId="8579"/>
    <cellStyle name="注释 7 2 4" xfId="8580"/>
    <cellStyle name="注释 7 3" xfId="8581"/>
    <cellStyle name="注释 7 3 2" xfId="8582"/>
    <cellStyle name="注释 7 4" xfId="8583"/>
    <cellStyle name="注释 7 4 2" xfId="8584"/>
    <cellStyle name="注释 7 5" xfId="8585"/>
    <cellStyle name="注释 7 6" xfId="858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1/21&#24180;&#23398;&#26657;&#39044;&#31639;&#21021;&#31295;/&#23398;&#26657;&#39044;&#31639;&#20462;&#25913;&#31295;1/2021&#24180;&#39044;&#31639;&#26126;&#32454;&#34920;&#65288;&#26032;&#65289;%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5910;&#22238;%20(1)/2021/&#22522;&#26412;&#25903;&#20986;&#26356;&#26032;/&#39067;&#26725;2021&#24180;&#39044;&#31639;&#20108;&#19978;12.1%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2021/2021&#25945;&#32946;&#36153;&#38468;&#21152;/&#20108;&#27425;&#20998;&#37197;/&#35774;&#22791;/2021&#24180;&#38215;&#31649;&#23398;&#26657;&#35774;&#22791;&#39044;&#31639;&#27719;&#24635;&#19978;&#20132;&#31295;0402&#23450;/2021&#24180;&#38215;&#31649;&#23398;&#26657;&#35774;&#22791;&#39044;&#31639;&#27719;&#24635;&#19978;&#20132;&#31295;0402&#23450;/&#19971;&#23453;&#382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021/2021&#25945;&#32946;&#36153;&#38468;&#21152;/&#20108;&#27425;&#20998;&#37197;/&#35774;&#22791;/2021&#24180;&#38215;&#31649;&#23398;&#26657;&#35774;&#22791;&#39044;&#31639;&#27719;&#24635;&#19978;&#20132;&#31295;0402&#23450;/2021&#24180;&#38215;&#31649;&#23398;&#26657;&#35774;&#22791;&#39044;&#31639;&#27719;&#24635;&#19978;&#20132;&#31295;0402&#23450;/&#39532;&#26725;&#38215;&#18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支出（机关及参公单位）"/>
      <sheetName val="基本支出（事业）"/>
      <sheetName val="基本支出（学校）"/>
      <sheetName val="汇总表"/>
    </sheetNames>
    <sheetDataSet>
      <sheetData sheetId="0" refreshError="1"/>
      <sheetData sheetId="1" refreshError="1"/>
      <sheetData sheetId="2" refreshError="1">
        <row r="6">
          <cell r="E6">
            <v>1415976.5</v>
          </cell>
        </row>
        <row r="7">
          <cell r="E7">
            <v>641134.1</v>
          </cell>
        </row>
        <row r="9">
          <cell r="E9">
            <v>22891.699999999997</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绩效测算"/>
      <sheetName val="民办小区生补贴"/>
      <sheetName val="民办小区生补贴（街道）"/>
      <sheetName val="民办学校生均经费"/>
      <sheetName val="民办学校生均经费（街道）"/>
      <sheetName val="民办高中学费"/>
      <sheetName val="民办高中学费（街道）"/>
      <sheetName val="2021年生均公用经费定额"/>
      <sheetName val="2021年其他定额标准"/>
      <sheetName val="2021年基本支出预算表"/>
      <sheetName val="公用定额"/>
      <sheetName val="公务车"/>
      <sheetName val="2021中小学生均定额"/>
      <sheetName val="2021幼儿园生均定额"/>
      <sheetName val="工會"/>
    </sheetNames>
    <sheetDataSet>
      <sheetData sheetId="0"/>
      <sheetData sheetId="1"/>
      <sheetData sheetId="2"/>
      <sheetData sheetId="3"/>
      <sheetData sheetId="4"/>
      <sheetData sheetId="5"/>
      <sheetData sheetId="6"/>
      <sheetData sheetId="7"/>
      <sheetData sheetId="8"/>
      <sheetData sheetId="9"/>
      <sheetData sheetId="10">
        <row r="5">
          <cell r="E5">
            <v>591972</v>
          </cell>
          <cell r="F5">
            <v>150000</v>
          </cell>
          <cell r="G5">
            <v>212796</v>
          </cell>
          <cell r="H5">
            <v>232508.5</v>
          </cell>
          <cell r="I5">
            <v>1166580.5</v>
          </cell>
          <cell r="J5">
            <v>208430</v>
          </cell>
          <cell r="K5">
            <v>156327</v>
          </cell>
          <cell r="L5">
            <v>144681</v>
          </cell>
          <cell r="M5">
            <v>120216</v>
          </cell>
          <cell r="N5">
            <v>404356</v>
          </cell>
          <cell r="O5">
            <v>323262.5</v>
          </cell>
          <cell r="P5">
            <v>18100</v>
          </cell>
          <cell r="Q5">
            <v>125045.5</v>
          </cell>
          <cell r="R5">
            <v>216264</v>
          </cell>
        </row>
        <row r="6">
          <cell r="E6">
            <v>50000</v>
          </cell>
          <cell r="F6">
            <v>90000</v>
          </cell>
          <cell r="G6">
            <v>4000</v>
          </cell>
          <cell r="H6">
            <v>100000</v>
          </cell>
          <cell r="I6">
            <v>15000</v>
          </cell>
          <cell r="K6">
            <v>10000</v>
          </cell>
          <cell r="L6">
            <v>10000</v>
          </cell>
          <cell r="N6">
            <v>10000</v>
          </cell>
        </row>
        <row r="7">
          <cell r="L7">
            <v>10000</v>
          </cell>
          <cell r="N7">
            <v>100000</v>
          </cell>
          <cell r="R7">
            <v>20000</v>
          </cell>
        </row>
        <row r="8">
          <cell r="E8">
            <v>180000</v>
          </cell>
          <cell r="F8">
            <v>156000</v>
          </cell>
          <cell r="G8">
            <v>160000</v>
          </cell>
          <cell r="H8">
            <v>150000</v>
          </cell>
          <cell r="I8">
            <v>120000</v>
          </cell>
          <cell r="J8">
            <v>20000</v>
          </cell>
          <cell r="K8">
            <v>50000</v>
          </cell>
          <cell r="L8">
            <v>40000</v>
          </cell>
          <cell r="M8">
            <v>50000</v>
          </cell>
          <cell r="N8">
            <v>50000</v>
          </cell>
          <cell r="O8">
            <v>150000</v>
          </cell>
          <cell r="Q8">
            <v>30000</v>
          </cell>
          <cell r="R8">
            <v>30000</v>
          </cell>
        </row>
        <row r="9">
          <cell r="E9">
            <v>260000</v>
          </cell>
          <cell r="F9">
            <v>140000</v>
          </cell>
          <cell r="G9">
            <v>120000</v>
          </cell>
          <cell r="H9">
            <v>200000</v>
          </cell>
          <cell r="I9">
            <v>450000</v>
          </cell>
          <cell r="J9">
            <v>150000</v>
          </cell>
          <cell r="K9">
            <v>200000</v>
          </cell>
          <cell r="L9">
            <v>90000</v>
          </cell>
          <cell r="M9">
            <v>200000</v>
          </cell>
          <cell r="N9">
            <v>150000</v>
          </cell>
          <cell r="O9">
            <v>300000</v>
          </cell>
          <cell r="Q9">
            <v>50000</v>
          </cell>
          <cell r="R9">
            <v>130000</v>
          </cell>
        </row>
        <row r="10">
          <cell r="E10">
            <v>50000</v>
          </cell>
          <cell r="F10">
            <v>80000</v>
          </cell>
          <cell r="G10">
            <v>3000</v>
          </cell>
          <cell r="H10">
            <v>5000</v>
          </cell>
          <cell r="I10">
            <v>50000</v>
          </cell>
          <cell r="J10">
            <v>6000</v>
          </cell>
          <cell r="K10">
            <v>10000</v>
          </cell>
          <cell r="L10">
            <v>10000</v>
          </cell>
          <cell r="M10">
            <v>10000</v>
          </cell>
          <cell r="N10">
            <v>50000</v>
          </cell>
          <cell r="O10">
            <v>40000</v>
          </cell>
          <cell r="P10">
            <v>5000</v>
          </cell>
          <cell r="Q10">
            <v>10000</v>
          </cell>
          <cell r="R10">
            <v>30000</v>
          </cell>
        </row>
        <row r="11">
          <cell r="E11">
            <v>68000</v>
          </cell>
          <cell r="F11">
            <v>56000</v>
          </cell>
          <cell r="G11">
            <v>20000</v>
          </cell>
          <cell r="H11">
            <v>5000</v>
          </cell>
          <cell r="I11">
            <v>10000</v>
          </cell>
          <cell r="J11">
            <v>20000</v>
          </cell>
          <cell r="K11">
            <v>5000</v>
          </cell>
          <cell r="L11">
            <v>2000</v>
          </cell>
          <cell r="M11">
            <v>10000</v>
          </cell>
          <cell r="N11">
            <v>20000</v>
          </cell>
          <cell r="P11">
            <v>1000</v>
          </cell>
          <cell r="Q11">
            <v>1000</v>
          </cell>
          <cell r="R11">
            <v>5000</v>
          </cell>
        </row>
        <row r="12">
          <cell r="E12">
            <v>500000</v>
          </cell>
          <cell r="F12">
            <v>200000</v>
          </cell>
          <cell r="G12">
            <v>300000</v>
          </cell>
          <cell r="H12">
            <v>300000</v>
          </cell>
          <cell r="I12">
            <v>50000</v>
          </cell>
          <cell r="J12">
            <v>500000</v>
          </cell>
          <cell r="K12">
            <v>577797</v>
          </cell>
          <cell r="L12">
            <v>250000</v>
          </cell>
          <cell r="M12">
            <v>502700</v>
          </cell>
          <cell r="N12">
            <v>300000</v>
          </cell>
          <cell r="O12">
            <v>750000</v>
          </cell>
          <cell r="P12">
            <v>15000</v>
          </cell>
          <cell r="Q12">
            <v>500000</v>
          </cell>
          <cell r="R12">
            <v>250000</v>
          </cell>
        </row>
        <row r="14">
          <cell r="E14">
            <v>185788</v>
          </cell>
          <cell r="F14">
            <v>97493.5</v>
          </cell>
          <cell r="G14">
            <v>119436</v>
          </cell>
          <cell r="H14">
            <v>138017.5</v>
          </cell>
          <cell r="I14">
            <v>441563.5</v>
          </cell>
          <cell r="J14">
            <v>34970</v>
          </cell>
          <cell r="K14">
            <v>110814</v>
          </cell>
          <cell r="L14">
            <v>67855</v>
          </cell>
          <cell r="M14">
            <v>62643</v>
          </cell>
          <cell r="N14">
            <v>72244</v>
          </cell>
          <cell r="O14">
            <v>211719</v>
          </cell>
          <cell r="Q14">
            <v>59854.5</v>
          </cell>
          <cell r="R14">
            <v>60116</v>
          </cell>
        </row>
        <row r="16">
          <cell r="E16">
            <v>850000</v>
          </cell>
          <cell r="F16">
            <v>400376.5</v>
          </cell>
          <cell r="G16">
            <v>619488</v>
          </cell>
          <cell r="H16">
            <v>600000</v>
          </cell>
          <cell r="I16">
            <v>3498126</v>
          </cell>
          <cell r="J16">
            <v>250000</v>
          </cell>
          <cell r="K16">
            <v>742302</v>
          </cell>
          <cell r="L16">
            <v>30000</v>
          </cell>
          <cell r="M16">
            <v>30000</v>
          </cell>
          <cell r="N16">
            <v>120000</v>
          </cell>
          <cell r="O16">
            <v>250000</v>
          </cell>
          <cell r="P16">
            <v>20000</v>
          </cell>
          <cell r="Q16">
            <v>500000</v>
          </cell>
          <cell r="R16">
            <v>150000</v>
          </cell>
        </row>
        <row r="17">
          <cell r="H17">
            <v>20000</v>
          </cell>
          <cell r="J17">
            <v>10000</v>
          </cell>
          <cell r="K17">
            <v>20000</v>
          </cell>
          <cell r="N17">
            <v>20000</v>
          </cell>
          <cell r="P17">
            <v>0</v>
          </cell>
          <cell r="Q17">
            <v>10000</v>
          </cell>
        </row>
        <row r="18">
          <cell r="H18">
            <v>150000</v>
          </cell>
          <cell r="J18">
            <v>50000</v>
          </cell>
          <cell r="K18">
            <v>50000</v>
          </cell>
          <cell r="L18">
            <v>250000</v>
          </cell>
          <cell r="M18">
            <v>50000</v>
          </cell>
          <cell r="N18">
            <v>10000</v>
          </cell>
          <cell r="O18">
            <v>100000</v>
          </cell>
          <cell r="R18">
            <v>20000</v>
          </cell>
        </row>
        <row r="19">
          <cell r="E19">
            <v>200000</v>
          </cell>
          <cell r="F19">
            <v>180000</v>
          </cell>
          <cell r="G19">
            <v>600000</v>
          </cell>
          <cell r="H19">
            <v>759824</v>
          </cell>
          <cell r="I19">
            <v>2420000</v>
          </cell>
          <cell r="K19">
            <v>50000</v>
          </cell>
          <cell r="L19">
            <v>835604</v>
          </cell>
          <cell r="M19">
            <v>121621</v>
          </cell>
          <cell r="N19">
            <v>50000</v>
          </cell>
          <cell r="Q19">
            <v>100000</v>
          </cell>
          <cell r="R19">
            <v>50000</v>
          </cell>
        </row>
        <row r="20">
          <cell r="E20">
            <v>350000</v>
          </cell>
          <cell r="F20">
            <v>150000</v>
          </cell>
          <cell r="G20">
            <v>230000</v>
          </cell>
          <cell r="H20">
            <v>100000</v>
          </cell>
          <cell r="I20">
            <v>110000</v>
          </cell>
          <cell r="J20">
            <v>364600</v>
          </cell>
          <cell r="K20">
            <v>150000</v>
          </cell>
          <cell r="M20">
            <v>500000</v>
          </cell>
          <cell r="N20">
            <v>100000</v>
          </cell>
          <cell r="O20">
            <v>950000</v>
          </cell>
          <cell r="P20">
            <v>12900</v>
          </cell>
          <cell r="Q20">
            <v>312100</v>
          </cell>
          <cell r="R20">
            <v>200000</v>
          </cell>
        </row>
        <row r="21">
          <cell r="E21">
            <v>430000</v>
          </cell>
          <cell r="F21">
            <v>250000</v>
          </cell>
          <cell r="I21">
            <v>500000</v>
          </cell>
          <cell r="K21">
            <v>100000</v>
          </cell>
          <cell r="N21">
            <v>100000</v>
          </cell>
          <cell r="O21">
            <v>1159398.5</v>
          </cell>
          <cell r="P21">
            <v>80000</v>
          </cell>
          <cell r="R21">
            <v>150000</v>
          </cell>
        </row>
      </sheetData>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按镇学校汇总"/>
      <sheetName val="七宝镇"/>
      <sheetName val="七宝文莱碧林湾校区"/>
      <sheetName val="七宝明强幼儿园"/>
      <sheetName val="七宝春欣幼儿园分园"/>
    </sheetNames>
    <sheetDataSet>
      <sheetData sheetId="0"/>
      <sheetData sheetId="1"/>
      <sheetData sheetId="2">
        <row r="14">
          <cell r="J14">
            <v>500300</v>
          </cell>
        </row>
      </sheetData>
      <sheetData sheetId="3">
        <row r="154">
          <cell r="G154">
            <v>2934000</v>
          </cell>
        </row>
      </sheetData>
      <sheetData sheetId="4">
        <row r="158">
          <cell r="G158">
            <v>2853000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按镇学校汇总"/>
      <sheetName val="马桥镇"/>
      <sheetName val="马桥实验学校"/>
      <sheetName val="马桥文来外分校"/>
    </sheetNames>
    <sheetDataSet>
      <sheetData sheetId="0"/>
      <sheetData sheetId="1"/>
      <sheetData sheetId="2">
        <row r="102">
          <cell r="G102">
            <v>1983750</v>
          </cell>
        </row>
      </sheetData>
      <sheetData sheetId="3">
        <row r="105">
          <cell r="G105">
            <v>2228000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abSelected="1" workbookViewId="0">
      <selection activeCell="F12" sqref="F12"/>
    </sheetView>
  </sheetViews>
  <sheetFormatPr defaultColWidth="9" defaultRowHeight="13.5"/>
  <cols>
    <col min="1" max="1" width="10.625" style="1312" customWidth="1"/>
    <col min="2" max="2" width="35.625" style="1313" customWidth="1"/>
    <col min="3" max="3" width="35.625" style="1312" customWidth="1"/>
    <col min="4" max="4" width="20.5" style="1312" bestFit="1" customWidth="1"/>
    <col min="5" max="5" width="18.625" style="1312" hidden="1" customWidth="1"/>
    <col min="6" max="6" width="18.375" style="1312" bestFit="1" customWidth="1"/>
    <col min="7" max="7" width="14.375" style="1312" hidden="1" customWidth="1"/>
    <col min="8" max="8" width="14.25" style="1312" hidden="1" customWidth="1"/>
    <col min="9" max="252" width="9" style="1312"/>
    <col min="253" max="253" width="6.625" style="1312" customWidth="1"/>
    <col min="254" max="255" width="21.625" style="1312" customWidth="1"/>
    <col min="256" max="256" width="16.125" style="1312" bestFit="1" customWidth="1"/>
    <col min="257" max="257" width="13.875" style="1312" bestFit="1" customWidth="1"/>
    <col min="258" max="258" width="17.25" style="1312" bestFit="1" customWidth="1"/>
    <col min="259" max="260" width="20.5" style="1312" bestFit="1" customWidth="1"/>
    <col min="261" max="261" width="0" style="1312" hidden="1" customWidth="1"/>
    <col min="262" max="262" width="18.375" style="1312" bestFit="1" customWidth="1"/>
    <col min="263" max="264" width="0" style="1312" hidden="1" customWidth="1"/>
    <col min="265" max="508" width="9" style="1312"/>
    <col min="509" max="509" width="6.625" style="1312" customWidth="1"/>
    <col min="510" max="511" width="21.625" style="1312" customWidth="1"/>
    <col min="512" max="512" width="16.125" style="1312" bestFit="1" customWidth="1"/>
    <col min="513" max="513" width="13.875" style="1312" bestFit="1" customWidth="1"/>
    <col min="514" max="514" width="17.25" style="1312" bestFit="1" customWidth="1"/>
    <col min="515" max="516" width="20.5" style="1312" bestFit="1" customWidth="1"/>
    <col min="517" max="517" width="0" style="1312" hidden="1" customWidth="1"/>
    <col min="518" max="518" width="18.375" style="1312" bestFit="1" customWidth="1"/>
    <col min="519" max="520" width="0" style="1312" hidden="1" customWidth="1"/>
    <col min="521" max="764" width="9" style="1312"/>
    <col min="765" max="765" width="6.625" style="1312" customWidth="1"/>
    <col min="766" max="767" width="21.625" style="1312" customWidth="1"/>
    <col min="768" max="768" width="16.125" style="1312" bestFit="1" customWidth="1"/>
    <col min="769" max="769" width="13.875" style="1312" bestFit="1" customWidth="1"/>
    <col min="770" max="770" width="17.25" style="1312" bestFit="1" customWidth="1"/>
    <col min="771" max="772" width="20.5" style="1312" bestFit="1" customWidth="1"/>
    <col min="773" max="773" width="0" style="1312" hidden="1" customWidth="1"/>
    <col min="774" max="774" width="18.375" style="1312" bestFit="1" customWidth="1"/>
    <col min="775" max="776" width="0" style="1312" hidden="1" customWidth="1"/>
    <col min="777" max="1020" width="9" style="1312"/>
    <col min="1021" max="1021" width="6.625" style="1312" customWidth="1"/>
    <col min="1022" max="1023" width="21.625" style="1312" customWidth="1"/>
    <col min="1024" max="1024" width="16.125" style="1312" bestFit="1" customWidth="1"/>
    <col min="1025" max="1025" width="13.875" style="1312" bestFit="1" customWidth="1"/>
    <col min="1026" max="1026" width="17.25" style="1312" bestFit="1" customWidth="1"/>
    <col min="1027" max="1028" width="20.5" style="1312" bestFit="1" customWidth="1"/>
    <col min="1029" max="1029" width="0" style="1312" hidden="1" customWidth="1"/>
    <col min="1030" max="1030" width="18.375" style="1312" bestFit="1" customWidth="1"/>
    <col min="1031" max="1032" width="0" style="1312" hidden="1" customWidth="1"/>
    <col min="1033" max="1276" width="9" style="1312"/>
    <col min="1277" max="1277" width="6.625" style="1312" customWidth="1"/>
    <col min="1278" max="1279" width="21.625" style="1312" customWidth="1"/>
    <col min="1280" max="1280" width="16.125" style="1312" bestFit="1" customWidth="1"/>
    <col min="1281" max="1281" width="13.875" style="1312" bestFit="1" customWidth="1"/>
    <col min="1282" max="1282" width="17.25" style="1312" bestFit="1" customWidth="1"/>
    <col min="1283" max="1284" width="20.5" style="1312" bestFit="1" customWidth="1"/>
    <col min="1285" max="1285" width="0" style="1312" hidden="1" customWidth="1"/>
    <col min="1286" max="1286" width="18.375" style="1312" bestFit="1" customWidth="1"/>
    <col min="1287" max="1288" width="0" style="1312" hidden="1" customWidth="1"/>
    <col min="1289" max="1532" width="9" style="1312"/>
    <col min="1533" max="1533" width="6.625" style="1312" customWidth="1"/>
    <col min="1534" max="1535" width="21.625" style="1312" customWidth="1"/>
    <col min="1536" max="1536" width="16.125" style="1312" bestFit="1" customWidth="1"/>
    <col min="1537" max="1537" width="13.875" style="1312" bestFit="1" customWidth="1"/>
    <col min="1538" max="1538" width="17.25" style="1312" bestFit="1" customWidth="1"/>
    <col min="1539" max="1540" width="20.5" style="1312" bestFit="1" customWidth="1"/>
    <col min="1541" max="1541" width="0" style="1312" hidden="1" customWidth="1"/>
    <col min="1542" max="1542" width="18.375" style="1312" bestFit="1" customWidth="1"/>
    <col min="1543" max="1544" width="0" style="1312" hidden="1" customWidth="1"/>
    <col min="1545" max="1788" width="9" style="1312"/>
    <col min="1789" max="1789" width="6.625" style="1312" customWidth="1"/>
    <col min="1790" max="1791" width="21.625" style="1312" customWidth="1"/>
    <col min="1792" max="1792" width="16.125" style="1312" bestFit="1" customWidth="1"/>
    <col min="1793" max="1793" width="13.875" style="1312" bestFit="1" customWidth="1"/>
    <col min="1794" max="1794" width="17.25" style="1312" bestFit="1" customWidth="1"/>
    <col min="1795" max="1796" width="20.5" style="1312" bestFit="1" customWidth="1"/>
    <col min="1797" max="1797" width="0" style="1312" hidden="1" customWidth="1"/>
    <col min="1798" max="1798" width="18.375" style="1312" bestFit="1" customWidth="1"/>
    <col min="1799" max="1800" width="0" style="1312" hidden="1" customWidth="1"/>
    <col min="1801" max="2044" width="9" style="1312"/>
    <col min="2045" max="2045" width="6.625" style="1312" customWidth="1"/>
    <col min="2046" max="2047" width="21.625" style="1312" customWidth="1"/>
    <col min="2048" max="2048" width="16.125" style="1312" bestFit="1" customWidth="1"/>
    <col min="2049" max="2049" width="13.875" style="1312" bestFit="1" customWidth="1"/>
    <col min="2050" max="2050" width="17.25" style="1312" bestFit="1" customWidth="1"/>
    <col min="2051" max="2052" width="20.5" style="1312" bestFit="1" customWidth="1"/>
    <col min="2053" max="2053" width="0" style="1312" hidden="1" customWidth="1"/>
    <col min="2054" max="2054" width="18.375" style="1312" bestFit="1" customWidth="1"/>
    <col min="2055" max="2056" width="0" style="1312" hidden="1" customWidth="1"/>
    <col min="2057" max="2300" width="9" style="1312"/>
    <col min="2301" max="2301" width="6.625" style="1312" customWidth="1"/>
    <col min="2302" max="2303" width="21.625" style="1312" customWidth="1"/>
    <col min="2304" max="2304" width="16.125" style="1312" bestFit="1" customWidth="1"/>
    <col min="2305" max="2305" width="13.875" style="1312" bestFit="1" customWidth="1"/>
    <col min="2306" max="2306" width="17.25" style="1312" bestFit="1" customWidth="1"/>
    <col min="2307" max="2308" width="20.5" style="1312" bestFit="1" customWidth="1"/>
    <col min="2309" max="2309" width="0" style="1312" hidden="1" customWidth="1"/>
    <col min="2310" max="2310" width="18.375" style="1312" bestFit="1" customWidth="1"/>
    <col min="2311" max="2312" width="0" style="1312" hidden="1" customWidth="1"/>
    <col min="2313" max="2556" width="9" style="1312"/>
    <col min="2557" max="2557" width="6.625" style="1312" customWidth="1"/>
    <col min="2558" max="2559" width="21.625" style="1312" customWidth="1"/>
    <col min="2560" max="2560" width="16.125" style="1312" bestFit="1" customWidth="1"/>
    <col min="2561" max="2561" width="13.875" style="1312" bestFit="1" customWidth="1"/>
    <col min="2562" max="2562" width="17.25" style="1312" bestFit="1" customWidth="1"/>
    <col min="2563" max="2564" width="20.5" style="1312" bestFit="1" customWidth="1"/>
    <col min="2565" max="2565" width="0" style="1312" hidden="1" customWidth="1"/>
    <col min="2566" max="2566" width="18.375" style="1312" bestFit="1" customWidth="1"/>
    <col min="2567" max="2568" width="0" style="1312" hidden="1" customWidth="1"/>
    <col min="2569" max="2812" width="9" style="1312"/>
    <col min="2813" max="2813" width="6.625" style="1312" customWidth="1"/>
    <col min="2814" max="2815" width="21.625" style="1312" customWidth="1"/>
    <col min="2816" max="2816" width="16.125" style="1312" bestFit="1" customWidth="1"/>
    <col min="2817" max="2817" width="13.875" style="1312" bestFit="1" customWidth="1"/>
    <col min="2818" max="2818" width="17.25" style="1312" bestFit="1" customWidth="1"/>
    <col min="2819" max="2820" width="20.5" style="1312" bestFit="1" customWidth="1"/>
    <col min="2821" max="2821" width="0" style="1312" hidden="1" customWidth="1"/>
    <col min="2822" max="2822" width="18.375" style="1312" bestFit="1" customWidth="1"/>
    <col min="2823" max="2824" width="0" style="1312" hidden="1" customWidth="1"/>
    <col min="2825" max="3068" width="9" style="1312"/>
    <col min="3069" max="3069" width="6.625" style="1312" customWidth="1"/>
    <col min="3070" max="3071" width="21.625" style="1312" customWidth="1"/>
    <col min="3072" max="3072" width="16.125" style="1312" bestFit="1" customWidth="1"/>
    <col min="3073" max="3073" width="13.875" style="1312" bestFit="1" customWidth="1"/>
    <col min="3074" max="3074" width="17.25" style="1312" bestFit="1" customWidth="1"/>
    <col min="3075" max="3076" width="20.5" style="1312" bestFit="1" customWidth="1"/>
    <col min="3077" max="3077" width="0" style="1312" hidden="1" customWidth="1"/>
    <col min="3078" max="3078" width="18.375" style="1312" bestFit="1" customWidth="1"/>
    <col min="3079" max="3080" width="0" style="1312" hidden="1" customWidth="1"/>
    <col min="3081" max="3324" width="9" style="1312"/>
    <col min="3325" max="3325" width="6.625" style="1312" customWidth="1"/>
    <col min="3326" max="3327" width="21.625" style="1312" customWidth="1"/>
    <col min="3328" max="3328" width="16.125" style="1312" bestFit="1" customWidth="1"/>
    <col min="3329" max="3329" width="13.875" style="1312" bestFit="1" customWidth="1"/>
    <col min="3330" max="3330" width="17.25" style="1312" bestFit="1" customWidth="1"/>
    <col min="3331" max="3332" width="20.5" style="1312" bestFit="1" customWidth="1"/>
    <col min="3333" max="3333" width="0" style="1312" hidden="1" customWidth="1"/>
    <col min="3334" max="3334" width="18.375" style="1312" bestFit="1" customWidth="1"/>
    <col min="3335" max="3336" width="0" style="1312" hidden="1" customWidth="1"/>
    <col min="3337" max="3580" width="9" style="1312"/>
    <col min="3581" max="3581" width="6.625" style="1312" customWidth="1"/>
    <col min="3582" max="3583" width="21.625" style="1312" customWidth="1"/>
    <col min="3584" max="3584" width="16.125" style="1312" bestFit="1" customWidth="1"/>
    <col min="3585" max="3585" width="13.875" style="1312" bestFit="1" customWidth="1"/>
    <col min="3586" max="3586" width="17.25" style="1312" bestFit="1" customWidth="1"/>
    <col min="3587" max="3588" width="20.5" style="1312" bestFit="1" customWidth="1"/>
    <col min="3589" max="3589" width="0" style="1312" hidden="1" customWidth="1"/>
    <col min="3590" max="3590" width="18.375" style="1312" bestFit="1" customWidth="1"/>
    <col min="3591" max="3592" width="0" style="1312" hidden="1" customWidth="1"/>
    <col min="3593" max="3836" width="9" style="1312"/>
    <col min="3837" max="3837" width="6.625" style="1312" customWidth="1"/>
    <col min="3838" max="3839" width="21.625" style="1312" customWidth="1"/>
    <col min="3840" max="3840" width="16.125" style="1312" bestFit="1" customWidth="1"/>
    <col min="3841" max="3841" width="13.875" style="1312" bestFit="1" customWidth="1"/>
    <col min="3842" max="3842" width="17.25" style="1312" bestFit="1" customWidth="1"/>
    <col min="3843" max="3844" width="20.5" style="1312" bestFit="1" customWidth="1"/>
    <col min="3845" max="3845" width="0" style="1312" hidden="1" customWidth="1"/>
    <col min="3846" max="3846" width="18.375" style="1312" bestFit="1" customWidth="1"/>
    <col min="3847" max="3848" width="0" style="1312" hidden="1" customWidth="1"/>
    <col min="3849" max="4092" width="9" style="1312"/>
    <col min="4093" max="4093" width="6.625" style="1312" customWidth="1"/>
    <col min="4094" max="4095" width="21.625" style="1312" customWidth="1"/>
    <col min="4096" max="4096" width="16.125" style="1312" bestFit="1" customWidth="1"/>
    <col min="4097" max="4097" width="13.875" style="1312" bestFit="1" customWidth="1"/>
    <col min="4098" max="4098" width="17.25" style="1312" bestFit="1" customWidth="1"/>
    <col min="4099" max="4100" width="20.5" style="1312" bestFit="1" customWidth="1"/>
    <col min="4101" max="4101" width="0" style="1312" hidden="1" customWidth="1"/>
    <col min="4102" max="4102" width="18.375" style="1312" bestFit="1" customWidth="1"/>
    <col min="4103" max="4104" width="0" style="1312" hidden="1" customWidth="1"/>
    <col min="4105" max="4348" width="9" style="1312"/>
    <col min="4349" max="4349" width="6.625" style="1312" customWidth="1"/>
    <col min="4350" max="4351" width="21.625" style="1312" customWidth="1"/>
    <col min="4352" max="4352" width="16.125" style="1312" bestFit="1" customWidth="1"/>
    <col min="4353" max="4353" width="13.875" style="1312" bestFit="1" customWidth="1"/>
    <col min="4354" max="4354" width="17.25" style="1312" bestFit="1" customWidth="1"/>
    <col min="4355" max="4356" width="20.5" style="1312" bestFit="1" customWidth="1"/>
    <col min="4357" max="4357" width="0" style="1312" hidden="1" customWidth="1"/>
    <col min="4358" max="4358" width="18.375" style="1312" bestFit="1" customWidth="1"/>
    <col min="4359" max="4360" width="0" style="1312" hidden="1" customWidth="1"/>
    <col min="4361" max="4604" width="9" style="1312"/>
    <col min="4605" max="4605" width="6.625" style="1312" customWidth="1"/>
    <col min="4606" max="4607" width="21.625" style="1312" customWidth="1"/>
    <col min="4608" max="4608" width="16.125" style="1312" bestFit="1" customWidth="1"/>
    <col min="4609" max="4609" width="13.875" style="1312" bestFit="1" customWidth="1"/>
    <col min="4610" max="4610" width="17.25" style="1312" bestFit="1" customWidth="1"/>
    <col min="4611" max="4612" width="20.5" style="1312" bestFit="1" customWidth="1"/>
    <col min="4613" max="4613" width="0" style="1312" hidden="1" customWidth="1"/>
    <col min="4614" max="4614" width="18.375" style="1312" bestFit="1" customWidth="1"/>
    <col min="4615" max="4616" width="0" style="1312" hidden="1" customWidth="1"/>
    <col min="4617" max="4860" width="9" style="1312"/>
    <col min="4861" max="4861" width="6.625" style="1312" customWidth="1"/>
    <col min="4862" max="4863" width="21.625" style="1312" customWidth="1"/>
    <col min="4864" max="4864" width="16.125" style="1312" bestFit="1" customWidth="1"/>
    <col min="4865" max="4865" width="13.875" style="1312" bestFit="1" customWidth="1"/>
    <col min="4866" max="4866" width="17.25" style="1312" bestFit="1" customWidth="1"/>
    <col min="4867" max="4868" width="20.5" style="1312" bestFit="1" customWidth="1"/>
    <col min="4869" max="4869" width="0" style="1312" hidden="1" customWidth="1"/>
    <col min="4870" max="4870" width="18.375" style="1312" bestFit="1" customWidth="1"/>
    <col min="4871" max="4872" width="0" style="1312" hidden="1" customWidth="1"/>
    <col min="4873" max="5116" width="9" style="1312"/>
    <col min="5117" max="5117" width="6.625" style="1312" customWidth="1"/>
    <col min="5118" max="5119" width="21.625" style="1312" customWidth="1"/>
    <col min="5120" max="5120" width="16.125" style="1312" bestFit="1" customWidth="1"/>
    <col min="5121" max="5121" width="13.875" style="1312" bestFit="1" customWidth="1"/>
    <col min="5122" max="5122" width="17.25" style="1312" bestFit="1" customWidth="1"/>
    <col min="5123" max="5124" width="20.5" style="1312" bestFit="1" customWidth="1"/>
    <col min="5125" max="5125" width="0" style="1312" hidden="1" customWidth="1"/>
    <col min="5126" max="5126" width="18.375" style="1312" bestFit="1" customWidth="1"/>
    <col min="5127" max="5128" width="0" style="1312" hidden="1" customWidth="1"/>
    <col min="5129" max="5372" width="9" style="1312"/>
    <col min="5373" max="5373" width="6.625" style="1312" customWidth="1"/>
    <col min="5374" max="5375" width="21.625" style="1312" customWidth="1"/>
    <col min="5376" max="5376" width="16.125" style="1312" bestFit="1" customWidth="1"/>
    <col min="5377" max="5377" width="13.875" style="1312" bestFit="1" customWidth="1"/>
    <col min="5378" max="5378" width="17.25" style="1312" bestFit="1" customWidth="1"/>
    <col min="5379" max="5380" width="20.5" style="1312" bestFit="1" customWidth="1"/>
    <col min="5381" max="5381" width="0" style="1312" hidden="1" customWidth="1"/>
    <col min="5382" max="5382" width="18.375" style="1312" bestFit="1" customWidth="1"/>
    <col min="5383" max="5384" width="0" style="1312" hidden="1" customWidth="1"/>
    <col min="5385" max="5628" width="9" style="1312"/>
    <col min="5629" max="5629" width="6.625" style="1312" customWidth="1"/>
    <col min="5630" max="5631" width="21.625" style="1312" customWidth="1"/>
    <col min="5632" max="5632" width="16.125" style="1312" bestFit="1" customWidth="1"/>
    <col min="5633" max="5633" width="13.875" style="1312" bestFit="1" customWidth="1"/>
    <col min="5634" max="5634" width="17.25" style="1312" bestFit="1" customWidth="1"/>
    <col min="5635" max="5636" width="20.5" style="1312" bestFit="1" customWidth="1"/>
    <col min="5637" max="5637" width="0" style="1312" hidden="1" customWidth="1"/>
    <col min="5638" max="5638" width="18.375" style="1312" bestFit="1" customWidth="1"/>
    <col min="5639" max="5640" width="0" style="1312" hidden="1" customWidth="1"/>
    <col min="5641" max="5884" width="9" style="1312"/>
    <col min="5885" max="5885" width="6.625" style="1312" customWidth="1"/>
    <col min="5886" max="5887" width="21.625" style="1312" customWidth="1"/>
    <col min="5888" max="5888" width="16.125" style="1312" bestFit="1" customWidth="1"/>
    <col min="5889" max="5889" width="13.875" style="1312" bestFit="1" customWidth="1"/>
    <col min="5890" max="5890" width="17.25" style="1312" bestFit="1" customWidth="1"/>
    <col min="5891" max="5892" width="20.5" style="1312" bestFit="1" customWidth="1"/>
    <col min="5893" max="5893" width="0" style="1312" hidden="1" customWidth="1"/>
    <col min="5894" max="5894" width="18.375" style="1312" bestFit="1" customWidth="1"/>
    <col min="5895" max="5896" width="0" style="1312" hidden="1" customWidth="1"/>
    <col min="5897" max="6140" width="9" style="1312"/>
    <col min="6141" max="6141" width="6.625" style="1312" customWidth="1"/>
    <col min="6142" max="6143" width="21.625" style="1312" customWidth="1"/>
    <col min="6144" max="6144" width="16.125" style="1312" bestFit="1" customWidth="1"/>
    <col min="6145" max="6145" width="13.875" style="1312" bestFit="1" customWidth="1"/>
    <col min="6146" max="6146" width="17.25" style="1312" bestFit="1" customWidth="1"/>
    <col min="6147" max="6148" width="20.5" style="1312" bestFit="1" customWidth="1"/>
    <col min="6149" max="6149" width="0" style="1312" hidden="1" customWidth="1"/>
    <col min="6150" max="6150" width="18.375" style="1312" bestFit="1" customWidth="1"/>
    <col min="6151" max="6152" width="0" style="1312" hidden="1" customWidth="1"/>
    <col min="6153" max="6396" width="9" style="1312"/>
    <col min="6397" max="6397" width="6.625" style="1312" customWidth="1"/>
    <col min="6398" max="6399" width="21.625" style="1312" customWidth="1"/>
    <col min="6400" max="6400" width="16.125" style="1312" bestFit="1" customWidth="1"/>
    <col min="6401" max="6401" width="13.875" style="1312" bestFit="1" customWidth="1"/>
    <col min="6402" max="6402" width="17.25" style="1312" bestFit="1" customWidth="1"/>
    <col min="6403" max="6404" width="20.5" style="1312" bestFit="1" customWidth="1"/>
    <col min="6405" max="6405" width="0" style="1312" hidden="1" customWidth="1"/>
    <col min="6406" max="6406" width="18.375" style="1312" bestFit="1" customWidth="1"/>
    <col min="6407" max="6408" width="0" style="1312" hidden="1" customWidth="1"/>
    <col min="6409" max="6652" width="9" style="1312"/>
    <col min="6653" max="6653" width="6.625" style="1312" customWidth="1"/>
    <col min="6654" max="6655" width="21.625" style="1312" customWidth="1"/>
    <col min="6656" max="6656" width="16.125" style="1312" bestFit="1" customWidth="1"/>
    <col min="6657" max="6657" width="13.875" style="1312" bestFit="1" customWidth="1"/>
    <col min="6658" max="6658" width="17.25" style="1312" bestFit="1" customWidth="1"/>
    <col min="6659" max="6660" width="20.5" style="1312" bestFit="1" customWidth="1"/>
    <col min="6661" max="6661" width="0" style="1312" hidden="1" customWidth="1"/>
    <col min="6662" max="6662" width="18.375" style="1312" bestFit="1" customWidth="1"/>
    <col min="6663" max="6664" width="0" style="1312" hidden="1" customWidth="1"/>
    <col min="6665" max="6908" width="9" style="1312"/>
    <col min="6909" max="6909" width="6.625" style="1312" customWidth="1"/>
    <col min="6910" max="6911" width="21.625" style="1312" customWidth="1"/>
    <col min="6912" max="6912" width="16.125" style="1312" bestFit="1" customWidth="1"/>
    <col min="6913" max="6913" width="13.875" style="1312" bestFit="1" customWidth="1"/>
    <col min="6914" max="6914" width="17.25" style="1312" bestFit="1" customWidth="1"/>
    <col min="6915" max="6916" width="20.5" style="1312" bestFit="1" customWidth="1"/>
    <col min="6917" max="6917" width="0" style="1312" hidden="1" customWidth="1"/>
    <col min="6918" max="6918" width="18.375" style="1312" bestFit="1" customWidth="1"/>
    <col min="6919" max="6920" width="0" style="1312" hidden="1" customWidth="1"/>
    <col min="6921" max="7164" width="9" style="1312"/>
    <col min="7165" max="7165" width="6.625" style="1312" customWidth="1"/>
    <col min="7166" max="7167" width="21.625" style="1312" customWidth="1"/>
    <col min="7168" max="7168" width="16.125" style="1312" bestFit="1" customWidth="1"/>
    <col min="7169" max="7169" width="13.875" style="1312" bestFit="1" customWidth="1"/>
    <col min="7170" max="7170" width="17.25" style="1312" bestFit="1" customWidth="1"/>
    <col min="7171" max="7172" width="20.5" style="1312" bestFit="1" customWidth="1"/>
    <col min="7173" max="7173" width="0" style="1312" hidden="1" customWidth="1"/>
    <col min="7174" max="7174" width="18.375" style="1312" bestFit="1" customWidth="1"/>
    <col min="7175" max="7176" width="0" style="1312" hidden="1" customWidth="1"/>
    <col min="7177" max="7420" width="9" style="1312"/>
    <col min="7421" max="7421" width="6.625" style="1312" customWidth="1"/>
    <col min="7422" max="7423" width="21.625" style="1312" customWidth="1"/>
    <col min="7424" max="7424" width="16.125" style="1312" bestFit="1" customWidth="1"/>
    <col min="7425" max="7425" width="13.875" style="1312" bestFit="1" customWidth="1"/>
    <col min="7426" max="7426" width="17.25" style="1312" bestFit="1" customWidth="1"/>
    <col min="7427" max="7428" width="20.5" style="1312" bestFit="1" customWidth="1"/>
    <col min="7429" max="7429" width="0" style="1312" hidden="1" customWidth="1"/>
    <col min="7430" max="7430" width="18.375" style="1312" bestFit="1" customWidth="1"/>
    <col min="7431" max="7432" width="0" style="1312" hidden="1" customWidth="1"/>
    <col min="7433" max="7676" width="9" style="1312"/>
    <col min="7677" max="7677" width="6.625" style="1312" customWidth="1"/>
    <col min="7678" max="7679" width="21.625" style="1312" customWidth="1"/>
    <col min="7680" max="7680" width="16.125" style="1312" bestFit="1" customWidth="1"/>
    <col min="7681" max="7681" width="13.875" style="1312" bestFit="1" customWidth="1"/>
    <col min="7682" max="7682" width="17.25" style="1312" bestFit="1" customWidth="1"/>
    <col min="7683" max="7684" width="20.5" style="1312" bestFit="1" customWidth="1"/>
    <col min="7685" max="7685" width="0" style="1312" hidden="1" customWidth="1"/>
    <col min="7686" max="7686" width="18.375" style="1312" bestFit="1" customWidth="1"/>
    <col min="7687" max="7688" width="0" style="1312" hidden="1" customWidth="1"/>
    <col min="7689" max="7932" width="9" style="1312"/>
    <col min="7933" max="7933" width="6.625" style="1312" customWidth="1"/>
    <col min="7934" max="7935" width="21.625" style="1312" customWidth="1"/>
    <col min="7936" max="7936" width="16.125" style="1312" bestFit="1" customWidth="1"/>
    <col min="7937" max="7937" width="13.875" style="1312" bestFit="1" customWidth="1"/>
    <col min="7938" max="7938" width="17.25" style="1312" bestFit="1" customWidth="1"/>
    <col min="7939" max="7940" width="20.5" style="1312" bestFit="1" customWidth="1"/>
    <col min="7941" max="7941" width="0" style="1312" hidden="1" customWidth="1"/>
    <col min="7942" max="7942" width="18.375" style="1312" bestFit="1" customWidth="1"/>
    <col min="7943" max="7944" width="0" style="1312" hidden="1" customWidth="1"/>
    <col min="7945" max="8188" width="9" style="1312"/>
    <col min="8189" max="8189" width="6.625" style="1312" customWidth="1"/>
    <col min="8190" max="8191" width="21.625" style="1312" customWidth="1"/>
    <col min="8192" max="8192" width="16.125" style="1312" bestFit="1" customWidth="1"/>
    <col min="8193" max="8193" width="13.875" style="1312" bestFit="1" customWidth="1"/>
    <col min="8194" max="8194" width="17.25" style="1312" bestFit="1" customWidth="1"/>
    <col min="8195" max="8196" width="20.5" style="1312" bestFit="1" customWidth="1"/>
    <col min="8197" max="8197" width="0" style="1312" hidden="1" customWidth="1"/>
    <col min="8198" max="8198" width="18.375" style="1312" bestFit="1" customWidth="1"/>
    <col min="8199" max="8200" width="0" style="1312" hidden="1" customWidth="1"/>
    <col min="8201" max="8444" width="9" style="1312"/>
    <col min="8445" max="8445" width="6.625" style="1312" customWidth="1"/>
    <col min="8446" max="8447" width="21.625" style="1312" customWidth="1"/>
    <col min="8448" max="8448" width="16.125" style="1312" bestFit="1" customWidth="1"/>
    <col min="8449" max="8449" width="13.875" style="1312" bestFit="1" customWidth="1"/>
    <col min="8450" max="8450" width="17.25" style="1312" bestFit="1" customWidth="1"/>
    <col min="8451" max="8452" width="20.5" style="1312" bestFit="1" customWidth="1"/>
    <col min="8453" max="8453" width="0" style="1312" hidden="1" customWidth="1"/>
    <col min="8454" max="8454" width="18.375" style="1312" bestFit="1" customWidth="1"/>
    <col min="8455" max="8456" width="0" style="1312" hidden="1" customWidth="1"/>
    <col min="8457" max="8700" width="9" style="1312"/>
    <col min="8701" max="8701" width="6.625" style="1312" customWidth="1"/>
    <col min="8702" max="8703" width="21.625" style="1312" customWidth="1"/>
    <col min="8704" max="8704" width="16.125" style="1312" bestFit="1" customWidth="1"/>
    <col min="8705" max="8705" width="13.875" style="1312" bestFit="1" customWidth="1"/>
    <col min="8706" max="8706" width="17.25" style="1312" bestFit="1" customWidth="1"/>
    <col min="8707" max="8708" width="20.5" style="1312" bestFit="1" customWidth="1"/>
    <col min="8709" max="8709" width="0" style="1312" hidden="1" customWidth="1"/>
    <col min="8710" max="8710" width="18.375" style="1312" bestFit="1" customWidth="1"/>
    <col min="8711" max="8712" width="0" style="1312" hidden="1" customWidth="1"/>
    <col min="8713" max="8956" width="9" style="1312"/>
    <col min="8957" max="8957" width="6.625" style="1312" customWidth="1"/>
    <col min="8958" max="8959" width="21.625" style="1312" customWidth="1"/>
    <col min="8960" max="8960" width="16.125" style="1312" bestFit="1" customWidth="1"/>
    <col min="8961" max="8961" width="13.875" style="1312" bestFit="1" customWidth="1"/>
    <col min="8962" max="8962" width="17.25" style="1312" bestFit="1" customWidth="1"/>
    <col min="8963" max="8964" width="20.5" style="1312" bestFit="1" customWidth="1"/>
    <col min="8965" max="8965" width="0" style="1312" hidden="1" customWidth="1"/>
    <col min="8966" max="8966" width="18.375" style="1312" bestFit="1" customWidth="1"/>
    <col min="8967" max="8968" width="0" style="1312" hidden="1" customWidth="1"/>
    <col min="8969" max="9212" width="9" style="1312"/>
    <col min="9213" max="9213" width="6.625" style="1312" customWidth="1"/>
    <col min="9214" max="9215" width="21.625" style="1312" customWidth="1"/>
    <col min="9216" max="9216" width="16.125" style="1312" bestFit="1" customWidth="1"/>
    <col min="9217" max="9217" width="13.875" style="1312" bestFit="1" customWidth="1"/>
    <col min="9218" max="9218" width="17.25" style="1312" bestFit="1" customWidth="1"/>
    <col min="9219" max="9220" width="20.5" style="1312" bestFit="1" customWidth="1"/>
    <col min="9221" max="9221" width="0" style="1312" hidden="1" customWidth="1"/>
    <col min="9222" max="9222" width="18.375" style="1312" bestFit="1" customWidth="1"/>
    <col min="9223" max="9224" width="0" style="1312" hidden="1" customWidth="1"/>
    <col min="9225" max="9468" width="9" style="1312"/>
    <col min="9469" max="9469" width="6.625" style="1312" customWidth="1"/>
    <col min="9470" max="9471" width="21.625" style="1312" customWidth="1"/>
    <col min="9472" max="9472" width="16.125" style="1312" bestFit="1" customWidth="1"/>
    <col min="9473" max="9473" width="13.875" style="1312" bestFit="1" customWidth="1"/>
    <col min="9474" max="9474" width="17.25" style="1312" bestFit="1" customWidth="1"/>
    <col min="9475" max="9476" width="20.5" style="1312" bestFit="1" customWidth="1"/>
    <col min="9477" max="9477" width="0" style="1312" hidden="1" customWidth="1"/>
    <col min="9478" max="9478" width="18.375" style="1312" bestFit="1" customWidth="1"/>
    <col min="9479" max="9480" width="0" style="1312" hidden="1" customWidth="1"/>
    <col min="9481" max="9724" width="9" style="1312"/>
    <col min="9725" max="9725" width="6.625" style="1312" customWidth="1"/>
    <col min="9726" max="9727" width="21.625" style="1312" customWidth="1"/>
    <col min="9728" max="9728" width="16.125" style="1312" bestFit="1" customWidth="1"/>
    <col min="9729" max="9729" width="13.875" style="1312" bestFit="1" customWidth="1"/>
    <col min="9730" max="9730" width="17.25" style="1312" bestFit="1" customWidth="1"/>
    <col min="9731" max="9732" width="20.5" style="1312" bestFit="1" customWidth="1"/>
    <col min="9733" max="9733" width="0" style="1312" hidden="1" customWidth="1"/>
    <col min="9734" max="9734" width="18.375" style="1312" bestFit="1" customWidth="1"/>
    <col min="9735" max="9736" width="0" style="1312" hidden="1" customWidth="1"/>
    <col min="9737" max="9980" width="9" style="1312"/>
    <col min="9981" max="9981" width="6.625" style="1312" customWidth="1"/>
    <col min="9982" max="9983" width="21.625" style="1312" customWidth="1"/>
    <col min="9984" max="9984" width="16.125" style="1312" bestFit="1" customWidth="1"/>
    <col min="9985" max="9985" width="13.875" style="1312" bestFit="1" customWidth="1"/>
    <col min="9986" max="9986" width="17.25" style="1312" bestFit="1" customWidth="1"/>
    <col min="9987" max="9988" width="20.5" style="1312" bestFit="1" customWidth="1"/>
    <col min="9989" max="9989" width="0" style="1312" hidden="1" customWidth="1"/>
    <col min="9990" max="9990" width="18.375" style="1312" bestFit="1" customWidth="1"/>
    <col min="9991" max="9992" width="0" style="1312" hidden="1" customWidth="1"/>
    <col min="9993" max="10236" width="9" style="1312"/>
    <col min="10237" max="10237" width="6.625" style="1312" customWidth="1"/>
    <col min="10238" max="10239" width="21.625" style="1312" customWidth="1"/>
    <col min="10240" max="10240" width="16.125" style="1312" bestFit="1" customWidth="1"/>
    <col min="10241" max="10241" width="13.875" style="1312" bestFit="1" customWidth="1"/>
    <col min="10242" max="10242" width="17.25" style="1312" bestFit="1" customWidth="1"/>
    <col min="10243" max="10244" width="20.5" style="1312" bestFit="1" customWidth="1"/>
    <col min="10245" max="10245" width="0" style="1312" hidden="1" customWidth="1"/>
    <col min="10246" max="10246" width="18.375" style="1312" bestFit="1" customWidth="1"/>
    <col min="10247" max="10248" width="0" style="1312" hidden="1" customWidth="1"/>
    <col min="10249" max="10492" width="9" style="1312"/>
    <col min="10493" max="10493" width="6.625" style="1312" customWidth="1"/>
    <col min="10494" max="10495" width="21.625" style="1312" customWidth="1"/>
    <col min="10496" max="10496" width="16.125" style="1312" bestFit="1" customWidth="1"/>
    <col min="10497" max="10497" width="13.875" style="1312" bestFit="1" customWidth="1"/>
    <col min="10498" max="10498" width="17.25" style="1312" bestFit="1" customWidth="1"/>
    <col min="10499" max="10500" width="20.5" style="1312" bestFit="1" customWidth="1"/>
    <col min="10501" max="10501" width="0" style="1312" hidden="1" customWidth="1"/>
    <col min="10502" max="10502" width="18.375" style="1312" bestFit="1" customWidth="1"/>
    <col min="10503" max="10504" width="0" style="1312" hidden="1" customWidth="1"/>
    <col min="10505" max="10748" width="9" style="1312"/>
    <col min="10749" max="10749" width="6.625" style="1312" customWidth="1"/>
    <col min="10750" max="10751" width="21.625" style="1312" customWidth="1"/>
    <col min="10752" max="10752" width="16.125" style="1312" bestFit="1" customWidth="1"/>
    <col min="10753" max="10753" width="13.875" style="1312" bestFit="1" customWidth="1"/>
    <col min="10754" max="10754" width="17.25" style="1312" bestFit="1" customWidth="1"/>
    <col min="10755" max="10756" width="20.5" style="1312" bestFit="1" customWidth="1"/>
    <col min="10757" max="10757" width="0" style="1312" hidden="1" customWidth="1"/>
    <col min="10758" max="10758" width="18.375" style="1312" bestFit="1" customWidth="1"/>
    <col min="10759" max="10760" width="0" style="1312" hidden="1" customWidth="1"/>
    <col min="10761" max="11004" width="9" style="1312"/>
    <col min="11005" max="11005" width="6.625" style="1312" customWidth="1"/>
    <col min="11006" max="11007" width="21.625" style="1312" customWidth="1"/>
    <col min="11008" max="11008" width="16.125" style="1312" bestFit="1" customWidth="1"/>
    <col min="11009" max="11009" width="13.875" style="1312" bestFit="1" customWidth="1"/>
    <col min="11010" max="11010" width="17.25" style="1312" bestFit="1" customWidth="1"/>
    <col min="11011" max="11012" width="20.5" style="1312" bestFit="1" customWidth="1"/>
    <col min="11013" max="11013" width="0" style="1312" hidden="1" customWidth="1"/>
    <col min="11014" max="11014" width="18.375" style="1312" bestFit="1" customWidth="1"/>
    <col min="11015" max="11016" width="0" style="1312" hidden="1" customWidth="1"/>
    <col min="11017" max="11260" width="9" style="1312"/>
    <col min="11261" max="11261" width="6.625" style="1312" customWidth="1"/>
    <col min="11262" max="11263" width="21.625" style="1312" customWidth="1"/>
    <col min="11264" max="11264" width="16.125" style="1312" bestFit="1" customWidth="1"/>
    <col min="11265" max="11265" width="13.875" style="1312" bestFit="1" customWidth="1"/>
    <col min="11266" max="11266" width="17.25" style="1312" bestFit="1" customWidth="1"/>
    <col min="11267" max="11268" width="20.5" style="1312" bestFit="1" customWidth="1"/>
    <col min="11269" max="11269" width="0" style="1312" hidden="1" customWidth="1"/>
    <col min="11270" max="11270" width="18.375" style="1312" bestFit="1" customWidth="1"/>
    <col min="11271" max="11272" width="0" style="1312" hidden="1" customWidth="1"/>
    <col min="11273" max="11516" width="9" style="1312"/>
    <col min="11517" max="11517" width="6.625" style="1312" customWidth="1"/>
    <col min="11518" max="11519" width="21.625" style="1312" customWidth="1"/>
    <col min="11520" max="11520" width="16.125" style="1312" bestFit="1" customWidth="1"/>
    <col min="11521" max="11521" width="13.875" style="1312" bestFit="1" customWidth="1"/>
    <col min="11522" max="11522" width="17.25" style="1312" bestFit="1" customWidth="1"/>
    <col min="11523" max="11524" width="20.5" style="1312" bestFit="1" customWidth="1"/>
    <col min="11525" max="11525" width="0" style="1312" hidden="1" customWidth="1"/>
    <col min="11526" max="11526" width="18.375" style="1312" bestFit="1" customWidth="1"/>
    <col min="11527" max="11528" width="0" style="1312" hidden="1" customWidth="1"/>
    <col min="11529" max="11772" width="9" style="1312"/>
    <col min="11773" max="11773" width="6.625" style="1312" customWidth="1"/>
    <col min="11774" max="11775" width="21.625" style="1312" customWidth="1"/>
    <col min="11776" max="11776" width="16.125" style="1312" bestFit="1" customWidth="1"/>
    <col min="11777" max="11777" width="13.875" style="1312" bestFit="1" customWidth="1"/>
    <col min="11778" max="11778" width="17.25" style="1312" bestFit="1" customWidth="1"/>
    <col min="11779" max="11780" width="20.5" style="1312" bestFit="1" customWidth="1"/>
    <col min="11781" max="11781" width="0" style="1312" hidden="1" customWidth="1"/>
    <col min="11782" max="11782" width="18.375" style="1312" bestFit="1" customWidth="1"/>
    <col min="11783" max="11784" width="0" style="1312" hidden="1" customWidth="1"/>
    <col min="11785" max="12028" width="9" style="1312"/>
    <col min="12029" max="12029" width="6.625" style="1312" customWidth="1"/>
    <col min="12030" max="12031" width="21.625" style="1312" customWidth="1"/>
    <col min="12032" max="12032" width="16.125" style="1312" bestFit="1" customWidth="1"/>
    <col min="12033" max="12033" width="13.875" style="1312" bestFit="1" customWidth="1"/>
    <col min="12034" max="12034" width="17.25" style="1312" bestFit="1" customWidth="1"/>
    <col min="12035" max="12036" width="20.5" style="1312" bestFit="1" customWidth="1"/>
    <col min="12037" max="12037" width="0" style="1312" hidden="1" customWidth="1"/>
    <col min="12038" max="12038" width="18.375" style="1312" bestFit="1" customWidth="1"/>
    <col min="12039" max="12040" width="0" style="1312" hidden="1" customWidth="1"/>
    <col min="12041" max="12284" width="9" style="1312"/>
    <col min="12285" max="12285" width="6.625" style="1312" customWidth="1"/>
    <col min="12286" max="12287" width="21.625" style="1312" customWidth="1"/>
    <col min="12288" max="12288" width="16.125" style="1312" bestFit="1" customWidth="1"/>
    <col min="12289" max="12289" width="13.875" style="1312" bestFit="1" customWidth="1"/>
    <col min="12290" max="12290" width="17.25" style="1312" bestFit="1" customWidth="1"/>
    <col min="12291" max="12292" width="20.5" style="1312" bestFit="1" customWidth="1"/>
    <col min="12293" max="12293" width="0" style="1312" hidden="1" customWidth="1"/>
    <col min="12294" max="12294" width="18.375" style="1312" bestFit="1" customWidth="1"/>
    <col min="12295" max="12296" width="0" style="1312" hidden="1" customWidth="1"/>
    <col min="12297" max="12540" width="9" style="1312"/>
    <col min="12541" max="12541" width="6.625" style="1312" customWidth="1"/>
    <col min="12542" max="12543" width="21.625" style="1312" customWidth="1"/>
    <col min="12544" max="12544" width="16.125" style="1312" bestFit="1" customWidth="1"/>
    <col min="12545" max="12545" width="13.875" style="1312" bestFit="1" customWidth="1"/>
    <col min="12546" max="12546" width="17.25" style="1312" bestFit="1" customWidth="1"/>
    <col min="12547" max="12548" width="20.5" style="1312" bestFit="1" customWidth="1"/>
    <col min="12549" max="12549" width="0" style="1312" hidden="1" customWidth="1"/>
    <col min="12550" max="12550" width="18.375" style="1312" bestFit="1" customWidth="1"/>
    <col min="12551" max="12552" width="0" style="1312" hidden="1" customWidth="1"/>
    <col min="12553" max="12796" width="9" style="1312"/>
    <col min="12797" max="12797" width="6.625" style="1312" customWidth="1"/>
    <col min="12798" max="12799" width="21.625" style="1312" customWidth="1"/>
    <col min="12800" max="12800" width="16.125" style="1312" bestFit="1" customWidth="1"/>
    <col min="12801" max="12801" width="13.875" style="1312" bestFit="1" customWidth="1"/>
    <col min="12802" max="12802" width="17.25" style="1312" bestFit="1" customWidth="1"/>
    <col min="12803" max="12804" width="20.5" style="1312" bestFit="1" customWidth="1"/>
    <col min="12805" max="12805" width="0" style="1312" hidden="1" customWidth="1"/>
    <col min="12806" max="12806" width="18.375" style="1312" bestFit="1" customWidth="1"/>
    <col min="12807" max="12808" width="0" style="1312" hidden="1" customWidth="1"/>
    <col min="12809" max="13052" width="9" style="1312"/>
    <col min="13053" max="13053" width="6.625" style="1312" customWidth="1"/>
    <col min="13054" max="13055" width="21.625" style="1312" customWidth="1"/>
    <col min="13056" max="13056" width="16.125" style="1312" bestFit="1" customWidth="1"/>
    <col min="13057" max="13057" width="13.875" style="1312" bestFit="1" customWidth="1"/>
    <col min="13058" max="13058" width="17.25" style="1312" bestFit="1" customWidth="1"/>
    <col min="13059" max="13060" width="20.5" style="1312" bestFit="1" customWidth="1"/>
    <col min="13061" max="13061" width="0" style="1312" hidden="1" customWidth="1"/>
    <col min="13062" max="13062" width="18.375" style="1312" bestFit="1" customWidth="1"/>
    <col min="13063" max="13064" width="0" style="1312" hidden="1" customWidth="1"/>
    <col min="13065" max="13308" width="9" style="1312"/>
    <col min="13309" max="13309" width="6.625" style="1312" customWidth="1"/>
    <col min="13310" max="13311" width="21.625" style="1312" customWidth="1"/>
    <col min="13312" max="13312" width="16.125" style="1312" bestFit="1" customWidth="1"/>
    <col min="13313" max="13313" width="13.875" style="1312" bestFit="1" customWidth="1"/>
    <col min="13314" max="13314" width="17.25" style="1312" bestFit="1" customWidth="1"/>
    <col min="13315" max="13316" width="20.5" style="1312" bestFit="1" customWidth="1"/>
    <col min="13317" max="13317" width="0" style="1312" hidden="1" customWidth="1"/>
    <col min="13318" max="13318" width="18.375" style="1312" bestFit="1" customWidth="1"/>
    <col min="13319" max="13320" width="0" style="1312" hidden="1" customWidth="1"/>
    <col min="13321" max="13564" width="9" style="1312"/>
    <col min="13565" max="13565" width="6.625" style="1312" customWidth="1"/>
    <col min="13566" max="13567" width="21.625" style="1312" customWidth="1"/>
    <col min="13568" max="13568" width="16.125" style="1312" bestFit="1" customWidth="1"/>
    <col min="13569" max="13569" width="13.875" style="1312" bestFit="1" customWidth="1"/>
    <col min="13570" max="13570" width="17.25" style="1312" bestFit="1" customWidth="1"/>
    <col min="13571" max="13572" width="20.5" style="1312" bestFit="1" customWidth="1"/>
    <col min="13573" max="13573" width="0" style="1312" hidden="1" customWidth="1"/>
    <col min="13574" max="13574" width="18.375" style="1312" bestFit="1" customWidth="1"/>
    <col min="13575" max="13576" width="0" style="1312" hidden="1" customWidth="1"/>
    <col min="13577" max="13820" width="9" style="1312"/>
    <col min="13821" max="13821" width="6.625" style="1312" customWidth="1"/>
    <col min="13822" max="13823" width="21.625" style="1312" customWidth="1"/>
    <col min="13824" max="13824" width="16.125" style="1312" bestFit="1" customWidth="1"/>
    <col min="13825" max="13825" width="13.875" style="1312" bestFit="1" customWidth="1"/>
    <col min="13826" max="13826" width="17.25" style="1312" bestFit="1" customWidth="1"/>
    <col min="13827" max="13828" width="20.5" style="1312" bestFit="1" customWidth="1"/>
    <col min="13829" max="13829" width="0" style="1312" hidden="1" customWidth="1"/>
    <col min="13830" max="13830" width="18.375" style="1312" bestFit="1" customWidth="1"/>
    <col min="13831" max="13832" width="0" style="1312" hidden="1" customWidth="1"/>
    <col min="13833" max="14076" width="9" style="1312"/>
    <col min="14077" max="14077" width="6.625" style="1312" customWidth="1"/>
    <col min="14078" max="14079" width="21.625" style="1312" customWidth="1"/>
    <col min="14080" max="14080" width="16.125" style="1312" bestFit="1" customWidth="1"/>
    <col min="14081" max="14081" width="13.875" style="1312" bestFit="1" customWidth="1"/>
    <col min="14082" max="14082" width="17.25" style="1312" bestFit="1" customWidth="1"/>
    <col min="14083" max="14084" width="20.5" style="1312" bestFit="1" customWidth="1"/>
    <col min="14085" max="14085" width="0" style="1312" hidden="1" customWidth="1"/>
    <col min="14086" max="14086" width="18.375" style="1312" bestFit="1" customWidth="1"/>
    <col min="14087" max="14088" width="0" style="1312" hidden="1" customWidth="1"/>
    <col min="14089" max="14332" width="9" style="1312"/>
    <col min="14333" max="14333" width="6.625" style="1312" customWidth="1"/>
    <col min="14334" max="14335" width="21.625" style="1312" customWidth="1"/>
    <col min="14336" max="14336" width="16.125" style="1312" bestFit="1" customWidth="1"/>
    <col min="14337" max="14337" width="13.875" style="1312" bestFit="1" customWidth="1"/>
    <col min="14338" max="14338" width="17.25" style="1312" bestFit="1" customWidth="1"/>
    <col min="14339" max="14340" width="20.5" style="1312" bestFit="1" customWidth="1"/>
    <col min="14341" max="14341" width="0" style="1312" hidden="1" customWidth="1"/>
    <col min="14342" max="14342" width="18.375" style="1312" bestFit="1" customWidth="1"/>
    <col min="14343" max="14344" width="0" style="1312" hidden="1" customWidth="1"/>
    <col min="14345" max="14588" width="9" style="1312"/>
    <col min="14589" max="14589" width="6.625" style="1312" customWidth="1"/>
    <col min="14590" max="14591" width="21.625" style="1312" customWidth="1"/>
    <col min="14592" max="14592" width="16.125" style="1312" bestFit="1" customWidth="1"/>
    <col min="14593" max="14593" width="13.875" style="1312" bestFit="1" customWidth="1"/>
    <col min="14594" max="14594" width="17.25" style="1312" bestFit="1" customWidth="1"/>
    <col min="14595" max="14596" width="20.5" style="1312" bestFit="1" customWidth="1"/>
    <col min="14597" max="14597" width="0" style="1312" hidden="1" customWidth="1"/>
    <col min="14598" max="14598" width="18.375" style="1312" bestFit="1" customWidth="1"/>
    <col min="14599" max="14600" width="0" style="1312" hidden="1" customWidth="1"/>
    <col min="14601" max="14844" width="9" style="1312"/>
    <col min="14845" max="14845" width="6.625" style="1312" customWidth="1"/>
    <col min="14846" max="14847" width="21.625" style="1312" customWidth="1"/>
    <col min="14848" max="14848" width="16.125" style="1312" bestFit="1" customWidth="1"/>
    <col min="14849" max="14849" width="13.875" style="1312" bestFit="1" customWidth="1"/>
    <col min="14850" max="14850" width="17.25" style="1312" bestFit="1" customWidth="1"/>
    <col min="14851" max="14852" width="20.5" style="1312" bestFit="1" customWidth="1"/>
    <col min="14853" max="14853" width="0" style="1312" hidden="1" customWidth="1"/>
    <col min="14854" max="14854" width="18.375" style="1312" bestFit="1" customWidth="1"/>
    <col min="14855" max="14856" width="0" style="1312" hidden="1" customWidth="1"/>
    <col min="14857" max="15100" width="9" style="1312"/>
    <col min="15101" max="15101" width="6.625" style="1312" customWidth="1"/>
    <col min="15102" max="15103" width="21.625" style="1312" customWidth="1"/>
    <col min="15104" max="15104" width="16.125" style="1312" bestFit="1" customWidth="1"/>
    <col min="15105" max="15105" width="13.875" style="1312" bestFit="1" customWidth="1"/>
    <col min="15106" max="15106" width="17.25" style="1312" bestFit="1" customWidth="1"/>
    <col min="15107" max="15108" width="20.5" style="1312" bestFit="1" customWidth="1"/>
    <col min="15109" max="15109" width="0" style="1312" hidden="1" customWidth="1"/>
    <col min="15110" max="15110" width="18.375" style="1312" bestFit="1" customWidth="1"/>
    <col min="15111" max="15112" width="0" style="1312" hidden="1" customWidth="1"/>
    <col min="15113" max="15356" width="9" style="1312"/>
    <col min="15357" max="15357" width="6.625" style="1312" customWidth="1"/>
    <col min="15358" max="15359" width="21.625" style="1312" customWidth="1"/>
    <col min="15360" max="15360" width="16.125" style="1312" bestFit="1" customWidth="1"/>
    <col min="15361" max="15361" width="13.875" style="1312" bestFit="1" customWidth="1"/>
    <col min="15362" max="15362" width="17.25" style="1312" bestFit="1" customWidth="1"/>
    <col min="15363" max="15364" width="20.5" style="1312" bestFit="1" customWidth="1"/>
    <col min="15365" max="15365" width="0" style="1312" hidden="1" customWidth="1"/>
    <col min="15366" max="15366" width="18.375" style="1312" bestFit="1" customWidth="1"/>
    <col min="15367" max="15368" width="0" style="1312" hidden="1" customWidth="1"/>
    <col min="15369" max="15612" width="9" style="1312"/>
    <col min="15613" max="15613" width="6.625" style="1312" customWidth="1"/>
    <col min="15614" max="15615" width="21.625" style="1312" customWidth="1"/>
    <col min="15616" max="15616" width="16.125" style="1312" bestFit="1" customWidth="1"/>
    <col min="15617" max="15617" width="13.875" style="1312" bestFit="1" customWidth="1"/>
    <col min="15618" max="15618" width="17.25" style="1312" bestFit="1" customWidth="1"/>
    <col min="15619" max="15620" width="20.5" style="1312" bestFit="1" customWidth="1"/>
    <col min="15621" max="15621" width="0" style="1312" hidden="1" customWidth="1"/>
    <col min="15622" max="15622" width="18.375" style="1312" bestFit="1" customWidth="1"/>
    <col min="15623" max="15624" width="0" style="1312" hidden="1" customWidth="1"/>
    <col min="15625" max="15868" width="9" style="1312"/>
    <col min="15869" max="15869" width="6.625" style="1312" customWidth="1"/>
    <col min="15870" max="15871" width="21.625" style="1312" customWidth="1"/>
    <col min="15872" max="15872" width="16.125" style="1312" bestFit="1" customWidth="1"/>
    <col min="15873" max="15873" width="13.875" style="1312" bestFit="1" customWidth="1"/>
    <col min="15874" max="15874" width="17.25" style="1312" bestFit="1" customWidth="1"/>
    <col min="15875" max="15876" width="20.5" style="1312" bestFit="1" customWidth="1"/>
    <col min="15877" max="15877" width="0" style="1312" hidden="1" customWidth="1"/>
    <col min="15878" max="15878" width="18.375" style="1312" bestFit="1" customWidth="1"/>
    <col min="15879" max="15880" width="0" style="1312" hidden="1" customWidth="1"/>
    <col min="15881" max="16124" width="9" style="1312"/>
    <col min="16125" max="16125" width="6.625" style="1312" customWidth="1"/>
    <col min="16126" max="16127" width="21.625" style="1312" customWidth="1"/>
    <col min="16128" max="16128" width="16.125" style="1312" bestFit="1" customWidth="1"/>
    <col min="16129" max="16129" width="13.875" style="1312" bestFit="1" customWidth="1"/>
    <col min="16130" max="16130" width="17.25" style="1312" bestFit="1" customWidth="1"/>
    <col min="16131" max="16132" width="20.5" style="1312" bestFit="1" customWidth="1"/>
    <col min="16133" max="16133" width="0" style="1312" hidden="1" customWidth="1"/>
    <col min="16134" max="16134" width="18.375" style="1312" bestFit="1" customWidth="1"/>
    <col min="16135" max="16136" width="0" style="1312" hidden="1" customWidth="1"/>
    <col min="16137" max="16384" width="9" style="1312"/>
  </cols>
  <sheetData>
    <row r="1" spans="1:3" ht="20.25">
      <c r="A1" s="1328" t="s">
        <v>3575</v>
      </c>
      <c r="B1" s="1329"/>
      <c r="C1" s="1329"/>
    </row>
    <row r="2" spans="1:3" ht="35.1" customHeight="1">
      <c r="A2" s="1330" t="s">
        <v>3573</v>
      </c>
      <c r="B2" s="1331"/>
      <c r="C2" s="1318" t="s">
        <v>3574</v>
      </c>
    </row>
    <row r="3" spans="1:3" ht="30" customHeight="1">
      <c r="A3" s="1314" t="s">
        <v>2559</v>
      </c>
      <c r="B3" s="1314" t="s">
        <v>3571</v>
      </c>
      <c r="C3" s="1315" t="s">
        <v>3592</v>
      </c>
    </row>
    <row r="4" spans="1:3" ht="30" customHeight="1">
      <c r="A4" s="1314">
        <v>1</v>
      </c>
      <c r="B4" s="1314" t="s">
        <v>3572</v>
      </c>
      <c r="C4" s="1316">
        <f>'2021年绩效清算'!J23</f>
        <v>7390808.9999999879</v>
      </c>
    </row>
    <row r="5" spans="1:3" ht="30" customHeight="1">
      <c r="A5" s="1314"/>
      <c r="B5" s="1314" t="s">
        <v>1738</v>
      </c>
      <c r="C5" s="1317">
        <f>SUM(C4:C4)</f>
        <v>7390808.9999999879</v>
      </c>
    </row>
    <row r="6" spans="1:3" ht="30" customHeight="1"/>
    <row r="7" spans="1:3" ht="30" customHeight="1"/>
  </sheetData>
  <mergeCells count="2">
    <mergeCell ref="A1:C1"/>
    <mergeCell ref="A2:B2"/>
  </mergeCells>
  <phoneticPr fontId="1" type="noConversion"/>
  <printOptions horizontalCentered="1"/>
  <pageMargins left="0.70866141732283472" right="0.70866141732283472" top="1.3385826771653544"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2"/>
  <sheetViews>
    <sheetView topLeftCell="H1" workbookViewId="0">
      <selection activeCell="V3" sqref="V3:V109"/>
    </sheetView>
  </sheetViews>
  <sheetFormatPr defaultColWidth="15.625" defaultRowHeight="15.75"/>
  <cols>
    <col min="1" max="1" width="4.625" style="30" customWidth="1"/>
    <col min="2" max="2" width="34.125" style="30" customWidth="1"/>
    <col min="3" max="3" width="12.375" style="30" hidden="1" customWidth="1"/>
    <col min="4" max="4" width="23.875" style="58" hidden="1" customWidth="1"/>
    <col min="5" max="5" width="10.75" style="141" bestFit="1" customWidth="1"/>
    <col min="6" max="6" width="10.75" style="141" customWidth="1"/>
    <col min="7" max="7" width="11" style="141" customWidth="1"/>
    <col min="8" max="8" width="9.875" style="30" customWidth="1"/>
    <col min="9" max="9" width="10.75" style="30" customWidth="1"/>
    <col min="10" max="11" width="10.75" style="141" customWidth="1"/>
    <col min="12" max="12" width="10.75" style="30" customWidth="1"/>
    <col min="13" max="13" width="10.75" style="141" bestFit="1" customWidth="1"/>
    <col min="14" max="14" width="10.75" style="30" bestFit="1" customWidth="1"/>
    <col min="15" max="15" width="10.5" style="141" bestFit="1" customWidth="1"/>
    <col min="16" max="16" width="10.75" style="30" bestFit="1" customWidth="1"/>
    <col min="17" max="17" width="10.75" style="141" customWidth="1"/>
    <col min="18" max="18" width="11.5" style="30" bestFit="1" customWidth="1"/>
    <col min="19" max="19" width="10.75" style="30" bestFit="1" customWidth="1"/>
    <col min="20" max="20" width="9.875" style="30" bestFit="1" customWidth="1"/>
    <col min="21" max="21" width="13.375" style="30" bestFit="1" customWidth="1"/>
    <col min="22" max="256" width="15.625" style="30"/>
    <col min="257" max="257" width="4.625" style="30" customWidth="1"/>
    <col min="258" max="258" width="34.125" style="30" customWidth="1"/>
    <col min="259" max="260" width="0" style="30" hidden="1" customWidth="1"/>
    <col min="261" max="261" width="10.75" style="30" bestFit="1" customWidth="1"/>
    <col min="262" max="262" width="10.75" style="30" customWidth="1"/>
    <col min="263" max="263" width="11" style="30" customWidth="1"/>
    <col min="264" max="264" width="9.875" style="30" customWidth="1"/>
    <col min="265" max="268" width="10.75" style="30" customWidth="1"/>
    <col min="269" max="270" width="10.75" style="30" bestFit="1" customWidth="1"/>
    <col min="271" max="271" width="10.5" style="30" bestFit="1" customWidth="1"/>
    <col min="272" max="272" width="10.75" style="30" bestFit="1" customWidth="1"/>
    <col min="273" max="273" width="10.75" style="30" customWidth="1"/>
    <col min="274" max="274" width="11.5" style="30" bestFit="1" customWidth="1"/>
    <col min="275" max="275" width="10.75" style="30" bestFit="1" customWidth="1"/>
    <col min="276" max="276" width="9.875" style="30" bestFit="1" customWidth="1"/>
    <col min="277" max="277" width="13.375" style="30" bestFit="1" customWidth="1"/>
    <col min="278" max="512" width="15.625" style="30"/>
    <col min="513" max="513" width="4.625" style="30" customWidth="1"/>
    <col min="514" max="514" width="34.125" style="30" customWidth="1"/>
    <col min="515" max="516" width="0" style="30" hidden="1" customWidth="1"/>
    <col min="517" max="517" width="10.75" style="30" bestFit="1" customWidth="1"/>
    <col min="518" max="518" width="10.75" style="30" customWidth="1"/>
    <col min="519" max="519" width="11" style="30" customWidth="1"/>
    <col min="520" max="520" width="9.875" style="30" customWidth="1"/>
    <col min="521" max="524" width="10.75" style="30" customWidth="1"/>
    <col min="525" max="526" width="10.75" style="30" bestFit="1" customWidth="1"/>
    <col min="527" max="527" width="10.5" style="30" bestFit="1" customWidth="1"/>
    <col min="528" max="528" width="10.75" style="30" bestFit="1" customWidth="1"/>
    <col min="529" max="529" width="10.75" style="30" customWidth="1"/>
    <col min="530" max="530" width="11.5" style="30" bestFit="1" customWidth="1"/>
    <col min="531" max="531" width="10.75" style="30" bestFit="1" customWidth="1"/>
    <col min="532" max="532" width="9.875" style="30" bestFit="1" customWidth="1"/>
    <col min="533" max="533" width="13.375" style="30" bestFit="1" customWidth="1"/>
    <col min="534" max="768" width="15.625" style="30"/>
    <col min="769" max="769" width="4.625" style="30" customWidth="1"/>
    <col min="770" max="770" width="34.125" style="30" customWidth="1"/>
    <col min="771" max="772" width="0" style="30" hidden="1" customWidth="1"/>
    <col min="773" max="773" width="10.75" style="30" bestFit="1" customWidth="1"/>
    <col min="774" max="774" width="10.75" style="30" customWidth="1"/>
    <col min="775" max="775" width="11" style="30" customWidth="1"/>
    <col min="776" max="776" width="9.875" style="30" customWidth="1"/>
    <col min="777" max="780" width="10.75" style="30" customWidth="1"/>
    <col min="781" max="782" width="10.75" style="30" bestFit="1" customWidth="1"/>
    <col min="783" max="783" width="10.5" style="30" bestFit="1" customWidth="1"/>
    <col min="784" max="784" width="10.75" style="30" bestFit="1" customWidth="1"/>
    <col min="785" max="785" width="10.75" style="30" customWidth="1"/>
    <col min="786" max="786" width="11.5" style="30" bestFit="1" customWidth="1"/>
    <col min="787" max="787" width="10.75" style="30" bestFit="1" customWidth="1"/>
    <col min="788" max="788" width="9.875" style="30" bestFit="1" customWidth="1"/>
    <col min="789" max="789" width="13.375" style="30" bestFit="1" customWidth="1"/>
    <col min="790" max="1024" width="15.625" style="30"/>
    <col min="1025" max="1025" width="4.625" style="30" customWidth="1"/>
    <col min="1026" max="1026" width="34.125" style="30" customWidth="1"/>
    <col min="1027" max="1028" width="0" style="30" hidden="1" customWidth="1"/>
    <col min="1029" max="1029" width="10.75" style="30" bestFit="1" customWidth="1"/>
    <col min="1030" max="1030" width="10.75" style="30" customWidth="1"/>
    <col min="1031" max="1031" width="11" style="30" customWidth="1"/>
    <col min="1032" max="1032" width="9.875" style="30" customWidth="1"/>
    <col min="1033" max="1036" width="10.75" style="30" customWidth="1"/>
    <col min="1037" max="1038" width="10.75" style="30" bestFit="1" customWidth="1"/>
    <col min="1039" max="1039" width="10.5" style="30" bestFit="1" customWidth="1"/>
    <col min="1040" max="1040" width="10.75" style="30" bestFit="1" customWidth="1"/>
    <col min="1041" max="1041" width="10.75" style="30" customWidth="1"/>
    <col min="1042" max="1042" width="11.5" style="30" bestFit="1" customWidth="1"/>
    <col min="1043" max="1043" width="10.75" style="30" bestFit="1" customWidth="1"/>
    <col min="1044" max="1044" width="9.875" style="30" bestFit="1" customWidth="1"/>
    <col min="1045" max="1045" width="13.375" style="30" bestFit="1" customWidth="1"/>
    <col min="1046" max="1280" width="15.625" style="30"/>
    <col min="1281" max="1281" width="4.625" style="30" customWidth="1"/>
    <col min="1282" max="1282" width="34.125" style="30" customWidth="1"/>
    <col min="1283" max="1284" width="0" style="30" hidden="1" customWidth="1"/>
    <col min="1285" max="1285" width="10.75" style="30" bestFit="1" customWidth="1"/>
    <col min="1286" max="1286" width="10.75" style="30" customWidth="1"/>
    <col min="1287" max="1287" width="11" style="30" customWidth="1"/>
    <col min="1288" max="1288" width="9.875" style="30" customWidth="1"/>
    <col min="1289" max="1292" width="10.75" style="30" customWidth="1"/>
    <col min="1293" max="1294" width="10.75" style="30" bestFit="1" customWidth="1"/>
    <col min="1295" max="1295" width="10.5" style="30" bestFit="1" customWidth="1"/>
    <col min="1296" max="1296" width="10.75" style="30" bestFit="1" customWidth="1"/>
    <col min="1297" max="1297" width="10.75" style="30" customWidth="1"/>
    <col min="1298" max="1298" width="11.5" style="30" bestFit="1" customWidth="1"/>
    <col min="1299" max="1299" width="10.75" style="30" bestFit="1" customWidth="1"/>
    <col min="1300" max="1300" width="9.875" style="30" bestFit="1" customWidth="1"/>
    <col min="1301" max="1301" width="13.375" style="30" bestFit="1" customWidth="1"/>
    <col min="1302" max="1536" width="15.625" style="30"/>
    <col min="1537" max="1537" width="4.625" style="30" customWidth="1"/>
    <col min="1538" max="1538" width="34.125" style="30" customWidth="1"/>
    <col min="1539" max="1540" width="0" style="30" hidden="1" customWidth="1"/>
    <col min="1541" max="1541" width="10.75" style="30" bestFit="1" customWidth="1"/>
    <col min="1542" max="1542" width="10.75" style="30" customWidth="1"/>
    <col min="1543" max="1543" width="11" style="30" customWidth="1"/>
    <col min="1544" max="1544" width="9.875" style="30" customWidth="1"/>
    <col min="1545" max="1548" width="10.75" style="30" customWidth="1"/>
    <col min="1549" max="1550" width="10.75" style="30" bestFit="1" customWidth="1"/>
    <col min="1551" max="1551" width="10.5" style="30" bestFit="1" customWidth="1"/>
    <col min="1552" max="1552" width="10.75" style="30" bestFit="1" customWidth="1"/>
    <col min="1553" max="1553" width="10.75" style="30" customWidth="1"/>
    <col min="1554" max="1554" width="11.5" style="30" bestFit="1" customWidth="1"/>
    <col min="1555" max="1555" width="10.75" style="30" bestFit="1" customWidth="1"/>
    <col min="1556" max="1556" width="9.875" style="30" bestFit="1" customWidth="1"/>
    <col min="1557" max="1557" width="13.375" style="30" bestFit="1" customWidth="1"/>
    <col min="1558" max="1792" width="15.625" style="30"/>
    <col min="1793" max="1793" width="4.625" style="30" customWidth="1"/>
    <col min="1794" max="1794" width="34.125" style="30" customWidth="1"/>
    <col min="1795" max="1796" width="0" style="30" hidden="1" customWidth="1"/>
    <col min="1797" max="1797" width="10.75" style="30" bestFit="1" customWidth="1"/>
    <col min="1798" max="1798" width="10.75" style="30" customWidth="1"/>
    <col min="1799" max="1799" width="11" style="30" customWidth="1"/>
    <col min="1800" max="1800" width="9.875" style="30" customWidth="1"/>
    <col min="1801" max="1804" width="10.75" style="30" customWidth="1"/>
    <col min="1805" max="1806" width="10.75" style="30" bestFit="1" customWidth="1"/>
    <col min="1807" max="1807" width="10.5" style="30" bestFit="1" customWidth="1"/>
    <col min="1808" max="1808" width="10.75" style="30" bestFit="1" customWidth="1"/>
    <col min="1809" max="1809" width="10.75" style="30" customWidth="1"/>
    <col min="1810" max="1810" width="11.5" style="30" bestFit="1" customWidth="1"/>
    <col min="1811" max="1811" width="10.75" style="30" bestFit="1" customWidth="1"/>
    <col min="1812" max="1812" width="9.875" style="30" bestFit="1" customWidth="1"/>
    <col min="1813" max="1813" width="13.375" style="30" bestFit="1" customWidth="1"/>
    <col min="1814" max="2048" width="15.625" style="30"/>
    <col min="2049" max="2049" width="4.625" style="30" customWidth="1"/>
    <col min="2050" max="2050" width="34.125" style="30" customWidth="1"/>
    <col min="2051" max="2052" width="0" style="30" hidden="1" customWidth="1"/>
    <col min="2053" max="2053" width="10.75" style="30" bestFit="1" customWidth="1"/>
    <col min="2054" max="2054" width="10.75" style="30" customWidth="1"/>
    <col min="2055" max="2055" width="11" style="30" customWidth="1"/>
    <col min="2056" max="2056" width="9.875" style="30" customWidth="1"/>
    <col min="2057" max="2060" width="10.75" style="30" customWidth="1"/>
    <col min="2061" max="2062" width="10.75" style="30" bestFit="1" customWidth="1"/>
    <col min="2063" max="2063" width="10.5" style="30" bestFit="1" customWidth="1"/>
    <col min="2064" max="2064" width="10.75" style="30" bestFit="1" customWidth="1"/>
    <col min="2065" max="2065" width="10.75" style="30" customWidth="1"/>
    <col min="2066" max="2066" width="11.5" style="30" bestFit="1" customWidth="1"/>
    <col min="2067" max="2067" width="10.75" style="30" bestFit="1" customWidth="1"/>
    <col min="2068" max="2068" width="9.875" style="30" bestFit="1" customWidth="1"/>
    <col min="2069" max="2069" width="13.375" style="30" bestFit="1" customWidth="1"/>
    <col min="2070" max="2304" width="15.625" style="30"/>
    <col min="2305" max="2305" width="4.625" style="30" customWidth="1"/>
    <col min="2306" max="2306" width="34.125" style="30" customWidth="1"/>
    <col min="2307" max="2308" width="0" style="30" hidden="1" customWidth="1"/>
    <col min="2309" max="2309" width="10.75" style="30" bestFit="1" customWidth="1"/>
    <col min="2310" max="2310" width="10.75" style="30" customWidth="1"/>
    <col min="2311" max="2311" width="11" style="30" customWidth="1"/>
    <col min="2312" max="2312" width="9.875" style="30" customWidth="1"/>
    <col min="2313" max="2316" width="10.75" style="30" customWidth="1"/>
    <col min="2317" max="2318" width="10.75" style="30" bestFit="1" customWidth="1"/>
    <col min="2319" max="2319" width="10.5" style="30" bestFit="1" customWidth="1"/>
    <col min="2320" max="2320" width="10.75" style="30" bestFit="1" customWidth="1"/>
    <col min="2321" max="2321" width="10.75" style="30" customWidth="1"/>
    <col min="2322" max="2322" width="11.5" style="30" bestFit="1" customWidth="1"/>
    <col min="2323" max="2323" width="10.75" style="30" bestFit="1" customWidth="1"/>
    <col min="2324" max="2324" width="9.875" style="30" bestFit="1" customWidth="1"/>
    <col min="2325" max="2325" width="13.375" style="30" bestFit="1" customWidth="1"/>
    <col min="2326" max="2560" width="15.625" style="30"/>
    <col min="2561" max="2561" width="4.625" style="30" customWidth="1"/>
    <col min="2562" max="2562" width="34.125" style="30" customWidth="1"/>
    <col min="2563" max="2564" width="0" style="30" hidden="1" customWidth="1"/>
    <col min="2565" max="2565" width="10.75" style="30" bestFit="1" customWidth="1"/>
    <col min="2566" max="2566" width="10.75" style="30" customWidth="1"/>
    <col min="2567" max="2567" width="11" style="30" customWidth="1"/>
    <col min="2568" max="2568" width="9.875" style="30" customWidth="1"/>
    <col min="2569" max="2572" width="10.75" style="30" customWidth="1"/>
    <col min="2573" max="2574" width="10.75" style="30" bestFit="1" customWidth="1"/>
    <col min="2575" max="2575" width="10.5" style="30" bestFit="1" customWidth="1"/>
    <col min="2576" max="2576" width="10.75" style="30" bestFit="1" customWidth="1"/>
    <col min="2577" max="2577" width="10.75" style="30" customWidth="1"/>
    <col min="2578" max="2578" width="11.5" style="30" bestFit="1" customWidth="1"/>
    <col min="2579" max="2579" width="10.75" style="30" bestFit="1" customWidth="1"/>
    <col min="2580" max="2580" width="9.875" style="30" bestFit="1" customWidth="1"/>
    <col min="2581" max="2581" width="13.375" style="30" bestFit="1" customWidth="1"/>
    <col min="2582" max="2816" width="15.625" style="30"/>
    <col min="2817" max="2817" width="4.625" style="30" customWidth="1"/>
    <col min="2818" max="2818" width="34.125" style="30" customWidth="1"/>
    <col min="2819" max="2820" width="0" style="30" hidden="1" customWidth="1"/>
    <col min="2821" max="2821" width="10.75" style="30" bestFit="1" customWidth="1"/>
    <col min="2822" max="2822" width="10.75" style="30" customWidth="1"/>
    <col min="2823" max="2823" width="11" style="30" customWidth="1"/>
    <col min="2824" max="2824" width="9.875" style="30" customWidth="1"/>
    <col min="2825" max="2828" width="10.75" style="30" customWidth="1"/>
    <col min="2829" max="2830" width="10.75" style="30" bestFit="1" customWidth="1"/>
    <col min="2831" max="2831" width="10.5" style="30" bestFit="1" customWidth="1"/>
    <col min="2832" max="2832" width="10.75" style="30" bestFit="1" customWidth="1"/>
    <col min="2833" max="2833" width="10.75" style="30" customWidth="1"/>
    <col min="2834" max="2834" width="11.5" style="30" bestFit="1" customWidth="1"/>
    <col min="2835" max="2835" width="10.75" style="30" bestFit="1" customWidth="1"/>
    <col min="2836" max="2836" width="9.875" style="30" bestFit="1" customWidth="1"/>
    <col min="2837" max="2837" width="13.375" style="30" bestFit="1" customWidth="1"/>
    <col min="2838" max="3072" width="15.625" style="30"/>
    <col min="3073" max="3073" width="4.625" style="30" customWidth="1"/>
    <col min="3074" max="3074" width="34.125" style="30" customWidth="1"/>
    <col min="3075" max="3076" width="0" style="30" hidden="1" customWidth="1"/>
    <col min="3077" max="3077" width="10.75" style="30" bestFit="1" customWidth="1"/>
    <col min="3078" max="3078" width="10.75" style="30" customWidth="1"/>
    <col min="3079" max="3079" width="11" style="30" customWidth="1"/>
    <col min="3080" max="3080" width="9.875" style="30" customWidth="1"/>
    <col min="3081" max="3084" width="10.75" style="30" customWidth="1"/>
    <col min="3085" max="3086" width="10.75" style="30" bestFit="1" customWidth="1"/>
    <col min="3087" max="3087" width="10.5" style="30" bestFit="1" customWidth="1"/>
    <col min="3088" max="3088" width="10.75" style="30" bestFit="1" customWidth="1"/>
    <col min="3089" max="3089" width="10.75" style="30" customWidth="1"/>
    <col min="3090" max="3090" width="11.5" style="30" bestFit="1" customWidth="1"/>
    <col min="3091" max="3091" width="10.75" style="30" bestFit="1" customWidth="1"/>
    <col min="3092" max="3092" width="9.875" style="30" bestFit="1" customWidth="1"/>
    <col min="3093" max="3093" width="13.375" style="30" bestFit="1" customWidth="1"/>
    <col min="3094" max="3328" width="15.625" style="30"/>
    <col min="3329" max="3329" width="4.625" style="30" customWidth="1"/>
    <col min="3330" max="3330" width="34.125" style="30" customWidth="1"/>
    <col min="3331" max="3332" width="0" style="30" hidden="1" customWidth="1"/>
    <col min="3333" max="3333" width="10.75" style="30" bestFit="1" customWidth="1"/>
    <col min="3334" max="3334" width="10.75" style="30" customWidth="1"/>
    <col min="3335" max="3335" width="11" style="30" customWidth="1"/>
    <col min="3336" max="3336" width="9.875" style="30" customWidth="1"/>
    <col min="3337" max="3340" width="10.75" style="30" customWidth="1"/>
    <col min="3341" max="3342" width="10.75" style="30" bestFit="1" customWidth="1"/>
    <col min="3343" max="3343" width="10.5" style="30" bestFit="1" customWidth="1"/>
    <col min="3344" max="3344" width="10.75" style="30" bestFit="1" customWidth="1"/>
    <col min="3345" max="3345" width="10.75" style="30" customWidth="1"/>
    <col min="3346" max="3346" width="11.5" style="30" bestFit="1" customWidth="1"/>
    <col min="3347" max="3347" width="10.75" style="30" bestFit="1" customWidth="1"/>
    <col min="3348" max="3348" width="9.875" style="30" bestFit="1" customWidth="1"/>
    <col min="3349" max="3349" width="13.375" style="30" bestFit="1" customWidth="1"/>
    <col min="3350" max="3584" width="15.625" style="30"/>
    <col min="3585" max="3585" width="4.625" style="30" customWidth="1"/>
    <col min="3586" max="3586" width="34.125" style="30" customWidth="1"/>
    <col min="3587" max="3588" width="0" style="30" hidden="1" customWidth="1"/>
    <col min="3589" max="3589" width="10.75" style="30" bestFit="1" customWidth="1"/>
    <col min="3590" max="3590" width="10.75" style="30" customWidth="1"/>
    <col min="3591" max="3591" width="11" style="30" customWidth="1"/>
    <col min="3592" max="3592" width="9.875" style="30" customWidth="1"/>
    <col min="3593" max="3596" width="10.75" style="30" customWidth="1"/>
    <col min="3597" max="3598" width="10.75" style="30" bestFit="1" customWidth="1"/>
    <col min="3599" max="3599" width="10.5" style="30" bestFit="1" customWidth="1"/>
    <col min="3600" max="3600" width="10.75" style="30" bestFit="1" customWidth="1"/>
    <col min="3601" max="3601" width="10.75" style="30" customWidth="1"/>
    <col min="3602" max="3602" width="11.5" style="30" bestFit="1" customWidth="1"/>
    <col min="3603" max="3603" width="10.75" style="30" bestFit="1" customWidth="1"/>
    <col min="3604" max="3604" width="9.875" style="30" bestFit="1" customWidth="1"/>
    <col min="3605" max="3605" width="13.375" style="30" bestFit="1" customWidth="1"/>
    <col min="3606" max="3840" width="15.625" style="30"/>
    <col min="3841" max="3841" width="4.625" style="30" customWidth="1"/>
    <col min="3842" max="3842" width="34.125" style="30" customWidth="1"/>
    <col min="3843" max="3844" width="0" style="30" hidden="1" customWidth="1"/>
    <col min="3845" max="3845" width="10.75" style="30" bestFit="1" customWidth="1"/>
    <col min="3846" max="3846" width="10.75" style="30" customWidth="1"/>
    <col min="3847" max="3847" width="11" style="30" customWidth="1"/>
    <col min="3848" max="3848" width="9.875" style="30" customWidth="1"/>
    <col min="3849" max="3852" width="10.75" style="30" customWidth="1"/>
    <col min="3853" max="3854" width="10.75" style="30" bestFit="1" customWidth="1"/>
    <col min="3855" max="3855" width="10.5" style="30" bestFit="1" customWidth="1"/>
    <col min="3856" max="3856" width="10.75" style="30" bestFit="1" customWidth="1"/>
    <col min="3857" max="3857" width="10.75" style="30" customWidth="1"/>
    <col min="3858" max="3858" width="11.5" style="30" bestFit="1" customWidth="1"/>
    <col min="3859" max="3859" width="10.75" style="30" bestFit="1" customWidth="1"/>
    <col min="3860" max="3860" width="9.875" style="30" bestFit="1" customWidth="1"/>
    <col min="3861" max="3861" width="13.375" style="30" bestFit="1" customWidth="1"/>
    <col min="3862" max="4096" width="15.625" style="30"/>
    <col min="4097" max="4097" width="4.625" style="30" customWidth="1"/>
    <col min="4098" max="4098" width="34.125" style="30" customWidth="1"/>
    <col min="4099" max="4100" width="0" style="30" hidden="1" customWidth="1"/>
    <col min="4101" max="4101" width="10.75" style="30" bestFit="1" customWidth="1"/>
    <col min="4102" max="4102" width="10.75" style="30" customWidth="1"/>
    <col min="4103" max="4103" width="11" style="30" customWidth="1"/>
    <col min="4104" max="4104" width="9.875" style="30" customWidth="1"/>
    <col min="4105" max="4108" width="10.75" style="30" customWidth="1"/>
    <col min="4109" max="4110" width="10.75" style="30" bestFit="1" customWidth="1"/>
    <col min="4111" max="4111" width="10.5" style="30" bestFit="1" customWidth="1"/>
    <col min="4112" max="4112" width="10.75" style="30" bestFit="1" customWidth="1"/>
    <col min="4113" max="4113" width="10.75" style="30" customWidth="1"/>
    <col min="4114" max="4114" width="11.5" style="30" bestFit="1" customWidth="1"/>
    <col min="4115" max="4115" width="10.75" style="30" bestFit="1" customWidth="1"/>
    <col min="4116" max="4116" width="9.875" style="30" bestFit="1" customWidth="1"/>
    <col min="4117" max="4117" width="13.375" style="30" bestFit="1" customWidth="1"/>
    <col min="4118" max="4352" width="15.625" style="30"/>
    <col min="4353" max="4353" width="4.625" style="30" customWidth="1"/>
    <col min="4354" max="4354" width="34.125" style="30" customWidth="1"/>
    <col min="4355" max="4356" width="0" style="30" hidden="1" customWidth="1"/>
    <col min="4357" max="4357" width="10.75" style="30" bestFit="1" customWidth="1"/>
    <col min="4358" max="4358" width="10.75" style="30" customWidth="1"/>
    <col min="4359" max="4359" width="11" style="30" customWidth="1"/>
    <col min="4360" max="4360" width="9.875" style="30" customWidth="1"/>
    <col min="4361" max="4364" width="10.75" style="30" customWidth="1"/>
    <col min="4365" max="4366" width="10.75" style="30" bestFit="1" customWidth="1"/>
    <col min="4367" max="4367" width="10.5" style="30" bestFit="1" customWidth="1"/>
    <col min="4368" max="4368" width="10.75" style="30" bestFit="1" customWidth="1"/>
    <col min="4369" max="4369" width="10.75" style="30" customWidth="1"/>
    <col min="4370" max="4370" width="11.5" style="30" bestFit="1" customWidth="1"/>
    <col min="4371" max="4371" width="10.75" style="30" bestFit="1" customWidth="1"/>
    <col min="4372" max="4372" width="9.875" style="30" bestFit="1" customWidth="1"/>
    <col min="4373" max="4373" width="13.375" style="30" bestFit="1" customWidth="1"/>
    <col min="4374" max="4608" width="15.625" style="30"/>
    <col min="4609" max="4609" width="4.625" style="30" customWidth="1"/>
    <col min="4610" max="4610" width="34.125" style="30" customWidth="1"/>
    <col min="4611" max="4612" width="0" style="30" hidden="1" customWidth="1"/>
    <col min="4613" max="4613" width="10.75" style="30" bestFit="1" customWidth="1"/>
    <col min="4614" max="4614" width="10.75" style="30" customWidth="1"/>
    <col min="4615" max="4615" width="11" style="30" customWidth="1"/>
    <col min="4616" max="4616" width="9.875" style="30" customWidth="1"/>
    <col min="4617" max="4620" width="10.75" style="30" customWidth="1"/>
    <col min="4621" max="4622" width="10.75" style="30" bestFit="1" customWidth="1"/>
    <col min="4623" max="4623" width="10.5" style="30" bestFit="1" customWidth="1"/>
    <col min="4624" max="4624" width="10.75" style="30" bestFit="1" customWidth="1"/>
    <col min="4625" max="4625" width="10.75" style="30" customWidth="1"/>
    <col min="4626" max="4626" width="11.5" style="30" bestFit="1" customWidth="1"/>
    <col min="4627" max="4627" width="10.75" style="30" bestFit="1" customWidth="1"/>
    <col min="4628" max="4628" width="9.875" style="30" bestFit="1" customWidth="1"/>
    <col min="4629" max="4629" width="13.375" style="30" bestFit="1" customWidth="1"/>
    <col min="4630" max="4864" width="15.625" style="30"/>
    <col min="4865" max="4865" width="4.625" style="30" customWidth="1"/>
    <col min="4866" max="4866" width="34.125" style="30" customWidth="1"/>
    <col min="4867" max="4868" width="0" style="30" hidden="1" customWidth="1"/>
    <col min="4869" max="4869" width="10.75" style="30" bestFit="1" customWidth="1"/>
    <col min="4870" max="4870" width="10.75" style="30" customWidth="1"/>
    <col min="4871" max="4871" width="11" style="30" customWidth="1"/>
    <col min="4872" max="4872" width="9.875" style="30" customWidth="1"/>
    <col min="4873" max="4876" width="10.75" style="30" customWidth="1"/>
    <col min="4877" max="4878" width="10.75" style="30" bestFit="1" customWidth="1"/>
    <col min="4879" max="4879" width="10.5" style="30" bestFit="1" customWidth="1"/>
    <col min="4880" max="4880" width="10.75" style="30" bestFit="1" customWidth="1"/>
    <col min="4881" max="4881" width="10.75" style="30" customWidth="1"/>
    <col min="4882" max="4882" width="11.5" style="30" bestFit="1" customWidth="1"/>
    <col min="4883" max="4883" width="10.75" style="30" bestFit="1" customWidth="1"/>
    <col min="4884" max="4884" width="9.875" style="30" bestFit="1" customWidth="1"/>
    <col min="4885" max="4885" width="13.375" style="30" bestFit="1" customWidth="1"/>
    <col min="4886" max="5120" width="15.625" style="30"/>
    <col min="5121" max="5121" width="4.625" style="30" customWidth="1"/>
    <col min="5122" max="5122" width="34.125" style="30" customWidth="1"/>
    <col min="5123" max="5124" width="0" style="30" hidden="1" customWidth="1"/>
    <col min="5125" max="5125" width="10.75" style="30" bestFit="1" customWidth="1"/>
    <col min="5126" max="5126" width="10.75" style="30" customWidth="1"/>
    <col min="5127" max="5127" width="11" style="30" customWidth="1"/>
    <col min="5128" max="5128" width="9.875" style="30" customWidth="1"/>
    <col min="5129" max="5132" width="10.75" style="30" customWidth="1"/>
    <col min="5133" max="5134" width="10.75" style="30" bestFit="1" customWidth="1"/>
    <col min="5135" max="5135" width="10.5" style="30" bestFit="1" customWidth="1"/>
    <col min="5136" max="5136" width="10.75" style="30" bestFit="1" customWidth="1"/>
    <col min="5137" max="5137" width="10.75" style="30" customWidth="1"/>
    <col min="5138" max="5138" width="11.5" style="30" bestFit="1" customWidth="1"/>
    <col min="5139" max="5139" width="10.75" style="30" bestFit="1" customWidth="1"/>
    <col min="5140" max="5140" width="9.875" style="30" bestFit="1" customWidth="1"/>
    <col min="5141" max="5141" width="13.375" style="30" bestFit="1" customWidth="1"/>
    <col min="5142" max="5376" width="15.625" style="30"/>
    <col min="5377" max="5377" width="4.625" style="30" customWidth="1"/>
    <col min="5378" max="5378" width="34.125" style="30" customWidth="1"/>
    <col min="5379" max="5380" width="0" style="30" hidden="1" customWidth="1"/>
    <col min="5381" max="5381" width="10.75" style="30" bestFit="1" customWidth="1"/>
    <col min="5382" max="5382" width="10.75" style="30" customWidth="1"/>
    <col min="5383" max="5383" width="11" style="30" customWidth="1"/>
    <col min="5384" max="5384" width="9.875" style="30" customWidth="1"/>
    <col min="5385" max="5388" width="10.75" style="30" customWidth="1"/>
    <col min="5389" max="5390" width="10.75" style="30" bestFit="1" customWidth="1"/>
    <col min="5391" max="5391" width="10.5" style="30" bestFit="1" customWidth="1"/>
    <col min="5392" max="5392" width="10.75" style="30" bestFit="1" customWidth="1"/>
    <col min="5393" max="5393" width="10.75" style="30" customWidth="1"/>
    <col min="5394" max="5394" width="11.5" style="30" bestFit="1" customWidth="1"/>
    <col min="5395" max="5395" width="10.75" style="30" bestFit="1" customWidth="1"/>
    <col min="5396" max="5396" width="9.875" style="30" bestFit="1" customWidth="1"/>
    <col min="5397" max="5397" width="13.375" style="30" bestFit="1" customWidth="1"/>
    <col min="5398" max="5632" width="15.625" style="30"/>
    <col min="5633" max="5633" width="4.625" style="30" customWidth="1"/>
    <col min="5634" max="5634" width="34.125" style="30" customWidth="1"/>
    <col min="5635" max="5636" width="0" style="30" hidden="1" customWidth="1"/>
    <col min="5637" max="5637" width="10.75" style="30" bestFit="1" customWidth="1"/>
    <col min="5638" max="5638" width="10.75" style="30" customWidth="1"/>
    <col min="5639" max="5639" width="11" style="30" customWidth="1"/>
    <col min="5640" max="5640" width="9.875" style="30" customWidth="1"/>
    <col min="5641" max="5644" width="10.75" style="30" customWidth="1"/>
    <col min="5645" max="5646" width="10.75" style="30" bestFit="1" customWidth="1"/>
    <col min="5647" max="5647" width="10.5" style="30" bestFit="1" customWidth="1"/>
    <col min="5648" max="5648" width="10.75" style="30" bestFit="1" customWidth="1"/>
    <col min="5649" max="5649" width="10.75" style="30" customWidth="1"/>
    <col min="5650" max="5650" width="11.5" style="30" bestFit="1" customWidth="1"/>
    <col min="5651" max="5651" width="10.75" style="30" bestFit="1" customWidth="1"/>
    <col min="5652" max="5652" width="9.875" style="30" bestFit="1" customWidth="1"/>
    <col min="5653" max="5653" width="13.375" style="30" bestFit="1" customWidth="1"/>
    <col min="5654" max="5888" width="15.625" style="30"/>
    <col min="5889" max="5889" width="4.625" style="30" customWidth="1"/>
    <col min="5890" max="5890" width="34.125" style="30" customWidth="1"/>
    <col min="5891" max="5892" width="0" style="30" hidden="1" customWidth="1"/>
    <col min="5893" max="5893" width="10.75" style="30" bestFit="1" customWidth="1"/>
    <col min="5894" max="5894" width="10.75" style="30" customWidth="1"/>
    <col min="5895" max="5895" width="11" style="30" customWidth="1"/>
    <col min="5896" max="5896" width="9.875" style="30" customWidth="1"/>
    <col min="5897" max="5900" width="10.75" style="30" customWidth="1"/>
    <col min="5901" max="5902" width="10.75" style="30" bestFit="1" customWidth="1"/>
    <col min="5903" max="5903" width="10.5" style="30" bestFit="1" customWidth="1"/>
    <col min="5904" max="5904" width="10.75" style="30" bestFit="1" customWidth="1"/>
    <col min="5905" max="5905" width="10.75" style="30" customWidth="1"/>
    <col min="5906" max="5906" width="11.5" style="30" bestFit="1" customWidth="1"/>
    <col min="5907" max="5907" width="10.75" style="30" bestFit="1" customWidth="1"/>
    <col min="5908" max="5908" width="9.875" style="30" bestFit="1" customWidth="1"/>
    <col min="5909" max="5909" width="13.375" style="30" bestFit="1" customWidth="1"/>
    <col min="5910" max="6144" width="15.625" style="30"/>
    <col min="6145" max="6145" width="4.625" style="30" customWidth="1"/>
    <col min="6146" max="6146" width="34.125" style="30" customWidth="1"/>
    <col min="6147" max="6148" width="0" style="30" hidden="1" customWidth="1"/>
    <col min="6149" max="6149" width="10.75" style="30" bestFit="1" customWidth="1"/>
    <col min="6150" max="6150" width="10.75" style="30" customWidth="1"/>
    <col min="6151" max="6151" width="11" style="30" customWidth="1"/>
    <col min="6152" max="6152" width="9.875" style="30" customWidth="1"/>
    <col min="6153" max="6156" width="10.75" style="30" customWidth="1"/>
    <col min="6157" max="6158" width="10.75" style="30" bestFit="1" customWidth="1"/>
    <col min="6159" max="6159" width="10.5" style="30" bestFit="1" customWidth="1"/>
    <col min="6160" max="6160" width="10.75" style="30" bestFit="1" customWidth="1"/>
    <col min="6161" max="6161" width="10.75" style="30" customWidth="1"/>
    <col min="6162" max="6162" width="11.5" style="30" bestFit="1" customWidth="1"/>
    <col min="6163" max="6163" width="10.75" style="30" bestFit="1" customWidth="1"/>
    <col min="6164" max="6164" width="9.875" style="30" bestFit="1" customWidth="1"/>
    <col min="6165" max="6165" width="13.375" style="30" bestFit="1" customWidth="1"/>
    <col min="6166" max="6400" width="15.625" style="30"/>
    <col min="6401" max="6401" width="4.625" style="30" customWidth="1"/>
    <col min="6402" max="6402" width="34.125" style="30" customWidth="1"/>
    <col min="6403" max="6404" width="0" style="30" hidden="1" customWidth="1"/>
    <col min="6405" max="6405" width="10.75" style="30" bestFit="1" customWidth="1"/>
    <col min="6406" max="6406" width="10.75" style="30" customWidth="1"/>
    <col min="6407" max="6407" width="11" style="30" customWidth="1"/>
    <col min="6408" max="6408" width="9.875" style="30" customWidth="1"/>
    <col min="6409" max="6412" width="10.75" style="30" customWidth="1"/>
    <col min="6413" max="6414" width="10.75" style="30" bestFit="1" customWidth="1"/>
    <col min="6415" max="6415" width="10.5" style="30" bestFit="1" customWidth="1"/>
    <col min="6416" max="6416" width="10.75" style="30" bestFit="1" customWidth="1"/>
    <col min="6417" max="6417" width="10.75" style="30" customWidth="1"/>
    <col min="6418" max="6418" width="11.5" style="30" bestFit="1" customWidth="1"/>
    <col min="6419" max="6419" width="10.75" style="30" bestFit="1" customWidth="1"/>
    <col min="6420" max="6420" width="9.875" style="30" bestFit="1" customWidth="1"/>
    <col min="6421" max="6421" width="13.375" style="30" bestFit="1" customWidth="1"/>
    <col min="6422" max="6656" width="15.625" style="30"/>
    <col min="6657" max="6657" width="4.625" style="30" customWidth="1"/>
    <col min="6658" max="6658" width="34.125" style="30" customWidth="1"/>
    <col min="6659" max="6660" width="0" style="30" hidden="1" customWidth="1"/>
    <col min="6661" max="6661" width="10.75" style="30" bestFit="1" customWidth="1"/>
    <col min="6662" max="6662" width="10.75" style="30" customWidth="1"/>
    <col min="6663" max="6663" width="11" style="30" customWidth="1"/>
    <col min="6664" max="6664" width="9.875" style="30" customWidth="1"/>
    <col min="6665" max="6668" width="10.75" style="30" customWidth="1"/>
    <col min="6669" max="6670" width="10.75" style="30" bestFit="1" customWidth="1"/>
    <col min="6671" max="6671" width="10.5" style="30" bestFit="1" customWidth="1"/>
    <col min="6672" max="6672" width="10.75" style="30" bestFit="1" customWidth="1"/>
    <col min="6673" max="6673" width="10.75" style="30" customWidth="1"/>
    <col min="6674" max="6674" width="11.5" style="30" bestFit="1" customWidth="1"/>
    <col min="6675" max="6675" width="10.75" style="30" bestFit="1" customWidth="1"/>
    <col min="6676" max="6676" width="9.875" style="30" bestFit="1" customWidth="1"/>
    <col min="6677" max="6677" width="13.375" style="30" bestFit="1" customWidth="1"/>
    <col min="6678" max="6912" width="15.625" style="30"/>
    <col min="6913" max="6913" width="4.625" style="30" customWidth="1"/>
    <col min="6914" max="6914" width="34.125" style="30" customWidth="1"/>
    <col min="6915" max="6916" width="0" style="30" hidden="1" customWidth="1"/>
    <col min="6917" max="6917" width="10.75" style="30" bestFit="1" customWidth="1"/>
    <col min="6918" max="6918" width="10.75" style="30" customWidth="1"/>
    <col min="6919" max="6919" width="11" style="30" customWidth="1"/>
    <col min="6920" max="6920" width="9.875" style="30" customWidth="1"/>
    <col min="6921" max="6924" width="10.75" style="30" customWidth="1"/>
    <col min="6925" max="6926" width="10.75" style="30" bestFit="1" customWidth="1"/>
    <col min="6927" max="6927" width="10.5" style="30" bestFit="1" customWidth="1"/>
    <col min="6928" max="6928" width="10.75" style="30" bestFit="1" customWidth="1"/>
    <col min="6929" max="6929" width="10.75" style="30" customWidth="1"/>
    <col min="6930" max="6930" width="11.5" style="30" bestFit="1" customWidth="1"/>
    <col min="6931" max="6931" width="10.75" style="30" bestFit="1" customWidth="1"/>
    <col min="6932" max="6932" width="9.875" style="30" bestFit="1" customWidth="1"/>
    <col min="6933" max="6933" width="13.375" style="30" bestFit="1" customWidth="1"/>
    <col min="6934" max="7168" width="15.625" style="30"/>
    <col min="7169" max="7169" width="4.625" style="30" customWidth="1"/>
    <col min="7170" max="7170" width="34.125" style="30" customWidth="1"/>
    <col min="7171" max="7172" width="0" style="30" hidden="1" customWidth="1"/>
    <col min="7173" max="7173" width="10.75" style="30" bestFit="1" customWidth="1"/>
    <col min="7174" max="7174" width="10.75" style="30" customWidth="1"/>
    <col min="7175" max="7175" width="11" style="30" customWidth="1"/>
    <col min="7176" max="7176" width="9.875" style="30" customWidth="1"/>
    <col min="7177" max="7180" width="10.75" style="30" customWidth="1"/>
    <col min="7181" max="7182" width="10.75" style="30" bestFit="1" customWidth="1"/>
    <col min="7183" max="7183" width="10.5" style="30" bestFit="1" customWidth="1"/>
    <col min="7184" max="7184" width="10.75" style="30" bestFit="1" customWidth="1"/>
    <col min="7185" max="7185" width="10.75" style="30" customWidth="1"/>
    <col min="7186" max="7186" width="11.5" style="30" bestFit="1" customWidth="1"/>
    <col min="7187" max="7187" width="10.75" style="30" bestFit="1" customWidth="1"/>
    <col min="7188" max="7188" width="9.875" style="30" bestFit="1" customWidth="1"/>
    <col min="7189" max="7189" width="13.375" style="30" bestFit="1" customWidth="1"/>
    <col min="7190" max="7424" width="15.625" style="30"/>
    <col min="7425" max="7425" width="4.625" style="30" customWidth="1"/>
    <col min="7426" max="7426" width="34.125" style="30" customWidth="1"/>
    <col min="7427" max="7428" width="0" style="30" hidden="1" customWidth="1"/>
    <col min="7429" max="7429" width="10.75" style="30" bestFit="1" customWidth="1"/>
    <col min="7430" max="7430" width="10.75" style="30" customWidth="1"/>
    <col min="7431" max="7431" width="11" style="30" customWidth="1"/>
    <col min="7432" max="7432" width="9.875" style="30" customWidth="1"/>
    <col min="7433" max="7436" width="10.75" style="30" customWidth="1"/>
    <col min="7437" max="7438" width="10.75" style="30" bestFit="1" customWidth="1"/>
    <col min="7439" max="7439" width="10.5" style="30" bestFit="1" customWidth="1"/>
    <col min="7440" max="7440" width="10.75" style="30" bestFit="1" customWidth="1"/>
    <col min="7441" max="7441" width="10.75" style="30" customWidth="1"/>
    <col min="7442" max="7442" width="11.5" style="30" bestFit="1" customWidth="1"/>
    <col min="7443" max="7443" width="10.75" style="30" bestFit="1" customWidth="1"/>
    <col min="7444" max="7444" width="9.875" style="30" bestFit="1" customWidth="1"/>
    <col min="7445" max="7445" width="13.375" style="30" bestFit="1" customWidth="1"/>
    <col min="7446" max="7680" width="15.625" style="30"/>
    <col min="7681" max="7681" width="4.625" style="30" customWidth="1"/>
    <col min="7682" max="7682" width="34.125" style="30" customWidth="1"/>
    <col min="7683" max="7684" width="0" style="30" hidden="1" customWidth="1"/>
    <col min="7685" max="7685" width="10.75" style="30" bestFit="1" customWidth="1"/>
    <col min="7686" max="7686" width="10.75" style="30" customWidth="1"/>
    <col min="7687" max="7687" width="11" style="30" customWidth="1"/>
    <col min="7688" max="7688" width="9.875" style="30" customWidth="1"/>
    <col min="7689" max="7692" width="10.75" style="30" customWidth="1"/>
    <col min="7693" max="7694" width="10.75" style="30" bestFit="1" customWidth="1"/>
    <col min="7695" max="7695" width="10.5" style="30" bestFit="1" customWidth="1"/>
    <col min="7696" max="7696" width="10.75" style="30" bestFit="1" customWidth="1"/>
    <col min="7697" max="7697" width="10.75" style="30" customWidth="1"/>
    <col min="7698" max="7698" width="11.5" style="30" bestFit="1" customWidth="1"/>
    <col min="7699" max="7699" width="10.75" style="30" bestFit="1" customWidth="1"/>
    <col min="7700" max="7700" width="9.875" style="30" bestFit="1" customWidth="1"/>
    <col min="7701" max="7701" width="13.375" style="30" bestFit="1" customWidth="1"/>
    <col min="7702" max="7936" width="15.625" style="30"/>
    <col min="7937" max="7937" width="4.625" style="30" customWidth="1"/>
    <col min="7938" max="7938" width="34.125" style="30" customWidth="1"/>
    <col min="7939" max="7940" width="0" style="30" hidden="1" customWidth="1"/>
    <col min="7941" max="7941" width="10.75" style="30" bestFit="1" customWidth="1"/>
    <col min="7942" max="7942" width="10.75" style="30" customWidth="1"/>
    <col min="7943" max="7943" width="11" style="30" customWidth="1"/>
    <col min="7944" max="7944" width="9.875" style="30" customWidth="1"/>
    <col min="7945" max="7948" width="10.75" style="30" customWidth="1"/>
    <col min="7949" max="7950" width="10.75" style="30" bestFit="1" customWidth="1"/>
    <col min="7951" max="7951" width="10.5" style="30" bestFit="1" customWidth="1"/>
    <col min="7952" max="7952" width="10.75" style="30" bestFit="1" customWidth="1"/>
    <col min="7953" max="7953" width="10.75" style="30" customWidth="1"/>
    <col min="7954" max="7954" width="11.5" style="30" bestFit="1" customWidth="1"/>
    <col min="7955" max="7955" width="10.75" style="30" bestFit="1" customWidth="1"/>
    <col min="7956" max="7956" width="9.875" style="30" bestFit="1" customWidth="1"/>
    <col min="7957" max="7957" width="13.375" style="30" bestFit="1" customWidth="1"/>
    <col min="7958" max="8192" width="15.625" style="30"/>
    <col min="8193" max="8193" width="4.625" style="30" customWidth="1"/>
    <col min="8194" max="8194" width="34.125" style="30" customWidth="1"/>
    <col min="8195" max="8196" width="0" style="30" hidden="1" customWidth="1"/>
    <col min="8197" max="8197" width="10.75" style="30" bestFit="1" customWidth="1"/>
    <col min="8198" max="8198" width="10.75" style="30" customWidth="1"/>
    <col min="8199" max="8199" width="11" style="30" customWidth="1"/>
    <col min="8200" max="8200" width="9.875" style="30" customWidth="1"/>
    <col min="8201" max="8204" width="10.75" style="30" customWidth="1"/>
    <col min="8205" max="8206" width="10.75" style="30" bestFit="1" customWidth="1"/>
    <col min="8207" max="8207" width="10.5" style="30" bestFit="1" customWidth="1"/>
    <col min="8208" max="8208" width="10.75" style="30" bestFit="1" customWidth="1"/>
    <col min="8209" max="8209" width="10.75" style="30" customWidth="1"/>
    <col min="8210" max="8210" width="11.5" style="30" bestFit="1" customWidth="1"/>
    <col min="8211" max="8211" width="10.75" style="30" bestFit="1" customWidth="1"/>
    <col min="8212" max="8212" width="9.875" style="30" bestFit="1" customWidth="1"/>
    <col min="8213" max="8213" width="13.375" style="30" bestFit="1" customWidth="1"/>
    <col min="8214" max="8448" width="15.625" style="30"/>
    <col min="8449" max="8449" width="4.625" style="30" customWidth="1"/>
    <col min="8450" max="8450" width="34.125" style="30" customWidth="1"/>
    <col min="8451" max="8452" width="0" style="30" hidden="1" customWidth="1"/>
    <col min="8453" max="8453" width="10.75" style="30" bestFit="1" customWidth="1"/>
    <col min="8454" max="8454" width="10.75" style="30" customWidth="1"/>
    <col min="8455" max="8455" width="11" style="30" customWidth="1"/>
    <col min="8456" max="8456" width="9.875" style="30" customWidth="1"/>
    <col min="8457" max="8460" width="10.75" style="30" customWidth="1"/>
    <col min="8461" max="8462" width="10.75" style="30" bestFit="1" customWidth="1"/>
    <col min="8463" max="8463" width="10.5" style="30" bestFit="1" customWidth="1"/>
    <col min="8464" max="8464" width="10.75" style="30" bestFit="1" customWidth="1"/>
    <col min="8465" max="8465" width="10.75" style="30" customWidth="1"/>
    <col min="8466" max="8466" width="11.5" style="30" bestFit="1" customWidth="1"/>
    <col min="8467" max="8467" width="10.75" style="30" bestFit="1" customWidth="1"/>
    <col min="8468" max="8468" width="9.875" style="30" bestFit="1" customWidth="1"/>
    <col min="8469" max="8469" width="13.375" style="30" bestFit="1" customWidth="1"/>
    <col min="8470" max="8704" width="15.625" style="30"/>
    <col min="8705" max="8705" width="4.625" style="30" customWidth="1"/>
    <col min="8706" max="8706" width="34.125" style="30" customWidth="1"/>
    <col min="8707" max="8708" width="0" style="30" hidden="1" customWidth="1"/>
    <col min="8709" max="8709" width="10.75" style="30" bestFit="1" customWidth="1"/>
    <col min="8710" max="8710" width="10.75" style="30" customWidth="1"/>
    <col min="8711" max="8711" width="11" style="30" customWidth="1"/>
    <col min="8712" max="8712" width="9.875" style="30" customWidth="1"/>
    <col min="8713" max="8716" width="10.75" style="30" customWidth="1"/>
    <col min="8717" max="8718" width="10.75" style="30" bestFit="1" customWidth="1"/>
    <col min="8719" max="8719" width="10.5" style="30" bestFit="1" customWidth="1"/>
    <col min="8720" max="8720" width="10.75" style="30" bestFit="1" customWidth="1"/>
    <col min="8721" max="8721" width="10.75" style="30" customWidth="1"/>
    <col min="8722" max="8722" width="11.5" style="30" bestFit="1" customWidth="1"/>
    <col min="8723" max="8723" width="10.75" style="30" bestFit="1" customWidth="1"/>
    <col min="8724" max="8724" width="9.875" style="30" bestFit="1" customWidth="1"/>
    <col min="8725" max="8725" width="13.375" style="30" bestFit="1" customWidth="1"/>
    <col min="8726" max="8960" width="15.625" style="30"/>
    <col min="8961" max="8961" width="4.625" style="30" customWidth="1"/>
    <col min="8962" max="8962" width="34.125" style="30" customWidth="1"/>
    <col min="8963" max="8964" width="0" style="30" hidden="1" customWidth="1"/>
    <col min="8965" max="8965" width="10.75" style="30" bestFit="1" customWidth="1"/>
    <col min="8966" max="8966" width="10.75" style="30" customWidth="1"/>
    <col min="8967" max="8967" width="11" style="30" customWidth="1"/>
    <col min="8968" max="8968" width="9.875" style="30" customWidth="1"/>
    <col min="8969" max="8972" width="10.75" style="30" customWidth="1"/>
    <col min="8973" max="8974" width="10.75" style="30" bestFit="1" customWidth="1"/>
    <col min="8975" max="8975" width="10.5" style="30" bestFit="1" customWidth="1"/>
    <col min="8976" max="8976" width="10.75" style="30" bestFit="1" customWidth="1"/>
    <col min="8977" max="8977" width="10.75" style="30" customWidth="1"/>
    <col min="8978" max="8978" width="11.5" style="30" bestFit="1" customWidth="1"/>
    <col min="8979" max="8979" width="10.75" style="30" bestFit="1" customWidth="1"/>
    <col min="8980" max="8980" width="9.875" style="30" bestFit="1" customWidth="1"/>
    <col min="8981" max="8981" width="13.375" style="30" bestFit="1" customWidth="1"/>
    <col min="8982" max="9216" width="15.625" style="30"/>
    <col min="9217" max="9217" width="4.625" style="30" customWidth="1"/>
    <col min="9218" max="9218" width="34.125" style="30" customWidth="1"/>
    <col min="9219" max="9220" width="0" style="30" hidden="1" customWidth="1"/>
    <col min="9221" max="9221" width="10.75" style="30" bestFit="1" customWidth="1"/>
    <col min="9222" max="9222" width="10.75" style="30" customWidth="1"/>
    <col min="9223" max="9223" width="11" style="30" customWidth="1"/>
    <col min="9224" max="9224" width="9.875" style="30" customWidth="1"/>
    <col min="9225" max="9228" width="10.75" style="30" customWidth="1"/>
    <col min="9229" max="9230" width="10.75" style="30" bestFit="1" customWidth="1"/>
    <col min="9231" max="9231" width="10.5" style="30" bestFit="1" customWidth="1"/>
    <col min="9232" max="9232" width="10.75" style="30" bestFit="1" customWidth="1"/>
    <col min="9233" max="9233" width="10.75" style="30" customWidth="1"/>
    <col min="9234" max="9234" width="11.5" style="30" bestFit="1" customWidth="1"/>
    <col min="9235" max="9235" width="10.75" style="30" bestFit="1" customWidth="1"/>
    <col min="9236" max="9236" width="9.875" style="30" bestFit="1" customWidth="1"/>
    <col min="9237" max="9237" width="13.375" style="30" bestFit="1" customWidth="1"/>
    <col min="9238" max="9472" width="15.625" style="30"/>
    <col min="9473" max="9473" width="4.625" style="30" customWidth="1"/>
    <col min="9474" max="9474" width="34.125" style="30" customWidth="1"/>
    <col min="9475" max="9476" width="0" style="30" hidden="1" customWidth="1"/>
    <col min="9477" max="9477" width="10.75" style="30" bestFit="1" customWidth="1"/>
    <col min="9478" max="9478" width="10.75" style="30" customWidth="1"/>
    <col min="9479" max="9479" width="11" style="30" customWidth="1"/>
    <col min="9480" max="9480" width="9.875" style="30" customWidth="1"/>
    <col min="9481" max="9484" width="10.75" style="30" customWidth="1"/>
    <col min="9485" max="9486" width="10.75" style="30" bestFit="1" customWidth="1"/>
    <col min="9487" max="9487" width="10.5" style="30" bestFit="1" customWidth="1"/>
    <col min="9488" max="9488" width="10.75" style="30" bestFit="1" customWidth="1"/>
    <col min="9489" max="9489" width="10.75" style="30" customWidth="1"/>
    <col min="9490" max="9490" width="11.5" style="30" bestFit="1" customWidth="1"/>
    <col min="9491" max="9491" width="10.75" style="30" bestFit="1" customWidth="1"/>
    <col min="9492" max="9492" width="9.875" style="30" bestFit="1" customWidth="1"/>
    <col min="9493" max="9493" width="13.375" style="30" bestFit="1" customWidth="1"/>
    <col min="9494" max="9728" width="15.625" style="30"/>
    <col min="9729" max="9729" width="4.625" style="30" customWidth="1"/>
    <col min="9730" max="9730" width="34.125" style="30" customWidth="1"/>
    <col min="9731" max="9732" width="0" style="30" hidden="1" customWidth="1"/>
    <col min="9733" max="9733" width="10.75" style="30" bestFit="1" customWidth="1"/>
    <col min="9734" max="9734" width="10.75" style="30" customWidth="1"/>
    <col min="9735" max="9735" width="11" style="30" customWidth="1"/>
    <col min="9736" max="9736" width="9.875" style="30" customWidth="1"/>
    <col min="9737" max="9740" width="10.75" style="30" customWidth="1"/>
    <col min="9741" max="9742" width="10.75" style="30" bestFit="1" customWidth="1"/>
    <col min="9743" max="9743" width="10.5" style="30" bestFit="1" customWidth="1"/>
    <col min="9744" max="9744" width="10.75" style="30" bestFit="1" customWidth="1"/>
    <col min="9745" max="9745" width="10.75" style="30" customWidth="1"/>
    <col min="9746" max="9746" width="11.5" style="30" bestFit="1" customWidth="1"/>
    <col min="9747" max="9747" width="10.75" style="30" bestFit="1" customWidth="1"/>
    <col min="9748" max="9748" width="9.875" style="30" bestFit="1" customWidth="1"/>
    <col min="9749" max="9749" width="13.375" style="30" bestFit="1" customWidth="1"/>
    <col min="9750" max="9984" width="15.625" style="30"/>
    <col min="9985" max="9985" width="4.625" style="30" customWidth="1"/>
    <col min="9986" max="9986" width="34.125" style="30" customWidth="1"/>
    <col min="9987" max="9988" width="0" style="30" hidden="1" customWidth="1"/>
    <col min="9989" max="9989" width="10.75" style="30" bestFit="1" customWidth="1"/>
    <col min="9990" max="9990" width="10.75" style="30" customWidth="1"/>
    <col min="9991" max="9991" width="11" style="30" customWidth="1"/>
    <col min="9992" max="9992" width="9.875" style="30" customWidth="1"/>
    <col min="9993" max="9996" width="10.75" style="30" customWidth="1"/>
    <col min="9997" max="9998" width="10.75" style="30" bestFit="1" customWidth="1"/>
    <col min="9999" max="9999" width="10.5" style="30" bestFit="1" customWidth="1"/>
    <col min="10000" max="10000" width="10.75" style="30" bestFit="1" customWidth="1"/>
    <col min="10001" max="10001" width="10.75" style="30" customWidth="1"/>
    <col min="10002" max="10002" width="11.5" style="30" bestFit="1" customWidth="1"/>
    <col min="10003" max="10003" width="10.75" style="30" bestFit="1" customWidth="1"/>
    <col min="10004" max="10004" width="9.875" style="30" bestFit="1" customWidth="1"/>
    <col min="10005" max="10005" width="13.375" style="30" bestFit="1" customWidth="1"/>
    <col min="10006" max="10240" width="15.625" style="30"/>
    <col min="10241" max="10241" width="4.625" style="30" customWidth="1"/>
    <col min="10242" max="10242" width="34.125" style="30" customWidth="1"/>
    <col min="10243" max="10244" width="0" style="30" hidden="1" customWidth="1"/>
    <col min="10245" max="10245" width="10.75" style="30" bestFit="1" customWidth="1"/>
    <col min="10246" max="10246" width="10.75" style="30" customWidth="1"/>
    <col min="10247" max="10247" width="11" style="30" customWidth="1"/>
    <col min="10248" max="10248" width="9.875" style="30" customWidth="1"/>
    <col min="10249" max="10252" width="10.75" style="30" customWidth="1"/>
    <col min="10253" max="10254" width="10.75" style="30" bestFit="1" customWidth="1"/>
    <col min="10255" max="10255" width="10.5" style="30" bestFit="1" customWidth="1"/>
    <col min="10256" max="10256" width="10.75" style="30" bestFit="1" customWidth="1"/>
    <col min="10257" max="10257" width="10.75" style="30" customWidth="1"/>
    <col min="10258" max="10258" width="11.5" style="30" bestFit="1" customWidth="1"/>
    <col min="10259" max="10259" width="10.75" style="30" bestFit="1" customWidth="1"/>
    <col min="10260" max="10260" width="9.875" style="30" bestFit="1" customWidth="1"/>
    <col min="10261" max="10261" width="13.375" style="30" bestFit="1" customWidth="1"/>
    <col min="10262" max="10496" width="15.625" style="30"/>
    <col min="10497" max="10497" width="4.625" style="30" customWidth="1"/>
    <col min="10498" max="10498" width="34.125" style="30" customWidth="1"/>
    <col min="10499" max="10500" width="0" style="30" hidden="1" customWidth="1"/>
    <col min="10501" max="10501" width="10.75" style="30" bestFit="1" customWidth="1"/>
    <col min="10502" max="10502" width="10.75" style="30" customWidth="1"/>
    <col min="10503" max="10503" width="11" style="30" customWidth="1"/>
    <col min="10504" max="10504" width="9.875" style="30" customWidth="1"/>
    <col min="10505" max="10508" width="10.75" style="30" customWidth="1"/>
    <col min="10509" max="10510" width="10.75" style="30" bestFit="1" customWidth="1"/>
    <col min="10511" max="10511" width="10.5" style="30" bestFit="1" customWidth="1"/>
    <col min="10512" max="10512" width="10.75" style="30" bestFit="1" customWidth="1"/>
    <col min="10513" max="10513" width="10.75" style="30" customWidth="1"/>
    <col min="10514" max="10514" width="11.5" style="30" bestFit="1" customWidth="1"/>
    <col min="10515" max="10515" width="10.75" style="30" bestFit="1" customWidth="1"/>
    <col min="10516" max="10516" width="9.875" style="30" bestFit="1" customWidth="1"/>
    <col min="10517" max="10517" width="13.375" style="30" bestFit="1" customWidth="1"/>
    <col min="10518" max="10752" width="15.625" style="30"/>
    <col min="10753" max="10753" width="4.625" style="30" customWidth="1"/>
    <col min="10754" max="10754" width="34.125" style="30" customWidth="1"/>
    <col min="10755" max="10756" width="0" style="30" hidden="1" customWidth="1"/>
    <col min="10757" max="10757" width="10.75" style="30" bestFit="1" customWidth="1"/>
    <col min="10758" max="10758" width="10.75" style="30" customWidth="1"/>
    <col min="10759" max="10759" width="11" style="30" customWidth="1"/>
    <col min="10760" max="10760" width="9.875" style="30" customWidth="1"/>
    <col min="10761" max="10764" width="10.75" style="30" customWidth="1"/>
    <col min="10765" max="10766" width="10.75" style="30" bestFit="1" customWidth="1"/>
    <col min="10767" max="10767" width="10.5" style="30" bestFit="1" customWidth="1"/>
    <col min="10768" max="10768" width="10.75" style="30" bestFit="1" customWidth="1"/>
    <col min="10769" max="10769" width="10.75" style="30" customWidth="1"/>
    <col min="10770" max="10770" width="11.5" style="30" bestFit="1" customWidth="1"/>
    <col min="10771" max="10771" width="10.75" style="30" bestFit="1" customWidth="1"/>
    <col min="10772" max="10772" width="9.875" style="30" bestFit="1" customWidth="1"/>
    <col min="10773" max="10773" width="13.375" style="30" bestFit="1" customWidth="1"/>
    <col min="10774" max="11008" width="15.625" style="30"/>
    <col min="11009" max="11009" width="4.625" style="30" customWidth="1"/>
    <col min="11010" max="11010" width="34.125" style="30" customWidth="1"/>
    <col min="11011" max="11012" width="0" style="30" hidden="1" customWidth="1"/>
    <col min="11013" max="11013" width="10.75" style="30" bestFit="1" customWidth="1"/>
    <col min="11014" max="11014" width="10.75" style="30" customWidth="1"/>
    <col min="11015" max="11015" width="11" style="30" customWidth="1"/>
    <col min="11016" max="11016" width="9.875" style="30" customWidth="1"/>
    <col min="11017" max="11020" width="10.75" style="30" customWidth="1"/>
    <col min="11021" max="11022" width="10.75" style="30" bestFit="1" customWidth="1"/>
    <col min="11023" max="11023" width="10.5" style="30" bestFit="1" customWidth="1"/>
    <col min="11024" max="11024" width="10.75" style="30" bestFit="1" customWidth="1"/>
    <col min="11025" max="11025" width="10.75" style="30" customWidth="1"/>
    <col min="11026" max="11026" width="11.5" style="30" bestFit="1" customWidth="1"/>
    <col min="11027" max="11027" width="10.75" style="30" bestFit="1" customWidth="1"/>
    <col min="11028" max="11028" width="9.875" style="30" bestFit="1" customWidth="1"/>
    <col min="11029" max="11029" width="13.375" style="30" bestFit="1" customWidth="1"/>
    <col min="11030" max="11264" width="15.625" style="30"/>
    <col min="11265" max="11265" width="4.625" style="30" customWidth="1"/>
    <col min="11266" max="11266" width="34.125" style="30" customWidth="1"/>
    <col min="11267" max="11268" width="0" style="30" hidden="1" customWidth="1"/>
    <col min="11269" max="11269" width="10.75" style="30" bestFit="1" customWidth="1"/>
    <col min="11270" max="11270" width="10.75" style="30" customWidth="1"/>
    <col min="11271" max="11271" width="11" style="30" customWidth="1"/>
    <col min="11272" max="11272" width="9.875" style="30" customWidth="1"/>
    <col min="11273" max="11276" width="10.75" style="30" customWidth="1"/>
    <col min="11277" max="11278" width="10.75" style="30" bestFit="1" customWidth="1"/>
    <col min="11279" max="11279" width="10.5" style="30" bestFit="1" customWidth="1"/>
    <col min="11280" max="11280" width="10.75" style="30" bestFit="1" customWidth="1"/>
    <col min="11281" max="11281" width="10.75" style="30" customWidth="1"/>
    <col min="11282" max="11282" width="11.5" style="30" bestFit="1" customWidth="1"/>
    <col min="11283" max="11283" width="10.75" style="30" bestFit="1" customWidth="1"/>
    <col min="11284" max="11284" width="9.875" style="30" bestFit="1" customWidth="1"/>
    <col min="11285" max="11285" width="13.375" style="30" bestFit="1" customWidth="1"/>
    <col min="11286" max="11520" width="15.625" style="30"/>
    <col min="11521" max="11521" width="4.625" style="30" customWidth="1"/>
    <col min="11522" max="11522" width="34.125" style="30" customWidth="1"/>
    <col min="11523" max="11524" width="0" style="30" hidden="1" customWidth="1"/>
    <col min="11525" max="11525" width="10.75" style="30" bestFit="1" customWidth="1"/>
    <col min="11526" max="11526" width="10.75" style="30" customWidth="1"/>
    <col min="11527" max="11527" width="11" style="30" customWidth="1"/>
    <col min="11528" max="11528" width="9.875" style="30" customWidth="1"/>
    <col min="11529" max="11532" width="10.75" style="30" customWidth="1"/>
    <col min="11533" max="11534" width="10.75" style="30" bestFit="1" customWidth="1"/>
    <col min="11535" max="11535" width="10.5" style="30" bestFit="1" customWidth="1"/>
    <col min="11536" max="11536" width="10.75" style="30" bestFit="1" customWidth="1"/>
    <col min="11537" max="11537" width="10.75" style="30" customWidth="1"/>
    <col min="11538" max="11538" width="11.5" style="30" bestFit="1" customWidth="1"/>
    <col min="11539" max="11539" width="10.75" style="30" bestFit="1" customWidth="1"/>
    <col min="11540" max="11540" width="9.875" style="30" bestFit="1" customWidth="1"/>
    <col min="11541" max="11541" width="13.375" style="30" bestFit="1" customWidth="1"/>
    <col min="11542" max="11776" width="15.625" style="30"/>
    <col min="11777" max="11777" width="4.625" style="30" customWidth="1"/>
    <col min="11778" max="11778" width="34.125" style="30" customWidth="1"/>
    <col min="11779" max="11780" width="0" style="30" hidden="1" customWidth="1"/>
    <col min="11781" max="11781" width="10.75" style="30" bestFit="1" customWidth="1"/>
    <col min="11782" max="11782" width="10.75" style="30" customWidth="1"/>
    <col min="11783" max="11783" width="11" style="30" customWidth="1"/>
    <col min="11784" max="11784" width="9.875" style="30" customWidth="1"/>
    <col min="11785" max="11788" width="10.75" style="30" customWidth="1"/>
    <col min="11789" max="11790" width="10.75" style="30" bestFit="1" customWidth="1"/>
    <col min="11791" max="11791" width="10.5" style="30" bestFit="1" customWidth="1"/>
    <col min="11792" max="11792" width="10.75" style="30" bestFit="1" customWidth="1"/>
    <col min="11793" max="11793" width="10.75" style="30" customWidth="1"/>
    <col min="11794" max="11794" width="11.5" style="30" bestFit="1" customWidth="1"/>
    <col min="11795" max="11795" width="10.75" style="30" bestFit="1" customWidth="1"/>
    <col min="11796" max="11796" width="9.875" style="30" bestFit="1" customWidth="1"/>
    <col min="11797" max="11797" width="13.375" style="30" bestFit="1" customWidth="1"/>
    <col min="11798" max="12032" width="15.625" style="30"/>
    <col min="12033" max="12033" width="4.625" style="30" customWidth="1"/>
    <col min="12034" max="12034" width="34.125" style="30" customWidth="1"/>
    <col min="12035" max="12036" width="0" style="30" hidden="1" customWidth="1"/>
    <col min="12037" max="12037" width="10.75" style="30" bestFit="1" customWidth="1"/>
    <col min="12038" max="12038" width="10.75" style="30" customWidth="1"/>
    <col min="12039" max="12039" width="11" style="30" customWidth="1"/>
    <col min="12040" max="12040" width="9.875" style="30" customWidth="1"/>
    <col min="12041" max="12044" width="10.75" style="30" customWidth="1"/>
    <col min="12045" max="12046" width="10.75" style="30" bestFit="1" customWidth="1"/>
    <col min="12047" max="12047" width="10.5" style="30" bestFit="1" customWidth="1"/>
    <col min="12048" max="12048" width="10.75" style="30" bestFit="1" customWidth="1"/>
    <col min="12049" max="12049" width="10.75" style="30" customWidth="1"/>
    <col min="12050" max="12050" width="11.5" style="30" bestFit="1" customWidth="1"/>
    <col min="12051" max="12051" width="10.75" style="30" bestFit="1" customWidth="1"/>
    <col min="12052" max="12052" width="9.875" style="30" bestFit="1" customWidth="1"/>
    <col min="12053" max="12053" width="13.375" style="30" bestFit="1" customWidth="1"/>
    <col min="12054" max="12288" width="15.625" style="30"/>
    <col min="12289" max="12289" width="4.625" style="30" customWidth="1"/>
    <col min="12290" max="12290" width="34.125" style="30" customWidth="1"/>
    <col min="12291" max="12292" width="0" style="30" hidden="1" customWidth="1"/>
    <col min="12293" max="12293" width="10.75" style="30" bestFit="1" customWidth="1"/>
    <col min="12294" max="12294" width="10.75" style="30" customWidth="1"/>
    <col min="12295" max="12295" width="11" style="30" customWidth="1"/>
    <col min="12296" max="12296" width="9.875" style="30" customWidth="1"/>
    <col min="12297" max="12300" width="10.75" style="30" customWidth="1"/>
    <col min="12301" max="12302" width="10.75" style="30" bestFit="1" customWidth="1"/>
    <col min="12303" max="12303" width="10.5" style="30" bestFit="1" customWidth="1"/>
    <col min="12304" max="12304" width="10.75" style="30" bestFit="1" customWidth="1"/>
    <col min="12305" max="12305" width="10.75" style="30" customWidth="1"/>
    <col min="12306" max="12306" width="11.5" style="30" bestFit="1" customWidth="1"/>
    <col min="12307" max="12307" width="10.75" style="30" bestFit="1" customWidth="1"/>
    <col min="12308" max="12308" width="9.875" style="30" bestFit="1" customWidth="1"/>
    <col min="12309" max="12309" width="13.375" style="30" bestFit="1" customWidth="1"/>
    <col min="12310" max="12544" width="15.625" style="30"/>
    <col min="12545" max="12545" width="4.625" style="30" customWidth="1"/>
    <col min="12546" max="12546" width="34.125" style="30" customWidth="1"/>
    <col min="12547" max="12548" width="0" style="30" hidden="1" customWidth="1"/>
    <col min="12549" max="12549" width="10.75" style="30" bestFit="1" customWidth="1"/>
    <col min="12550" max="12550" width="10.75" style="30" customWidth="1"/>
    <col min="12551" max="12551" width="11" style="30" customWidth="1"/>
    <col min="12552" max="12552" width="9.875" style="30" customWidth="1"/>
    <col min="12553" max="12556" width="10.75" style="30" customWidth="1"/>
    <col min="12557" max="12558" width="10.75" style="30" bestFit="1" customWidth="1"/>
    <col min="12559" max="12559" width="10.5" style="30" bestFit="1" customWidth="1"/>
    <col min="12560" max="12560" width="10.75" style="30" bestFit="1" customWidth="1"/>
    <col min="12561" max="12561" width="10.75" style="30" customWidth="1"/>
    <col min="12562" max="12562" width="11.5" style="30" bestFit="1" customWidth="1"/>
    <col min="12563" max="12563" width="10.75" style="30" bestFit="1" customWidth="1"/>
    <col min="12564" max="12564" width="9.875" style="30" bestFit="1" customWidth="1"/>
    <col min="12565" max="12565" width="13.375" style="30" bestFit="1" customWidth="1"/>
    <col min="12566" max="12800" width="15.625" style="30"/>
    <col min="12801" max="12801" width="4.625" style="30" customWidth="1"/>
    <col min="12802" max="12802" width="34.125" style="30" customWidth="1"/>
    <col min="12803" max="12804" width="0" style="30" hidden="1" customWidth="1"/>
    <col min="12805" max="12805" width="10.75" style="30" bestFit="1" customWidth="1"/>
    <col min="12806" max="12806" width="10.75" style="30" customWidth="1"/>
    <col min="12807" max="12807" width="11" style="30" customWidth="1"/>
    <col min="12808" max="12808" width="9.875" style="30" customWidth="1"/>
    <col min="12809" max="12812" width="10.75" style="30" customWidth="1"/>
    <col min="12813" max="12814" width="10.75" style="30" bestFit="1" customWidth="1"/>
    <col min="12815" max="12815" width="10.5" style="30" bestFit="1" customWidth="1"/>
    <col min="12816" max="12816" width="10.75" style="30" bestFit="1" customWidth="1"/>
    <col min="12817" max="12817" width="10.75" style="30" customWidth="1"/>
    <col min="12818" max="12818" width="11.5" style="30" bestFit="1" customWidth="1"/>
    <col min="12819" max="12819" width="10.75" style="30" bestFit="1" customWidth="1"/>
    <col min="12820" max="12820" width="9.875" style="30" bestFit="1" customWidth="1"/>
    <col min="12821" max="12821" width="13.375" style="30" bestFit="1" customWidth="1"/>
    <col min="12822" max="13056" width="15.625" style="30"/>
    <col min="13057" max="13057" width="4.625" style="30" customWidth="1"/>
    <col min="13058" max="13058" width="34.125" style="30" customWidth="1"/>
    <col min="13059" max="13060" width="0" style="30" hidden="1" customWidth="1"/>
    <col min="13061" max="13061" width="10.75" style="30" bestFit="1" customWidth="1"/>
    <col min="13062" max="13062" width="10.75" style="30" customWidth="1"/>
    <col min="13063" max="13063" width="11" style="30" customWidth="1"/>
    <col min="13064" max="13064" width="9.875" style="30" customWidth="1"/>
    <col min="13065" max="13068" width="10.75" style="30" customWidth="1"/>
    <col min="13069" max="13070" width="10.75" style="30" bestFit="1" customWidth="1"/>
    <col min="13071" max="13071" width="10.5" style="30" bestFit="1" customWidth="1"/>
    <col min="13072" max="13072" width="10.75" style="30" bestFit="1" customWidth="1"/>
    <col min="13073" max="13073" width="10.75" style="30" customWidth="1"/>
    <col min="13074" max="13074" width="11.5" style="30" bestFit="1" customWidth="1"/>
    <col min="13075" max="13075" width="10.75" style="30" bestFit="1" customWidth="1"/>
    <col min="13076" max="13076" width="9.875" style="30" bestFit="1" customWidth="1"/>
    <col min="13077" max="13077" width="13.375" style="30" bestFit="1" customWidth="1"/>
    <col min="13078" max="13312" width="15.625" style="30"/>
    <col min="13313" max="13313" width="4.625" style="30" customWidth="1"/>
    <col min="13314" max="13314" width="34.125" style="30" customWidth="1"/>
    <col min="13315" max="13316" width="0" style="30" hidden="1" customWidth="1"/>
    <col min="13317" max="13317" width="10.75" style="30" bestFit="1" customWidth="1"/>
    <col min="13318" max="13318" width="10.75" style="30" customWidth="1"/>
    <col min="13319" max="13319" width="11" style="30" customWidth="1"/>
    <col min="13320" max="13320" width="9.875" style="30" customWidth="1"/>
    <col min="13321" max="13324" width="10.75" style="30" customWidth="1"/>
    <col min="13325" max="13326" width="10.75" style="30" bestFit="1" customWidth="1"/>
    <col min="13327" max="13327" width="10.5" style="30" bestFit="1" customWidth="1"/>
    <col min="13328" max="13328" width="10.75" style="30" bestFit="1" customWidth="1"/>
    <col min="13329" max="13329" width="10.75" style="30" customWidth="1"/>
    <col min="13330" max="13330" width="11.5" style="30" bestFit="1" customWidth="1"/>
    <col min="13331" max="13331" width="10.75" style="30" bestFit="1" customWidth="1"/>
    <col min="13332" max="13332" width="9.875" style="30" bestFit="1" customWidth="1"/>
    <col min="13333" max="13333" width="13.375" style="30" bestFit="1" customWidth="1"/>
    <col min="13334" max="13568" width="15.625" style="30"/>
    <col min="13569" max="13569" width="4.625" style="30" customWidth="1"/>
    <col min="13570" max="13570" width="34.125" style="30" customWidth="1"/>
    <col min="13571" max="13572" width="0" style="30" hidden="1" customWidth="1"/>
    <col min="13573" max="13573" width="10.75" style="30" bestFit="1" customWidth="1"/>
    <col min="13574" max="13574" width="10.75" style="30" customWidth="1"/>
    <col min="13575" max="13575" width="11" style="30" customWidth="1"/>
    <col min="13576" max="13576" width="9.875" style="30" customWidth="1"/>
    <col min="13577" max="13580" width="10.75" style="30" customWidth="1"/>
    <col min="13581" max="13582" width="10.75" style="30" bestFit="1" customWidth="1"/>
    <col min="13583" max="13583" width="10.5" style="30" bestFit="1" customWidth="1"/>
    <col min="13584" max="13584" width="10.75" style="30" bestFit="1" customWidth="1"/>
    <col min="13585" max="13585" width="10.75" style="30" customWidth="1"/>
    <col min="13586" max="13586" width="11.5" style="30" bestFit="1" customWidth="1"/>
    <col min="13587" max="13587" width="10.75" style="30" bestFit="1" customWidth="1"/>
    <col min="13588" max="13588" width="9.875" style="30" bestFit="1" customWidth="1"/>
    <col min="13589" max="13589" width="13.375" style="30" bestFit="1" customWidth="1"/>
    <col min="13590" max="13824" width="15.625" style="30"/>
    <col min="13825" max="13825" width="4.625" style="30" customWidth="1"/>
    <col min="13826" max="13826" width="34.125" style="30" customWidth="1"/>
    <col min="13827" max="13828" width="0" style="30" hidden="1" customWidth="1"/>
    <col min="13829" max="13829" width="10.75" style="30" bestFit="1" customWidth="1"/>
    <col min="13830" max="13830" width="10.75" style="30" customWidth="1"/>
    <col min="13831" max="13831" width="11" style="30" customWidth="1"/>
    <col min="13832" max="13832" width="9.875" style="30" customWidth="1"/>
    <col min="13833" max="13836" width="10.75" style="30" customWidth="1"/>
    <col min="13837" max="13838" width="10.75" style="30" bestFit="1" customWidth="1"/>
    <col min="13839" max="13839" width="10.5" style="30" bestFit="1" customWidth="1"/>
    <col min="13840" max="13840" width="10.75" style="30" bestFit="1" customWidth="1"/>
    <col min="13841" max="13841" width="10.75" style="30" customWidth="1"/>
    <col min="13842" max="13842" width="11.5" style="30" bestFit="1" customWidth="1"/>
    <col min="13843" max="13843" width="10.75" style="30" bestFit="1" customWidth="1"/>
    <col min="13844" max="13844" width="9.875" style="30" bestFit="1" customWidth="1"/>
    <col min="13845" max="13845" width="13.375" style="30" bestFit="1" customWidth="1"/>
    <col min="13846" max="14080" width="15.625" style="30"/>
    <col min="14081" max="14081" width="4.625" style="30" customWidth="1"/>
    <col min="14082" max="14082" width="34.125" style="30" customWidth="1"/>
    <col min="14083" max="14084" width="0" style="30" hidden="1" customWidth="1"/>
    <col min="14085" max="14085" width="10.75" style="30" bestFit="1" customWidth="1"/>
    <col min="14086" max="14086" width="10.75" style="30" customWidth="1"/>
    <col min="14087" max="14087" width="11" style="30" customWidth="1"/>
    <col min="14088" max="14088" width="9.875" style="30" customWidth="1"/>
    <col min="14089" max="14092" width="10.75" style="30" customWidth="1"/>
    <col min="14093" max="14094" width="10.75" style="30" bestFit="1" customWidth="1"/>
    <col min="14095" max="14095" width="10.5" style="30" bestFit="1" customWidth="1"/>
    <col min="14096" max="14096" width="10.75" style="30" bestFit="1" customWidth="1"/>
    <col min="14097" max="14097" width="10.75" style="30" customWidth="1"/>
    <col min="14098" max="14098" width="11.5" style="30" bestFit="1" customWidth="1"/>
    <col min="14099" max="14099" width="10.75" style="30" bestFit="1" customWidth="1"/>
    <col min="14100" max="14100" width="9.875" style="30" bestFit="1" customWidth="1"/>
    <col min="14101" max="14101" width="13.375" style="30" bestFit="1" customWidth="1"/>
    <col min="14102" max="14336" width="15.625" style="30"/>
    <col min="14337" max="14337" width="4.625" style="30" customWidth="1"/>
    <col min="14338" max="14338" width="34.125" style="30" customWidth="1"/>
    <col min="14339" max="14340" width="0" style="30" hidden="1" customWidth="1"/>
    <col min="14341" max="14341" width="10.75" style="30" bestFit="1" customWidth="1"/>
    <col min="14342" max="14342" width="10.75" style="30" customWidth="1"/>
    <col min="14343" max="14343" width="11" style="30" customWidth="1"/>
    <col min="14344" max="14344" width="9.875" style="30" customWidth="1"/>
    <col min="14345" max="14348" width="10.75" style="30" customWidth="1"/>
    <col min="14349" max="14350" width="10.75" style="30" bestFit="1" customWidth="1"/>
    <col min="14351" max="14351" width="10.5" style="30" bestFit="1" customWidth="1"/>
    <col min="14352" max="14352" width="10.75" style="30" bestFit="1" customWidth="1"/>
    <col min="14353" max="14353" width="10.75" style="30" customWidth="1"/>
    <col min="14354" max="14354" width="11.5" style="30" bestFit="1" customWidth="1"/>
    <col min="14355" max="14355" width="10.75" style="30" bestFit="1" customWidth="1"/>
    <col min="14356" max="14356" width="9.875" style="30" bestFit="1" customWidth="1"/>
    <col min="14357" max="14357" width="13.375" style="30" bestFit="1" customWidth="1"/>
    <col min="14358" max="14592" width="15.625" style="30"/>
    <col min="14593" max="14593" width="4.625" style="30" customWidth="1"/>
    <col min="14594" max="14594" width="34.125" style="30" customWidth="1"/>
    <col min="14595" max="14596" width="0" style="30" hidden="1" customWidth="1"/>
    <col min="14597" max="14597" width="10.75" style="30" bestFit="1" customWidth="1"/>
    <col min="14598" max="14598" width="10.75" style="30" customWidth="1"/>
    <col min="14599" max="14599" width="11" style="30" customWidth="1"/>
    <col min="14600" max="14600" width="9.875" style="30" customWidth="1"/>
    <col min="14601" max="14604" width="10.75" style="30" customWidth="1"/>
    <col min="14605" max="14606" width="10.75" style="30" bestFit="1" customWidth="1"/>
    <col min="14607" max="14607" width="10.5" style="30" bestFit="1" customWidth="1"/>
    <col min="14608" max="14608" width="10.75" style="30" bestFit="1" customWidth="1"/>
    <col min="14609" max="14609" width="10.75" style="30" customWidth="1"/>
    <col min="14610" max="14610" width="11.5" style="30" bestFit="1" customWidth="1"/>
    <col min="14611" max="14611" width="10.75" style="30" bestFit="1" customWidth="1"/>
    <col min="14612" max="14612" width="9.875" style="30" bestFit="1" customWidth="1"/>
    <col min="14613" max="14613" width="13.375" style="30" bestFit="1" customWidth="1"/>
    <col min="14614" max="14848" width="15.625" style="30"/>
    <col min="14849" max="14849" width="4.625" style="30" customWidth="1"/>
    <col min="14850" max="14850" width="34.125" style="30" customWidth="1"/>
    <col min="14851" max="14852" width="0" style="30" hidden="1" customWidth="1"/>
    <col min="14853" max="14853" width="10.75" style="30" bestFit="1" customWidth="1"/>
    <col min="14854" max="14854" width="10.75" style="30" customWidth="1"/>
    <col min="14855" max="14855" width="11" style="30" customWidth="1"/>
    <col min="14856" max="14856" width="9.875" style="30" customWidth="1"/>
    <col min="14857" max="14860" width="10.75" style="30" customWidth="1"/>
    <col min="14861" max="14862" width="10.75" style="30" bestFit="1" customWidth="1"/>
    <col min="14863" max="14863" width="10.5" style="30" bestFit="1" customWidth="1"/>
    <col min="14864" max="14864" width="10.75" style="30" bestFit="1" customWidth="1"/>
    <col min="14865" max="14865" width="10.75" style="30" customWidth="1"/>
    <col min="14866" max="14866" width="11.5" style="30" bestFit="1" customWidth="1"/>
    <col min="14867" max="14867" width="10.75" style="30" bestFit="1" customWidth="1"/>
    <col min="14868" max="14868" width="9.875" style="30" bestFit="1" customWidth="1"/>
    <col min="14869" max="14869" width="13.375" style="30" bestFit="1" customWidth="1"/>
    <col min="14870" max="15104" width="15.625" style="30"/>
    <col min="15105" max="15105" width="4.625" style="30" customWidth="1"/>
    <col min="15106" max="15106" width="34.125" style="30" customWidth="1"/>
    <col min="15107" max="15108" width="0" style="30" hidden="1" customWidth="1"/>
    <col min="15109" max="15109" width="10.75" style="30" bestFit="1" customWidth="1"/>
    <col min="15110" max="15110" width="10.75" style="30" customWidth="1"/>
    <col min="15111" max="15111" width="11" style="30" customWidth="1"/>
    <col min="15112" max="15112" width="9.875" style="30" customWidth="1"/>
    <col min="15113" max="15116" width="10.75" style="30" customWidth="1"/>
    <col min="15117" max="15118" width="10.75" style="30" bestFit="1" customWidth="1"/>
    <col min="15119" max="15119" width="10.5" style="30" bestFit="1" customWidth="1"/>
    <col min="15120" max="15120" width="10.75" style="30" bestFit="1" customWidth="1"/>
    <col min="15121" max="15121" width="10.75" style="30" customWidth="1"/>
    <col min="15122" max="15122" width="11.5" style="30" bestFit="1" customWidth="1"/>
    <col min="15123" max="15123" width="10.75" style="30" bestFit="1" customWidth="1"/>
    <col min="15124" max="15124" width="9.875" style="30" bestFit="1" customWidth="1"/>
    <col min="15125" max="15125" width="13.375" style="30" bestFit="1" customWidth="1"/>
    <col min="15126" max="15360" width="15.625" style="30"/>
    <col min="15361" max="15361" width="4.625" style="30" customWidth="1"/>
    <col min="15362" max="15362" width="34.125" style="30" customWidth="1"/>
    <col min="15363" max="15364" width="0" style="30" hidden="1" customWidth="1"/>
    <col min="15365" max="15365" width="10.75" style="30" bestFit="1" customWidth="1"/>
    <col min="15366" max="15366" width="10.75" style="30" customWidth="1"/>
    <col min="15367" max="15367" width="11" style="30" customWidth="1"/>
    <col min="15368" max="15368" width="9.875" style="30" customWidth="1"/>
    <col min="15369" max="15372" width="10.75" style="30" customWidth="1"/>
    <col min="15373" max="15374" width="10.75" style="30" bestFit="1" customWidth="1"/>
    <col min="15375" max="15375" width="10.5" style="30" bestFit="1" customWidth="1"/>
    <col min="15376" max="15376" width="10.75" style="30" bestFit="1" customWidth="1"/>
    <col min="15377" max="15377" width="10.75" style="30" customWidth="1"/>
    <col min="15378" max="15378" width="11.5" style="30" bestFit="1" customWidth="1"/>
    <col min="15379" max="15379" width="10.75" style="30" bestFit="1" customWidth="1"/>
    <col min="15380" max="15380" width="9.875" style="30" bestFit="1" customWidth="1"/>
    <col min="15381" max="15381" width="13.375" style="30" bestFit="1" customWidth="1"/>
    <col min="15382" max="15616" width="15.625" style="30"/>
    <col min="15617" max="15617" width="4.625" style="30" customWidth="1"/>
    <col min="15618" max="15618" width="34.125" style="30" customWidth="1"/>
    <col min="15619" max="15620" width="0" style="30" hidden="1" customWidth="1"/>
    <col min="15621" max="15621" width="10.75" style="30" bestFit="1" customWidth="1"/>
    <col min="15622" max="15622" width="10.75" style="30" customWidth="1"/>
    <col min="15623" max="15623" width="11" style="30" customWidth="1"/>
    <col min="15624" max="15624" width="9.875" style="30" customWidth="1"/>
    <col min="15625" max="15628" width="10.75" style="30" customWidth="1"/>
    <col min="15629" max="15630" width="10.75" style="30" bestFit="1" customWidth="1"/>
    <col min="15631" max="15631" width="10.5" style="30" bestFit="1" customWidth="1"/>
    <col min="15632" max="15632" width="10.75" style="30" bestFit="1" customWidth="1"/>
    <col min="15633" max="15633" width="10.75" style="30" customWidth="1"/>
    <col min="15634" max="15634" width="11.5" style="30" bestFit="1" customWidth="1"/>
    <col min="15635" max="15635" width="10.75" style="30" bestFit="1" customWidth="1"/>
    <col min="15636" max="15636" width="9.875" style="30" bestFit="1" customWidth="1"/>
    <col min="15637" max="15637" width="13.375" style="30" bestFit="1" customWidth="1"/>
    <col min="15638" max="15872" width="15.625" style="30"/>
    <col min="15873" max="15873" width="4.625" style="30" customWidth="1"/>
    <col min="15874" max="15874" width="34.125" style="30" customWidth="1"/>
    <col min="15875" max="15876" width="0" style="30" hidden="1" customWidth="1"/>
    <col min="15877" max="15877" width="10.75" style="30" bestFit="1" customWidth="1"/>
    <col min="15878" max="15878" width="10.75" style="30" customWidth="1"/>
    <col min="15879" max="15879" width="11" style="30" customWidth="1"/>
    <col min="15880" max="15880" width="9.875" style="30" customWidth="1"/>
    <col min="15881" max="15884" width="10.75" style="30" customWidth="1"/>
    <col min="15885" max="15886" width="10.75" style="30" bestFit="1" customWidth="1"/>
    <col min="15887" max="15887" width="10.5" style="30" bestFit="1" customWidth="1"/>
    <col min="15888" max="15888" width="10.75" style="30" bestFit="1" customWidth="1"/>
    <col min="15889" max="15889" width="10.75" style="30" customWidth="1"/>
    <col min="15890" max="15890" width="11.5" style="30" bestFit="1" customWidth="1"/>
    <col min="15891" max="15891" width="10.75" style="30" bestFit="1" customWidth="1"/>
    <col min="15892" max="15892" width="9.875" style="30" bestFit="1" customWidth="1"/>
    <col min="15893" max="15893" width="13.375" style="30" bestFit="1" customWidth="1"/>
    <col min="15894" max="16128" width="15.625" style="30"/>
    <col min="16129" max="16129" width="4.625" style="30" customWidth="1"/>
    <col min="16130" max="16130" width="34.125" style="30" customWidth="1"/>
    <col min="16131" max="16132" width="0" style="30" hidden="1" customWidth="1"/>
    <col min="16133" max="16133" width="10.75" style="30" bestFit="1" customWidth="1"/>
    <col min="16134" max="16134" width="10.75" style="30" customWidth="1"/>
    <col min="16135" max="16135" width="11" style="30" customWidth="1"/>
    <col min="16136" max="16136" width="9.875" style="30" customWidth="1"/>
    <col min="16137" max="16140" width="10.75" style="30" customWidth="1"/>
    <col min="16141" max="16142" width="10.75" style="30" bestFit="1" customWidth="1"/>
    <col min="16143" max="16143" width="10.5" style="30" bestFit="1" customWidth="1"/>
    <col min="16144" max="16144" width="10.75" style="30" bestFit="1" customWidth="1"/>
    <col min="16145" max="16145" width="10.75" style="30" customWidth="1"/>
    <col min="16146" max="16146" width="11.5" style="30" bestFit="1" customWidth="1"/>
    <col min="16147" max="16147" width="10.75" style="30" bestFit="1" customWidth="1"/>
    <col min="16148" max="16148" width="9.875" style="30" bestFit="1" customWidth="1"/>
    <col min="16149" max="16149" width="13.375" style="30" bestFit="1" customWidth="1"/>
    <col min="16150" max="16384" width="15.625" style="30"/>
  </cols>
  <sheetData>
    <row r="1" spans="1:23" ht="25.5">
      <c r="A1" s="1332" t="s">
        <v>179</v>
      </c>
      <c r="B1" s="1333"/>
      <c r="C1" s="1333"/>
      <c r="D1" s="1333"/>
      <c r="E1" s="1333"/>
      <c r="F1" s="1333"/>
      <c r="G1" s="1333"/>
      <c r="H1" s="1333"/>
      <c r="I1" s="1333"/>
      <c r="J1" s="1333"/>
      <c r="K1" s="1333"/>
      <c r="L1" s="1333"/>
      <c r="M1" s="1333"/>
      <c r="N1" s="1333"/>
      <c r="O1" s="1333"/>
      <c r="P1" s="1333"/>
      <c r="Q1" s="1333"/>
      <c r="R1" s="1333"/>
      <c r="S1" s="1333"/>
      <c r="T1" s="1333"/>
      <c r="U1" s="1333"/>
      <c r="V1" s="1333"/>
    </row>
    <row r="2" spans="1:23" ht="30" customHeight="1">
      <c r="A2" s="31" t="s">
        <v>0</v>
      </c>
      <c r="B2" s="31" t="s">
        <v>180</v>
      </c>
      <c r="C2" s="31" t="s">
        <v>181</v>
      </c>
      <c r="D2" s="32" t="s">
        <v>182</v>
      </c>
      <c r="E2" s="93" t="s">
        <v>487</v>
      </c>
      <c r="F2" s="93" t="s">
        <v>488</v>
      </c>
      <c r="G2" s="93" t="s">
        <v>489</v>
      </c>
      <c r="H2" s="32" t="s">
        <v>490</v>
      </c>
      <c r="I2" s="32" t="s">
        <v>491</v>
      </c>
      <c r="J2" s="93" t="s">
        <v>57</v>
      </c>
      <c r="K2" s="93" t="s">
        <v>492</v>
      </c>
      <c r="L2" s="32" t="s">
        <v>493</v>
      </c>
      <c r="M2" s="93" t="s">
        <v>526</v>
      </c>
      <c r="N2" s="32" t="s">
        <v>494</v>
      </c>
      <c r="O2" s="93" t="s">
        <v>527</v>
      </c>
      <c r="P2" s="32" t="s">
        <v>528</v>
      </c>
      <c r="Q2" s="93" t="s">
        <v>65</v>
      </c>
      <c r="R2" s="32" t="s">
        <v>495</v>
      </c>
      <c r="S2" s="32" t="s">
        <v>67</v>
      </c>
      <c r="T2" s="32" t="s">
        <v>529</v>
      </c>
      <c r="U2" s="32" t="s">
        <v>530</v>
      </c>
      <c r="V2" s="32" t="s">
        <v>25</v>
      </c>
    </row>
    <row r="3" spans="1:23" ht="11.25">
      <c r="A3" s="33" t="s">
        <v>183</v>
      </c>
      <c r="B3" s="34" t="s">
        <v>184</v>
      </c>
      <c r="C3" s="34"/>
      <c r="D3" s="35" t="s">
        <v>185</v>
      </c>
      <c r="E3" s="36">
        <f>E4+E31+E52</f>
        <v>31174976.399999999</v>
      </c>
      <c r="F3" s="36">
        <f t="shared" ref="F3:U3" si="0">F4+F31+F52</f>
        <v>30149544.600000001</v>
      </c>
      <c r="G3" s="36">
        <f t="shared" si="0"/>
        <v>21593989.899999999</v>
      </c>
      <c r="H3" s="36">
        <f t="shared" si="0"/>
        <v>8730639.5899999999</v>
      </c>
      <c r="I3" s="36">
        <f t="shared" si="0"/>
        <v>31959333.850000001</v>
      </c>
      <c r="J3" s="36">
        <f t="shared" si="0"/>
        <v>27508919.300000001</v>
      </c>
      <c r="K3" s="36">
        <f t="shared" si="0"/>
        <v>29853472</v>
      </c>
      <c r="L3" s="36">
        <f t="shared" si="0"/>
        <v>14225102.15</v>
      </c>
      <c r="M3" s="36">
        <f t="shared" si="0"/>
        <v>16670463.550000001</v>
      </c>
      <c r="N3" s="36">
        <f t="shared" si="0"/>
        <v>18890007.75</v>
      </c>
      <c r="O3" s="36">
        <f t="shared" si="0"/>
        <v>21458405.699999999</v>
      </c>
      <c r="P3" s="36">
        <f t="shared" si="0"/>
        <v>21941384.100000001</v>
      </c>
      <c r="Q3" s="36">
        <f t="shared" si="0"/>
        <v>10396663.800000001</v>
      </c>
      <c r="R3" s="36">
        <f t="shared" si="0"/>
        <v>7210106.4500000002</v>
      </c>
      <c r="S3" s="36">
        <f t="shared" si="0"/>
        <v>13486895.92</v>
      </c>
      <c r="T3" s="36">
        <f>T4+T31+T52</f>
        <v>4070570</v>
      </c>
      <c r="U3" s="36">
        <f t="shared" si="0"/>
        <v>2247676</v>
      </c>
      <c r="V3" s="94">
        <f t="shared" ref="V3:V66" si="1">SUM(E3:U3)</f>
        <v>311568151.06000006</v>
      </c>
      <c r="W3" s="95"/>
    </row>
    <row r="4" spans="1:23" ht="11.25">
      <c r="A4" s="33" t="s">
        <v>186</v>
      </c>
      <c r="B4" s="34" t="s">
        <v>128</v>
      </c>
      <c r="C4" s="34"/>
      <c r="D4" s="35" t="s">
        <v>185</v>
      </c>
      <c r="E4" s="36">
        <f>E5+E8+E13+E17+E20+E22+E25+E27+E29+E30</f>
        <v>27222441</v>
      </c>
      <c r="F4" s="36">
        <f t="shared" ref="F4:U4" si="2">F5+F8+F13+F17+F20+F22+F25+F27+F29+F30</f>
        <v>26351934</v>
      </c>
      <c r="G4" s="36">
        <f t="shared" si="2"/>
        <v>18947527</v>
      </c>
      <c r="H4" s="36">
        <f t="shared" si="2"/>
        <v>5994613.2000000002</v>
      </c>
      <c r="I4" s="36">
        <f t="shared" si="2"/>
        <v>26036705</v>
      </c>
      <c r="J4" s="36">
        <f t="shared" si="2"/>
        <v>23251644</v>
      </c>
      <c r="K4" s="36">
        <f t="shared" si="2"/>
        <v>25042064</v>
      </c>
      <c r="L4" s="36">
        <f t="shared" si="2"/>
        <v>11877178</v>
      </c>
      <c r="M4" s="36">
        <f t="shared" si="2"/>
        <v>14201550</v>
      </c>
      <c r="N4" s="36">
        <f t="shared" si="2"/>
        <v>16317131</v>
      </c>
      <c r="O4" s="36">
        <f t="shared" si="2"/>
        <v>18254619</v>
      </c>
      <c r="P4" s="36">
        <f t="shared" si="2"/>
        <v>18328075.300000001</v>
      </c>
      <c r="Q4" s="36">
        <f t="shared" si="2"/>
        <v>8237667</v>
      </c>
      <c r="R4" s="36">
        <f t="shared" si="2"/>
        <v>6091000</v>
      </c>
      <c r="S4" s="36">
        <f t="shared" si="2"/>
        <v>11308580</v>
      </c>
      <c r="T4" s="36">
        <f t="shared" si="2"/>
        <v>2977410</v>
      </c>
      <c r="U4" s="36">
        <f t="shared" si="2"/>
        <v>1782476</v>
      </c>
      <c r="V4" s="94">
        <f t="shared" si="1"/>
        <v>262222614.5</v>
      </c>
    </row>
    <row r="5" spans="1:23" ht="11.25">
      <c r="A5" s="33" t="s">
        <v>187</v>
      </c>
      <c r="B5" s="34" t="s">
        <v>188</v>
      </c>
      <c r="C5" s="34"/>
      <c r="D5" s="35" t="s">
        <v>185</v>
      </c>
      <c r="E5" s="36">
        <f>E6+E7</f>
        <v>3898176</v>
      </c>
      <c r="F5" s="36">
        <f t="shared" ref="F5:U5" si="3">F6+F7</f>
        <v>3535752</v>
      </c>
      <c r="G5" s="36">
        <f t="shared" si="3"/>
        <v>2280888</v>
      </c>
      <c r="H5" s="36">
        <f t="shared" si="3"/>
        <v>1016352</v>
      </c>
      <c r="I5" s="36">
        <f t="shared" si="3"/>
        <v>4006668</v>
      </c>
      <c r="J5" s="36">
        <f t="shared" si="3"/>
        <v>3170268</v>
      </c>
      <c r="K5" s="36">
        <f t="shared" si="3"/>
        <v>2937744</v>
      </c>
      <c r="L5" s="36">
        <f t="shared" si="3"/>
        <v>1313712</v>
      </c>
      <c r="M5" s="36">
        <f t="shared" si="3"/>
        <v>1581924</v>
      </c>
      <c r="N5" s="36">
        <f t="shared" si="3"/>
        <v>2168304</v>
      </c>
      <c r="O5" s="36">
        <f t="shared" si="3"/>
        <v>2305728</v>
      </c>
      <c r="P5" s="36">
        <f t="shared" si="3"/>
        <v>2057110.6</v>
      </c>
      <c r="Q5" s="36">
        <f t="shared" si="3"/>
        <v>957552</v>
      </c>
      <c r="R5" s="36">
        <f t="shared" si="3"/>
        <v>748560</v>
      </c>
      <c r="S5" s="36">
        <f t="shared" si="3"/>
        <v>1305636</v>
      </c>
      <c r="T5" s="36">
        <f t="shared" si="3"/>
        <v>404688</v>
      </c>
      <c r="U5" s="36">
        <f t="shared" si="3"/>
        <v>253980</v>
      </c>
      <c r="V5" s="94">
        <f t="shared" si="1"/>
        <v>33943042.600000001</v>
      </c>
    </row>
    <row r="6" spans="1:23" ht="11.25">
      <c r="A6" s="33" t="s">
        <v>189</v>
      </c>
      <c r="B6" s="34" t="s">
        <v>190</v>
      </c>
      <c r="C6" s="34" t="s">
        <v>191</v>
      </c>
      <c r="D6" s="35" t="s">
        <v>192</v>
      </c>
      <c r="E6" s="96">
        <f>185411*12</f>
        <v>2224932</v>
      </c>
      <c r="F6" s="37">
        <v>2068800</v>
      </c>
      <c r="G6" s="96">
        <v>1530684</v>
      </c>
      <c r="H6" s="37">
        <v>512712</v>
      </c>
      <c r="I6" s="37">
        <v>2064012</v>
      </c>
      <c r="J6" s="96">
        <v>1851804</v>
      </c>
      <c r="K6" s="96">
        <v>2032584</v>
      </c>
      <c r="L6" s="37">
        <v>894636</v>
      </c>
      <c r="M6" s="96">
        <f>92545*12</f>
        <v>1110540</v>
      </c>
      <c r="N6" s="96">
        <v>1382748</v>
      </c>
      <c r="O6" s="96">
        <v>1519716</v>
      </c>
      <c r="P6" s="37">
        <f>'[1]基本支出（学校）'!$E$6</f>
        <v>1415976.5</v>
      </c>
      <c r="Q6" s="96">
        <f>56186*12</f>
        <v>674232</v>
      </c>
      <c r="R6" s="37">
        <v>505836</v>
      </c>
      <c r="S6" s="37">
        <v>908952</v>
      </c>
      <c r="T6" s="89">
        <v>266772</v>
      </c>
      <c r="U6" s="37">
        <v>131448</v>
      </c>
      <c r="V6" s="94">
        <f t="shared" si="1"/>
        <v>21096384.5</v>
      </c>
    </row>
    <row r="7" spans="1:23" ht="11.25">
      <c r="A7" s="33" t="s">
        <v>193</v>
      </c>
      <c r="B7" s="34" t="s">
        <v>194</v>
      </c>
      <c r="C7" s="34" t="s">
        <v>191</v>
      </c>
      <c r="D7" s="35" t="s">
        <v>192</v>
      </c>
      <c r="E7" s="96">
        <f>139437*12</f>
        <v>1673244</v>
      </c>
      <c r="F7" s="37">
        <v>1466952</v>
      </c>
      <c r="G7" s="96">
        <v>750204</v>
      </c>
      <c r="H7" s="37">
        <v>503640</v>
      </c>
      <c r="I7" s="37">
        <v>1942656</v>
      </c>
      <c r="J7" s="96">
        <v>1318464</v>
      </c>
      <c r="K7" s="96">
        <v>905160</v>
      </c>
      <c r="L7" s="37">
        <v>419076</v>
      </c>
      <c r="M7" s="96">
        <f>39282*12</f>
        <v>471384</v>
      </c>
      <c r="N7" s="96">
        <v>785556</v>
      </c>
      <c r="O7" s="96">
        <v>786012</v>
      </c>
      <c r="P7" s="37">
        <f>'[1]基本支出（学校）'!$E$7</f>
        <v>641134.1</v>
      </c>
      <c r="Q7" s="96">
        <f>23610*12</f>
        <v>283320</v>
      </c>
      <c r="R7" s="37">
        <v>242724</v>
      </c>
      <c r="S7" s="37">
        <v>396684</v>
      </c>
      <c r="T7" s="89">
        <v>137916</v>
      </c>
      <c r="U7" s="37">
        <v>122532</v>
      </c>
      <c r="V7" s="94">
        <f t="shared" si="1"/>
        <v>12846658.1</v>
      </c>
    </row>
    <row r="8" spans="1:23" ht="11.25">
      <c r="A8" s="33" t="s">
        <v>195</v>
      </c>
      <c r="B8" s="34" t="s">
        <v>196</v>
      </c>
      <c r="C8" s="34"/>
      <c r="D8" s="35" t="s">
        <v>185</v>
      </c>
      <c r="E8" s="36">
        <f>E9+E10</f>
        <v>471396</v>
      </c>
      <c r="F8" s="36">
        <f t="shared" ref="F8:U8" si="4">F9+F10</f>
        <v>454200</v>
      </c>
      <c r="G8" s="36">
        <f t="shared" si="4"/>
        <v>328896</v>
      </c>
      <c r="H8" s="36">
        <f t="shared" si="4"/>
        <v>98496</v>
      </c>
      <c r="I8" s="36">
        <f t="shared" si="4"/>
        <v>460356</v>
      </c>
      <c r="J8" s="36">
        <f t="shared" si="4"/>
        <v>421656</v>
      </c>
      <c r="K8" s="36">
        <f t="shared" si="4"/>
        <v>471822</v>
      </c>
      <c r="L8" s="36">
        <f t="shared" si="4"/>
        <v>214848</v>
      </c>
      <c r="M8" s="36">
        <f t="shared" si="4"/>
        <v>258216</v>
      </c>
      <c r="N8" s="36">
        <f t="shared" si="4"/>
        <v>310416</v>
      </c>
      <c r="O8" s="36">
        <f t="shared" si="4"/>
        <v>345636</v>
      </c>
      <c r="P8" s="36">
        <f t="shared" si="4"/>
        <v>365419.7</v>
      </c>
      <c r="Q8" s="36">
        <f t="shared" si="4"/>
        <v>161316</v>
      </c>
      <c r="R8" s="36">
        <f t="shared" si="4"/>
        <v>118632</v>
      </c>
      <c r="S8" s="36">
        <f t="shared" si="4"/>
        <v>220428</v>
      </c>
      <c r="T8" s="36">
        <f t="shared" si="4"/>
        <v>59352</v>
      </c>
      <c r="U8" s="36">
        <f t="shared" si="4"/>
        <v>32352</v>
      </c>
      <c r="V8" s="94">
        <f t="shared" si="1"/>
        <v>4793437.7</v>
      </c>
    </row>
    <row r="9" spans="1:23" ht="11.25">
      <c r="A9" s="33" t="s">
        <v>197</v>
      </c>
      <c r="B9" s="34" t="s">
        <v>198</v>
      </c>
      <c r="C9" s="34" t="s">
        <v>191</v>
      </c>
      <c r="D9" s="35" t="s">
        <v>192</v>
      </c>
      <c r="E9" s="96">
        <f>481*12</f>
        <v>5772</v>
      </c>
      <c r="F9" s="37">
        <v>4632</v>
      </c>
      <c r="G9" s="96">
        <v>2424</v>
      </c>
      <c r="H9" s="37">
        <v>2160</v>
      </c>
      <c r="I9" s="37">
        <v>16140</v>
      </c>
      <c r="J9" s="96">
        <v>4200</v>
      </c>
      <c r="K9" s="96">
        <v>11550</v>
      </c>
      <c r="L9" s="37">
        <v>768</v>
      </c>
      <c r="M9" s="96">
        <f>110*12</f>
        <v>1320</v>
      </c>
      <c r="N9" s="37"/>
      <c r="O9" s="96">
        <v>3108</v>
      </c>
      <c r="P9" s="37">
        <f>'[1]基本支出（学校）'!$E$9</f>
        <v>22891.699999999997</v>
      </c>
      <c r="Q9" s="96">
        <f>63*12</f>
        <v>756</v>
      </c>
      <c r="R9" s="37">
        <v>888</v>
      </c>
      <c r="S9" s="37">
        <v>996</v>
      </c>
      <c r="T9" s="89">
        <v>480</v>
      </c>
      <c r="U9" s="37">
        <v>240</v>
      </c>
      <c r="V9" s="94">
        <f t="shared" si="1"/>
        <v>78325.7</v>
      </c>
    </row>
    <row r="10" spans="1:23" ht="11.25">
      <c r="A10" s="33" t="s">
        <v>199</v>
      </c>
      <c r="B10" s="34" t="s">
        <v>200</v>
      </c>
      <c r="C10" s="34"/>
      <c r="D10" s="35" t="s">
        <v>185</v>
      </c>
      <c r="E10" s="36">
        <f>E11+E12</f>
        <v>465624</v>
      </c>
      <c r="F10" s="36">
        <f t="shared" ref="F10:U10" si="5">F11+F12</f>
        <v>449568</v>
      </c>
      <c r="G10" s="36">
        <f t="shared" si="5"/>
        <v>326472</v>
      </c>
      <c r="H10" s="36">
        <f t="shared" si="5"/>
        <v>96336</v>
      </c>
      <c r="I10" s="36">
        <f t="shared" si="5"/>
        <v>444216</v>
      </c>
      <c r="J10" s="36">
        <f t="shared" si="5"/>
        <v>417456</v>
      </c>
      <c r="K10" s="36">
        <f t="shared" si="5"/>
        <v>460272</v>
      </c>
      <c r="L10" s="36">
        <f t="shared" si="5"/>
        <v>214080</v>
      </c>
      <c r="M10" s="36">
        <f t="shared" si="5"/>
        <v>256896</v>
      </c>
      <c r="N10" s="36">
        <f t="shared" si="5"/>
        <v>310416</v>
      </c>
      <c r="O10" s="36">
        <f t="shared" si="5"/>
        <v>342528</v>
      </c>
      <c r="P10" s="36">
        <f t="shared" si="5"/>
        <v>342528</v>
      </c>
      <c r="Q10" s="36">
        <f t="shared" si="5"/>
        <v>160560</v>
      </c>
      <c r="R10" s="36">
        <f t="shared" si="5"/>
        <v>117744</v>
      </c>
      <c r="S10" s="36">
        <f t="shared" si="5"/>
        <v>219432</v>
      </c>
      <c r="T10" s="36">
        <f t="shared" si="5"/>
        <v>58872</v>
      </c>
      <c r="U10" s="36">
        <f t="shared" si="5"/>
        <v>32112</v>
      </c>
      <c r="V10" s="94">
        <f t="shared" si="1"/>
        <v>4715112</v>
      </c>
    </row>
    <row r="11" spans="1:23" s="40" customFormat="1" ht="11.25">
      <c r="A11" s="33" t="s">
        <v>201</v>
      </c>
      <c r="B11" s="38" t="s">
        <v>202</v>
      </c>
      <c r="C11" s="38" t="s">
        <v>191</v>
      </c>
      <c r="D11" s="39" t="s">
        <v>185</v>
      </c>
      <c r="E11" s="97">
        <f>72*E96</f>
        <v>6264</v>
      </c>
      <c r="F11" s="97">
        <f>72*F96</f>
        <v>6048</v>
      </c>
      <c r="G11" s="98">
        <v>4392</v>
      </c>
      <c r="H11" s="97">
        <f>72*H96</f>
        <v>1296</v>
      </c>
      <c r="I11" s="36">
        <f>72*I96</f>
        <v>5976</v>
      </c>
      <c r="J11" s="99">
        <v>5616</v>
      </c>
      <c r="K11" s="99">
        <v>6192</v>
      </c>
      <c r="L11" s="97">
        <f>72*L96</f>
        <v>2880</v>
      </c>
      <c r="M11" s="97">
        <f>72*M96</f>
        <v>3456</v>
      </c>
      <c r="N11" s="97">
        <f>72*N96</f>
        <v>4176</v>
      </c>
      <c r="O11" s="98">
        <v>4608</v>
      </c>
      <c r="P11" s="36">
        <f>72*P96</f>
        <v>4608</v>
      </c>
      <c r="Q11" s="98">
        <f>6*30*12</f>
        <v>2160</v>
      </c>
      <c r="R11" s="36">
        <f>72*R96</f>
        <v>1584</v>
      </c>
      <c r="S11" s="36">
        <f>72*S96</f>
        <v>2952</v>
      </c>
      <c r="T11" s="36">
        <f>72*T96</f>
        <v>792</v>
      </c>
      <c r="U11" s="36">
        <f>72*U96</f>
        <v>432</v>
      </c>
      <c r="V11" s="94">
        <f t="shared" si="1"/>
        <v>63432</v>
      </c>
    </row>
    <row r="12" spans="1:23" s="40" customFormat="1" ht="11.25">
      <c r="A12" s="33" t="s">
        <v>203</v>
      </c>
      <c r="B12" s="38" t="s">
        <v>204</v>
      </c>
      <c r="C12" s="38" t="s">
        <v>191</v>
      </c>
      <c r="D12" s="39" t="s">
        <v>185</v>
      </c>
      <c r="E12" s="97">
        <f>440*12*E96</f>
        <v>459360</v>
      </c>
      <c r="F12" s="97">
        <f>440*12*F96</f>
        <v>443520</v>
      </c>
      <c r="G12" s="98">
        <v>322080</v>
      </c>
      <c r="H12" s="97">
        <f>440*12*H96</f>
        <v>95040</v>
      </c>
      <c r="I12" s="36">
        <f>440*12*I96</f>
        <v>438240</v>
      </c>
      <c r="J12" s="99">
        <v>411840</v>
      </c>
      <c r="K12" s="99">
        <v>454080</v>
      </c>
      <c r="L12" s="97">
        <f>440*12*L96</f>
        <v>211200</v>
      </c>
      <c r="M12" s="97">
        <f>440*12*M96</f>
        <v>253440</v>
      </c>
      <c r="N12" s="97">
        <f>440*12*N96</f>
        <v>306240</v>
      </c>
      <c r="O12" s="98">
        <v>337920</v>
      </c>
      <c r="P12" s="36">
        <f>440*12*P96</f>
        <v>337920</v>
      </c>
      <c r="Q12" s="98">
        <f>440*30*12</f>
        <v>158400</v>
      </c>
      <c r="R12" s="36">
        <f>440*12*R96</f>
        <v>116160</v>
      </c>
      <c r="S12" s="36">
        <f>440*12*S96</f>
        <v>216480</v>
      </c>
      <c r="T12" s="36">
        <f>440*12*T96</f>
        <v>58080</v>
      </c>
      <c r="U12" s="36">
        <f>440*12*U96</f>
        <v>31680</v>
      </c>
      <c r="V12" s="94">
        <f t="shared" si="1"/>
        <v>4651680</v>
      </c>
    </row>
    <row r="13" spans="1:23" ht="11.25">
      <c r="A13" s="33" t="s">
        <v>205</v>
      </c>
      <c r="B13" s="34" t="s">
        <v>206</v>
      </c>
      <c r="C13" s="34"/>
      <c r="D13" s="35" t="s">
        <v>207</v>
      </c>
      <c r="E13" s="100">
        <f>E14+E15+E16</f>
        <v>424998</v>
      </c>
      <c r="F13" s="100">
        <f t="shared" ref="F13:U13" si="6">F14+F15+F16</f>
        <v>425982</v>
      </c>
      <c r="G13" s="100">
        <f t="shared" si="6"/>
        <v>314538</v>
      </c>
      <c r="H13" s="100">
        <f t="shared" si="6"/>
        <v>95908.799999999988</v>
      </c>
      <c r="I13" s="100">
        <f t="shared" si="6"/>
        <v>393222</v>
      </c>
      <c r="J13" s="100">
        <f t="shared" si="6"/>
        <v>337398</v>
      </c>
      <c r="K13" s="100">
        <f t="shared" si="6"/>
        <v>369708</v>
      </c>
      <c r="L13" s="100">
        <f t="shared" si="6"/>
        <v>187061.99999999997</v>
      </c>
      <c r="M13" s="100">
        <f t="shared" si="6"/>
        <v>221478.00000000003</v>
      </c>
      <c r="N13" s="100">
        <f t="shared" si="6"/>
        <v>244129</v>
      </c>
      <c r="O13" s="100">
        <f t="shared" si="6"/>
        <v>286925</v>
      </c>
      <c r="P13" s="100">
        <f t="shared" si="6"/>
        <v>302835</v>
      </c>
      <c r="Q13" s="100">
        <f t="shared" si="6"/>
        <v>124221</v>
      </c>
      <c r="R13" s="100">
        <f t="shared" si="6"/>
        <v>91272</v>
      </c>
      <c r="S13" s="100">
        <f t="shared" si="6"/>
        <v>172584</v>
      </c>
      <c r="T13" s="100">
        <f>T14+T15+T16</f>
        <v>40450</v>
      </c>
      <c r="U13" s="100">
        <f t="shared" si="6"/>
        <v>29150</v>
      </c>
      <c r="V13" s="94">
        <f t="shared" si="1"/>
        <v>4061860.8</v>
      </c>
    </row>
    <row r="14" spans="1:23" s="105" customFormat="1" ht="11.25">
      <c r="A14" s="101" t="s">
        <v>208</v>
      </c>
      <c r="B14" s="102" t="s">
        <v>209</v>
      </c>
      <c r="C14" s="102" t="s">
        <v>191</v>
      </c>
      <c r="D14" s="103" t="s">
        <v>210</v>
      </c>
      <c r="E14" s="100">
        <f>E16*3</f>
        <v>254998.80000000002</v>
      </c>
      <c r="F14" s="100">
        <f t="shared" ref="F14:U14" si="7">F16*3</f>
        <v>255589.19999999998</v>
      </c>
      <c r="G14" s="100">
        <f t="shared" si="7"/>
        <v>188722.80000000002</v>
      </c>
      <c r="H14" s="100">
        <f t="shared" si="7"/>
        <v>57545.279999999999</v>
      </c>
      <c r="I14" s="100">
        <f>I16*3</f>
        <v>235933.19999999998</v>
      </c>
      <c r="J14" s="100">
        <f t="shared" si="7"/>
        <v>202438.80000000002</v>
      </c>
      <c r="K14" s="100">
        <f t="shared" si="7"/>
        <v>221824.80000000002</v>
      </c>
      <c r="L14" s="100">
        <f t="shared" si="7"/>
        <v>112237.19999999998</v>
      </c>
      <c r="M14" s="100">
        <f t="shared" si="7"/>
        <v>132886.80000000002</v>
      </c>
      <c r="N14" s="100">
        <f t="shared" si="7"/>
        <v>146477.40000000002</v>
      </c>
      <c r="O14" s="100">
        <f t="shared" si="7"/>
        <v>172155</v>
      </c>
      <c r="P14" s="100">
        <f t="shared" si="7"/>
        <v>181701</v>
      </c>
      <c r="Q14" s="100">
        <f t="shared" si="7"/>
        <v>74532.600000000006</v>
      </c>
      <c r="R14" s="100">
        <f t="shared" si="7"/>
        <v>54763.200000000004</v>
      </c>
      <c r="S14" s="100">
        <f t="shared" si="7"/>
        <v>103550.40000000001</v>
      </c>
      <c r="T14" s="100">
        <f t="shared" si="7"/>
        <v>24270</v>
      </c>
      <c r="U14" s="100">
        <f t="shared" si="7"/>
        <v>17490</v>
      </c>
      <c r="V14" s="104">
        <f t="shared" si="1"/>
        <v>2437116.4800000004</v>
      </c>
    </row>
    <row r="15" spans="1:23" s="105" customFormat="1" ht="11.25">
      <c r="A15" s="101" t="s">
        <v>211</v>
      </c>
      <c r="B15" s="102" t="s">
        <v>212</v>
      </c>
      <c r="C15" s="102" t="s">
        <v>191</v>
      </c>
      <c r="D15" s="103" t="s">
        <v>210</v>
      </c>
      <c r="E15" s="106">
        <f>E16</f>
        <v>84999.6</v>
      </c>
      <c r="F15" s="107">
        <f t="shared" ref="F15:U15" si="8">F16</f>
        <v>85196.4</v>
      </c>
      <c r="G15" s="107">
        <f t="shared" si="8"/>
        <v>62907.600000000006</v>
      </c>
      <c r="H15" s="100">
        <f t="shared" si="8"/>
        <v>19181.759999999998</v>
      </c>
      <c r="I15" s="100">
        <f>I16</f>
        <v>78644.399999999994</v>
      </c>
      <c r="J15" s="100">
        <f t="shared" si="8"/>
        <v>67479.600000000006</v>
      </c>
      <c r="K15" s="100">
        <f t="shared" si="8"/>
        <v>73941.600000000006</v>
      </c>
      <c r="L15" s="100">
        <f t="shared" si="8"/>
        <v>37412.399999999994</v>
      </c>
      <c r="M15" s="107">
        <f t="shared" si="8"/>
        <v>44295.600000000006</v>
      </c>
      <c r="N15" s="107">
        <f t="shared" si="8"/>
        <v>48825.8</v>
      </c>
      <c r="O15" s="100">
        <f t="shared" si="8"/>
        <v>57385</v>
      </c>
      <c r="P15" s="100">
        <f t="shared" si="8"/>
        <v>60567</v>
      </c>
      <c r="Q15" s="100">
        <f t="shared" si="8"/>
        <v>24844.2</v>
      </c>
      <c r="R15" s="100">
        <f t="shared" si="8"/>
        <v>18254.400000000001</v>
      </c>
      <c r="S15" s="100">
        <f t="shared" si="8"/>
        <v>34516.800000000003</v>
      </c>
      <c r="T15" s="107">
        <f t="shared" si="8"/>
        <v>8090</v>
      </c>
      <c r="U15" s="100">
        <f t="shared" si="8"/>
        <v>5830</v>
      </c>
      <c r="V15" s="104">
        <f t="shared" si="1"/>
        <v>812372.16</v>
      </c>
    </row>
    <row r="16" spans="1:23" s="105" customFormat="1" ht="11.25">
      <c r="A16" s="101" t="s">
        <v>213</v>
      </c>
      <c r="B16" s="102" t="s">
        <v>214</v>
      </c>
      <c r="C16" s="102" t="s">
        <v>191</v>
      </c>
      <c r="D16" s="103" t="s">
        <v>210</v>
      </c>
      <c r="E16" s="108">
        <v>84999.6</v>
      </c>
      <c r="F16" s="109">
        <v>85196.4</v>
      </c>
      <c r="G16" s="109">
        <f>5242.3*12</f>
        <v>62907.600000000006</v>
      </c>
      <c r="H16" s="110">
        <v>19181.759999999998</v>
      </c>
      <c r="I16" s="110">
        <v>78644.399999999994</v>
      </c>
      <c r="J16" s="111">
        <v>67479.600000000006</v>
      </c>
      <c r="K16" s="111">
        <v>73941.600000000006</v>
      </c>
      <c r="L16" s="110">
        <f>3117.7*12</f>
        <v>37412.399999999994</v>
      </c>
      <c r="M16" s="109">
        <v>44295.600000000006</v>
      </c>
      <c r="N16" s="112">
        <v>48825.8</v>
      </c>
      <c r="O16" s="111">
        <v>57385</v>
      </c>
      <c r="P16" s="110">
        <v>60567</v>
      </c>
      <c r="Q16" s="111">
        <v>24844.2</v>
      </c>
      <c r="R16" s="110">
        <v>18254.400000000001</v>
      </c>
      <c r="S16" s="110">
        <v>34516.800000000003</v>
      </c>
      <c r="T16" s="112">
        <v>8090</v>
      </c>
      <c r="U16" s="110">
        <v>5830</v>
      </c>
      <c r="V16" s="104">
        <f t="shared" si="1"/>
        <v>812372.16</v>
      </c>
    </row>
    <row r="17" spans="1:22" ht="11.25">
      <c r="A17" s="33" t="s">
        <v>215</v>
      </c>
      <c r="B17" s="34" t="s">
        <v>216</v>
      </c>
      <c r="C17" s="34"/>
      <c r="D17" s="35" t="s">
        <v>185</v>
      </c>
      <c r="E17" s="97">
        <v>13942707</v>
      </c>
      <c r="F17" s="97">
        <v>13461924</v>
      </c>
      <c r="G17" s="98">
        <v>9775921</v>
      </c>
      <c r="H17" s="97">
        <v>2884698</v>
      </c>
      <c r="I17" s="36">
        <v>13301663</v>
      </c>
      <c r="J17" s="99">
        <v>12500358</v>
      </c>
      <c r="K17" s="99">
        <v>13782446</v>
      </c>
      <c r="L17" s="97">
        <v>6410440</v>
      </c>
      <c r="M17" s="97">
        <v>7692528</v>
      </c>
      <c r="N17" s="97">
        <v>8643160</v>
      </c>
      <c r="O17" s="98">
        <v>9537280</v>
      </c>
      <c r="P17" s="36">
        <v>9537280</v>
      </c>
      <c r="Q17" s="98">
        <v>4470600</v>
      </c>
      <c r="R17" s="36">
        <v>3278440</v>
      </c>
      <c r="S17" s="36">
        <v>6109820</v>
      </c>
      <c r="T17" s="36">
        <v>1639220</v>
      </c>
      <c r="U17" s="36">
        <v>884694</v>
      </c>
      <c r="V17" s="94">
        <f t="shared" si="1"/>
        <v>137853179</v>
      </c>
    </row>
    <row r="18" spans="1:22" ht="11.25">
      <c r="A18" s="33" t="s">
        <v>217</v>
      </c>
      <c r="B18" s="41" t="s">
        <v>218</v>
      </c>
      <c r="C18" s="41" t="s">
        <v>191</v>
      </c>
      <c r="D18" s="42" t="s">
        <v>219</v>
      </c>
      <c r="E18" s="113">
        <f>E17-E19</f>
        <v>13615309</v>
      </c>
      <c r="F18" s="113">
        <f t="shared" ref="F18:U18" si="9">F17-F19</f>
        <v>13174630</v>
      </c>
      <c r="G18" s="113">
        <f t="shared" si="9"/>
        <v>9608469</v>
      </c>
      <c r="H18" s="113">
        <f t="shared" si="9"/>
        <v>2884698</v>
      </c>
      <c r="I18" s="113">
        <f t="shared" si="9"/>
        <v>12927875</v>
      </c>
      <c r="J18" s="113">
        <f t="shared" si="9"/>
        <v>12326126</v>
      </c>
      <c r="K18" s="113">
        <f t="shared" si="9"/>
        <v>13595770</v>
      </c>
      <c r="L18" s="113">
        <f t="shared" si="9"/>
        <v>6236868</v>
      </c>
      <c r="M18" s="113">
        <f t="shared" si="9"/>
        <v>7526756</v>
      </c>
      <c r="N18" s="113">
        <f t="shared" si="9"/>
        <v>8471608</v>
      </c>
      <c r="O18" s="113">
        <f t="shared" si="9"/>
        <v>9336724</v>
      </c>
      <c r="P18" s="113">
        <f t="shared" si="9"/>
        <v>9353392</v>
      </c>
      <c r="Q18" s="113">
        <f t="shared" si="9"/>
        <v>4322004</v>
      </c>
      <c r="R18" s="113">
        <f t="shared" si="9"/>
        <v>3143384</v>
      </c>
      <c r="S18" s="113">
        <f t="shared" si="9"/>
        <v>5959844</v>
      </c>
      <c r="T18" s="113">
        <f t="shared" si="9"/>
        <v>1489754</v>
      </c>
      <c r="U18" s="113">
        <f t="shared" si="9"/>
        <v>884694</v>
      </c>
      <c r="V18" s="94">
        <f t="shared" si="1"/>
        <v>134857905</v>
      </c>
    </row>
    <row r="19" spans="1:22" ht="12.75">
      <c r="A19" s="33" t="s">
        <v>220</v>
      </c>
      <c r="B19" s="41" t="s">
        <v>221</v>
      </c>
      <c r="C19" s="41" t="s">
        <v>191</v>
      </c>
      <c r="D19" s="42" t="s">
        <v>222</v>
      </c>
      <c r="E19" s="113">
        <v>327398</v>
      </c>
      <c r="F19" s="113">
        <v>287294</v>
      </c>
      <c r="G19" s="114">
        <v>167452</v>
      </c>
      <c r="H19" s="113"/>
      <c r="I19" s="43">
        <v>373788</v>
      </c>
      <c r="J19" s="115">
        <v>174232</v>
      </c>
      <c r="K19" s="115">
        <v>186676</v>
      </c>
      <c r="L19" s="116">
        <v>173572</v>
      </c>
      <c r="M19" s="113">
        <v>165772</v>
      </c>
      <c r="N19" s="113">
        <v>171552</v>
      </c>
      <c r="O19" s="114">
        <v>200556</v>
      </c>
      <c r="P19" s="43">
        <v>183888</v>
      </c>
      <c r="Q19" s="114">
        <v>148596</v>
      </c>
      <c r="R19" s="43">
        <v>135056</v>
      </c>
      <c r="S19" s="43">
        <v>149976</v>
      </c>
      <c r="T19" s="43">
        <v>149466</v>
      </c>
      <c r="U19" s="43"/>
      <c r="V19" s="94">
        <f t="shared" si="1"/>
        <v>2995274</v>
      </c>
    </row>
    <row r="20" spans="1:22" ht="11.25">
      <c r="A20" s="33" t="s">
        <v>223</v>
      </c>
      <c r="B20" s="34" t="s">
        <v>224</v>
      </c>
      <c r="C20" s="34"/>
      <c r="D20" s="42" t="s">
        <v>185</v>
      </c>
      <c r="E20" s="117">
        <f>E21</f>
        <v>1699992</v>
      </c>
      <c r="F20" s="117">
        <f t="shared" ref="F20:U20" si="10">F21</f>
        <v>1703928</v>
      </c>
      <c r="G20" s="117">
        <f t="shared" si="10"/>
        <v>1258152</v>
      </c>
      <c r="H20" s="117">
        <f t="shared" si="10"/>
        <v>383635.19999999995</v>
      </c>
      <c r="I20" s="117">
        <f t="shared" si="10"/>
        <v>1572888</v>
      </c>
      <c r="J20" s="117">
        <f t="shared" si="10"/>
        <v>1349592</v>
      </c>
      <c r="K20" s="117">
        <f t="shared" si="10"/>
        <v>1478832</v>
      </c>
      <c r="L20" s="117">
        <f t="shared" si="10"/>
        <v>748247.99999999988</v>
      </c>
      <c r="M20" s="117">
        <f t="shared" si="10"/>
        <v>885912.00000000012</v>
      </c>
      <c r="N20" s="117">
        <f t="shared" si="10"/>
        <v>976516</v>
      </c>
      <c r="O20" s="117">
        <f t="shared" si="10"/>
        <v>1147700</v>
      </c>
      <c r="P20" s="117">
        <f t="shared" si="10"/>
        <v>1211340</v>
      </c>
      <c r="Q20" s="117">
        <f t="shared" si="10"/>
        <v>496884</v>
      </c>
      <c r="R20" s="117">
        <f t="shared" si="10"/>
        <v>365088</v>
      </c>
      <c r="S20" s="117">
        <f t="shared" si="10"/>
        <v>690336</v>
      </c>
      <c r="T20" s="117">
        <f t="shared" si="10"/>
        <v>161800</v>
      </c>
      <c r="U20" s="117">
        <f t="shared" si="10"/>
        <v>116600</v>
      </c>
      <c r="V20" s="94">
        <f t="shared" si="1"/>
        <v>16247443.199999999</v>
      </c>
    </row>
    <row r="21" spans="1:22" ht="11.25">
      <c r="A21" s="33" t="s">
        <v>225</v>
      </c>
      <c r="B21" s="34" t="s">
        <v>226</v>
      </c>
      <c r="C21" s="34" t="s">
        <v>227</v>
      </c>
      <c r="D21" s="42" t="s">
        <v>185</v>
      </c>
      <c r="E21" s="117">
        <f>E16*20</f>
        <v>1699992</v>
      </c>
      <c r="F21" s="117">
        <f t="shared" ref="F21:U21" si="11">F16*20</f>
        <v>1703928</v>
      </c>
      <c r="G21" s="117">
        <f t="shared" si="11"/>
        <v>1258152</v>
      </c>
      <c r="H21" s="117">
        <f t="shared" si="11"/>
        <v>383635.19999999995</v>
      </c>
      <c r="I21" s="45">
        <f>I16*20</f>
        <v>1572888</v>
      </c>
      <c r="J21" s="117">
        <f t="shared" si="11"/>
        <v>1349592</v>
      </c>
      <c r="K21" s="117">
        <f t="shared" si="11"/>
        <v>1478832</v>
      </c>
      <c r="L21" s="117">
        <f t="shared" si="11"/>
        <v>748247.99999999988</v>
      </c>
      <c r="M21" s="117">
        <f t="shared" si="11"/>
        <v>885912.00000000012</v>
      </c>
      <c r="N21" s="117">
        <f t="shared" si="11"/>
        <v>976516</v>
      </c>
      <c r="O21" s="117">
        <f t="shared" si="11"/>
        <v>1147700</v>
      </c>
      <c r="P21" s="117">
        <f t="shared" si="11"/>
        <v>1211340</v>
      </c>
      <c r="Q21" s="117">
        <f t="shared" si="11"/>
        <v>496884</v>
      </c>
      <c r="R21" s="117">
        <f t="shared" si="11"/>
        <v>365088</v>
      </c>
      <c r="S21" s="117">
        <f t="shared" si="11"/>
        <v>690336</v>
      </c>
      <c r="T21" s="117">
        <f t="shared" si="11"/>
        <v>161800</v>
      </c>
      <c r="U21" s="117">
        <f t="shared" si="11"/>
        <v>116600</v>
      </c>
      <c r="V21" s="94">
        <f t="shared" si="1"/>
        <v>16247443.199999999</v>
      </c>
    </row>
    <row r="22" spans="1:22" ht="11.25">
      <c r="A22" s="33" t="s">
        <v>228</v>
      </c>
      <c r="B22" s="34" t="s">
        <v>229</v>
      </c>
      <c r="C22" s="34"/>
      <c r="D22" s="42" t="s">
        <v>210</v>
      </c>
      <c r="E22" s="117">
        <f>E23+E24</f>
        <v>679996.8</v>
      </c>
      <c r="F22" s="117">
        <f t="shared" ref="F22:U22" si="12">F23+F24</f>
        <v>681571.2</v>
      </c>
      <c r="G22" s="117">
        <f t="shared" si="12"/>
        <v>503260.80000000005</v>
      </c>
      <c r="H22" s="117">
        <f t="shared" si="12"/>
        <v>153454.07999999999</v>
      </c>
      <c r="I22" s="117">
        <f t="shared" si="12"/>
        <v>629155.19999999995</v>
      </c>
      <c r="J22" s="117">
        <f t="shared" si="12"/>
        <v>539836.80000000005</v>
      </c>
      <c r="K22" s="117">
        <f t="shared" si="12"/>
        <v>591532.80000000005</v>
      </c>
      <c r="L22" s="117">
        <f t="shared" si="12"/>
        <v>299299.19999999995</v>
      </c>
      <c r="M22" s="117">
        <f t="shared" si="12"/>
        <v>354364.80000000005</v>
      </c>
      <c r="N22" s="117">
        <f t="shared" si="12"/>
        <v>390606.4</v>
      </c>
      <c r="O22" s="117">
        <f t="shared" si="12"/>
        <v>459080</v>
      </c>
      <c r="P22" s="117">
        <f t="shared" si="12"/>
        <v>484536</v>
      </c>
      <c r="Q22" s="117">
        <f t="shared" si="12"/>
        <v>198753.6</v>
      </c>
      <c r="R22" s="117">
        <f t="shared" si="12"/>
        <v>146035.20000000001</v>
      </c>
      <c r="S22" s="117">
        <f t="shared" si="12"/>
        <v>276134.40000000002</v>
      </c>
      <c r="T22" s="117">
        <f t="shared" si="12"/>
        <v>64720</v>
      </c>
      <c r="U22" s="117">
        <f t="shared" si="12"/>
        <v>46640</v>
      </c>
      <c r="V22" s="94">
        <f t="shared" si="1"/>
        <v>6498977.2800000003</v>
      </c>
    </row>
    <row r="23" spans="1:22" ht="11.25">
      <c r="A23" s="33" t="s">
        <v>230</v>
      </c>
      <c r="B23" s="34" t="s">
        <v>231</v>
      </c>
      <c r="C23" s="34" t="s">
        <v>232</v>
      </c>
      <c r="D23" s="42" t="s">
        <v>210</v>
      </c>
      <c r="E23" s="117">
        <f>E16*4</f>
        <v>339998.4</v>
      </c>
      <c r="F23" s="117">
        <f t="shared" ref="F23:U23" si="13">F16*4</f>
        <v>340785.6</v>
      </c>
      <c r="G23" s="117">
        <f t="shared" si="13"/>
        <v>251630.40000000002</v>
      </c>
      <c r="H23" s="117">
        <f t="shared" si="13"/>
        <v>76727.039999999994</v>
      </c>
      <c r="I23" s="45">
        <f>I16*4</f>
        <v>314577.59999999998</v>
      </c>
      <c r="J23" s="117">
        <f t="shared" si="13"/>
        <v>269918.40000000002</v>
      </c>
      <c r="K23" s="117">
        <f>K16*4</f>
        <v>295766.40000000002</v>
      </c>
      <c r="L23" s="117">
        <f t="shared" si="13"/>
        <v>149649.59999999998</v>
      </c>
      <c r="M23" s="117">
        <f t="shared" si="13"/>
        <v>177182.40000000002</v>
      </c>
      <c r="N23" s="117">
        <f t="shared" si="13"/>
        <v>195303.2</v>
      </c>
      <c r="O23" s="117">
        <f t="shared" si="13"/>
        <v>229540</v>
      </c>
      <c r="P23" s="117">
        <f t="shared" si="13"/>
        <v>242268</v>
      </c>
      <c r="Q23" s="117">
        <f t="shared" si="13"/>
        <v>99376.8</v>
      </c>
      <c r="R23" s="117">
        <f t="shared" si="13"/>
        <v>73017.600000000006</v>
      </c>
      <c r="S23" s="117">
        <f t="shared" si="13"/>
        <v>138067.20000000001</v>
      </c>
      <c r="T23" s="117">
        <f t="shared" si="13"/>
        <v>32360</v>
      </c>
      <c r="U23" s="117">
        <f t="shared" si="13"/>
        <v>23320</v>
      </c>
      <c r="V23" s="94">
        <f t="shared" si="1"/>
        <v>3249488.64</v>
      </c>
    </row>
    <row r="24" spans="1:22" ht="11.25">
      <c r="A24" s="33" t="s">
        <v>233</v>
      </c>
      <c r="B24" s="34" t="s">
        <v>234</v>
      </c>
      <c r="C24" s="34" t="s">
        <v>232</v>
      </c>
      <c r="D24" s="42" t="s">
        <v>210</v>
      </c>
      <c r="E24" s="117">
        <f>E16*4</f>
        <v>339998.4</v>
      </c>
      <c r="F24" s="117">
        <f t="shared" ref="F24:U24" si="14">F16*4</f>
        <v>340785.6</v>
      </c>
      <c r="G24" s="117">
        <f t="shared" si="14"/>
        <v>251630.40000000002</v>
      </c>
      <c r="H24" s="117">
        <f t="shared" si="14"/>
        <v>76727.039999999994</v>
      </c>
      <c r="I24" s="45">
        <f>I16*4</f>
        <v>314577.59999999998</v>
      </c>
      <c r="J24" s="117">
        <f t="shared" si="14"/>
        <v>269918.40000000002</v>
      </c>
      <c r="K24" s="117">
        <f t="shared" si="14"/>
        <v>295766.40000000002</v>
      </c>
      <c r="L24" s="117">
        <f t="shared" si="14"/>
        <v>149649.59999999998</v>
      </c>
      <c r="M24" s="117">
        <f t="shared" si="14"/>
        <v>177182.40000000002</v>
      </c>
      <c r="N24" s="117">
        <f t="shared" si="14"/>
        <v>195303.2</v>
      </c>
      <c r="O24" s="117">
        <f t="shared" si="14"/>
        <v>229540</v>
      </c>
      <c r="P24" s="117">
        <f t="shared" si="14"/>
        <v>242268</v>
      </c>
      <c r="Q24" s="117">
        <f t="shared" si="14"/>
        <v>99376.8</v>
      </c>
      <c r="R24" s="117">
        <f t="shared" si="14"/>
        <v>73017.600000000006</v>
      </c>
      <c r="S24" s="117">
        <f t="shared" si="14"/>
        <v>138067.20000000001</v>
      </c>
      <c r="T24" s="117">
        <f t="shared" si="14"/>
        <v>32360</v>
      </c>
      <c r="U24" s="117">
        <f t="shared" si="14"/>
        <v>23320</v>
      </c>
      <c r="V24" s="94">
        <f t="shared" si="1"/>
        <v>3249488.64</v>
      </c>
    </row>
    <row r="25" spans="1:22" ht="11.25">
      <c r="A25" s="33" t="s">
        <v>235</v>
      </c>
      <c r="B25" s="34" t="s">
        <v>236</v>
      </c>
      <c r="C25" s="34"/>
      <c r="D25" s="35" t="s">
        <v>185</v>
      </c>
      <c r="E25" s="97">
        <f>E26</f>
        <v>2719987.2</v>
      </c>
      <c r="F25" s="97">
        <f t="shared" ref="F25:U25" si="15">F26</f>
        <v>2726284.8</v>
      </c>
      <c r="G25" s="97">
        <f t="shared" si="15"/>
        <v>2013043.2000000002</v>
      </c>
      <c r="H25" s="97">
        <f t="shared" si="15"/>
        <v>613816.31999999995</v>
      </c>
      <c r="I25" s="97">
        <f t="shared" si="15"/>
        <v>2516620.7999999998</v>
      </c>
      <c r="J25" s="97">
        <f t="shared" si="15"/>
        <v>2159347.2000000002</v>
      </c>
      <c r="K25" s="97">
        <f t="shared" si="15"/>
        <v>2366131.2000000002</v>
      </c>
      <c r="L25" s="97">
        <f t="shared" si="15"/>
        <v>1197196.7999999998</v>
      </c>
      <c r="M25" s="97">
        <f t="shared" si="15"/>
        <v>1417459.2000000002</v>
      </c>
      <c r="N25" s="97">
        <f t="shared" si="15"/>
        <v>1562425.6</v>
      </c>
      <c r="O25" s="97">
        <f t="shared" si="15"/>
        <v>1836320</v>
      </c>
      <c r="P25" s="97">
        <f t="shared" si="15"/>
        <v>1938144</v>
      </c>
      <c r="Q25" s="97">
        <f t="shared" si="15"/>
        <v>795014.4</v>
      </c>
      <c r="R25" s="97">
        <f t="shared" si="15"/>
        <v>584140.80000000005</v>
      </c>
      <c r="S25" s="97">
        <f t="shared" si="15"/>
        <v>1104537.6000000001</v>
      </c>
      <c r="T25" s="97">
        <f t="shared" si="15"/>
        <v>258880</v>
      </c>
      <c r="U25" s="97">
        <f t="shared" si="15"/>
        <v>186560</v>
      </c>
      <c r="V25" s="94">
        <f t="shared" si="1"/>
        <v>25995909.120000001</v>
      </c>
    </row>
    <row r="26" spans="1:22" s="40" customFormat="1" ht="11.25">
      <c r="A26" s="33" t="s">
        <v>237</v>
      </c>
      <c r="B26" s="38" t="s">
        <v>238</v>
      </c>
      <c r="C26" s="38" t="s">
        <v>239</v>
      </c>
      <c r="D26" s="39" t="s">
        <v>210</v>
      </c>
      <c r="E26" s="97">
        <f>E16*32</f>
        <v>2719987.2</v>
      </c>
      <c r="F26" s="97">
        <f t="shared" ref="F26:U26" si="16">F16*32</f>
        <v>2726284.8</v>
      </c>
      <c r="G26" s="97">
        <f t="shared" si="16"/>
        <v>2013043.2000000002</v>
      </c>
      <c r="H26" s="97">
        <f t="shared" si="16"/>
        <v>613816.31999999995</v>
      </c>
      <c r="I26" s="36">
        <f>I16*32</f>
        <v>2516620.7999999998</v>
      </c>
      <c r="J26" s="97">
        <f t="shared" si="16"/>
        <v>2159347.2000000002</v>
      </c>
      <c r="K26" s="97">
        <f t="shared" si="16"/>
        <v>2366131.2000000002</v>
      </c>
      <c r="L26" s="97">
        <f t="shared" si="16"/>
        <v>1197196.7999999998</v>
      </c>
      <c r="M26" s="97">
        <f t="shared" si="16"/>
        <v>1417459.2000000002</v>
      </c>
      <c r="N26" s="97">
        <f t="shared" si="16"/>
        <v>1562425.6</v>
      </c>
      <c r="O26" s="97">
        <f t="shared" si="16"/>
        <v>1836320</v>
      </c>
      <c r="P26" s="97">
        <f t="shared" si="16"/>
        <v>1938144</v>
      </c>
      <c r="Q26" s="97">
        <f t="shared" si="16"/>
        <v>795014.4</v>
      </c>
      <c r="R26" s="97">
        <f t="shared" si="16"/>
        <v>584140.80000000005</v>
      </c>
      <c r="S26" s="97">
        <f t="shared" si="16"/>
        <v>1104537.6000000001</v>
      </c>
      <c r="T26" s="97">
        <f t="shared" si="16"/>
        <v>258880</v>
      </c>
      <c r="U26" s="97">
        <f t="shared" si="16"/>
        <v>186560</v>
      </c>
      <c r="V26" s="94">
        <f t="shared" si="1"/>
        <v>25995909.120000001</v>
      </c>
    </row>
    <row r="27" spans="1:22" ht="11.25">
      <c r="A27" s="33" t="s">
        <v>240</v>
      </c>
      <c r="B27" s="34" t="s">
        <v>241</v>
      </c>
      <c r="C27" s="34"/>
      <c r="D27" s="35" t="s">
        <v>185</v>
      </c>
      <c r="E27" s="97">
        <f>E28</f>
        <v>1359993.6</v>
      </c>
      <c r="F27" s="97">
        <f t="shared" ref="F27:U27" si="17">F28</f>
        <v>1363142.4</v>
      </c>
      <c r="G27" s="97">
        <f t="shared" si="17"/>
        <v>1006521.6000000001</v>
      </c>
      <c r="H27" s="97">
        <f t="shared" si="17"/>
        <v>306908.15999999997</v>
      </c>
      <c r="I27" s="97">
        <f t="shared" si="17"/>
        <v>1258310.3999999999</v>
      </c>
      <c r="J27" s="97">
        <f t="shared" si="17"/>
        <v>1079673.6000000001</v>
      </c>
      <c r="K27" s="97">
        <f t="shared" si="17"/>
        <v>1183065.6000000001</v>
      </c>
      <c r="L27" s="97">
        <f t="shared" si="17"/>
        <v>598598.39999999991</v>
      </c>
      <c r="M27" s="97">
        <f t="shared" si="17"/>
        <v>708729.60000000009</v>
      </c>
      <c r="N27" s="97">
        <f t="shared" si="17"/>
        <v>781212.8</v>
      </c>
      <c r="O27" s="97">
        <f t="shared" si="17"/>
        <v>918160</v>
      </c>
      <c r="P27" s="97">
        <f t="shared" si="17"/>
        <v>969072</v>
      </c>
      <c r="Q27" s="97">
        <f t="shared" si="17"/>
        <v>397507.2</v>
      </c>
      <c r="R27" s="97">
        <f t="shared" si="17"/>
        <v>292070.40000000002</v>
      </c>
      <c r="S27" s="97">
        <f t="shared" si="17"/>
        <v>552268.80000000005</v>
      </c>
      <c r="T27" s="97">
        <f t="shared" si="17"/>
        <v>129440</v>
      </c>
      <c r="U27" s="97">
        <f t="shared" si="17"/>
        <v>93280</v>
      </c>
      <c r="V27" s="94">
        <f t="shared" si="1"/>
        <v>12997954.560000001</v>
      </c>
    </row>
    <row r="28" spans="1:22" s="40" customFormat="1" ht="11.25">
      <c r="A28" s="33" t="s">
        <v>242</v>
      </c>
      <c r="B28" s="38" t="s">
        <v>243</v>
      </c>
      <c r="C28" s="38" t="s">
        <v>244</v>
      </c>
      <c r="D28" s="39" t="s">
        <v>210</v>
      </c>
      <c r="E28" s="36">
        <f t="shared" ref="E28:U28" si="18">E16*16</f>
        <v>1359993.6</v>
      </c>
      <c r="F28" s="36">
        <f t="shared" si="18"/>
        <v>1363142.4</v>
      </c>
      <c r="G28" s="36">
        <f t="shared" si="18"/>
        <v>1006521.6000000001</v>
      </c>
      <c r="H28" s="36">
        <f t="shared" si="18"/>
        <v>306908.15999999997</v>
      </c>
      <c r="I28" s="36">
        <f>I16*16</f>
        <v>1258310.3999999999</v>
      </c>
      <c r="J28" s="36">
        <f t="shared" si="18"/>
        <v>1079673.6000000001</v>
      </c>
      <c r="K28" s="36">
        <f t="shared" si="18"/>
        <v>1183065.6000000001</v>
      </c>
      <c r="L28" s="36">
        <f t="shared" si="18"/>
        <v>598598.39999999991</v>
      </c>
      <c r="M28" s="36">
        <f t="shared" si="18"/>
        <v>708729.60000000009</v>
      </c>
      <c r="N28" s="36">
        <f t="shared" si="18"/>
        <v>781212.8</v>
      </c>
      <c r="O28" s="36">
        <f t="shared" si="18"/>
        <v>918160</v>
      </c>
      <c r="P28" s="36">
        <f t="shared" si="18"/>
        <v>969072</v>
      </c>
      <c r="Q28" s="36">
        <f t="shared" si="18"/>
        <v>397507.2</v>
      </c>
      <c r="R28" s="36">
        <f t="shared" si="18"/>
        <v>292070.40000000002</v>
      </c>
      <c r="S28" s="36">
        <f t="shared" si="18"/>
        <v>552268.80000000005</v>
      </c>
      <c r="T28" s="36">
        <f t="shared" si="18"/>
        <v>129440</v>
      </c>
      <c r="U28" s="36">
        <f t="shared" si="18"/>
        <v>93280</v>
      </c>
      <c r="V28" s="94">
        <f t="shared" si="1"/>
        <v>12997954.560000001</v>
      </c>
    </row>
    <row r="29" spans="1:22" ht="11.25">
      <c r="A29" s="33" t="s">
        <v>245</v>
      </c>
      <c r="B29" s="34" t="s">
        <v>246</v>
      </c>
      <c r="C29" s="41" t="s">
        <v>191</v>
      </c>
      <c r="D29" s="39" t="s">
        <v>247</v>
      </c>
      <c r="E29" s="97">
        <f>9600*E96</f>
        <v>835200</v>
      </c>
      <c r="F29" s="97">
        <f>9600*F96</f>
        <v>806400</v>
      </c>
      <c r="G29" s="98">
        <v>585600</v>
      </c>
      <c r="H29" s="97">
        <f>9600*H96</f>
        <v>172800</v>
      </c>
      <c r="I29" s="36">
        <f>9600*I96</f>
        <v>796800</v>
      </c>
      <c r="J29" s="99">
        <v>748800</v>
      </c>
      <c r="K29" s="99">
        <f>86*9600</f>
        <v>825600</v>
      </c>
      <c r="L29" s="97">
        <f>9600*L96</f>
        <v>384000</v>
      </c>
      <c r="M29" s="97">
        <f>9600*M96</f>
        <v>460800</v>
      </c>
      <c r="N29" s="97">
        <f>9600*N96</f>
        <v>556800</v>
      </c>
      <c r="O29" s="98">
        <v>614400</v>
      </c>
      <c r="P29" s="36">
        <f>9600*P96</f>
        <v>614400</v>
      </c>
      <c r="Q29" s="98">
        <f>800*30*12</f>
        <v>288000</v>
      </c>
      <c r="R29" s="36">
        <f>9600*R96</f>
        <v>211200</v>
      </c>
      <c r="S29" s="36">
        <f>9600*S96</f>
        <v>393600</v>
      </c>
      <c r="T29" s="36">
        <f>9600*T96</f>
        <v>105600</v>
      </c>
      <c r="U29" s="36">
        <f>9600*U96</f>
        <v>57600</v>
      </c>
      <c r="V29" s="94">
        <f t="shared" si="1"/>
        <v>8457600</v>
      </c>
    </row>
    <row r="30" spans="1:22" ht="11.25">
      <c r="A30" s="33" t="s">
        <v>248</v>
      </c>
      <c r="B30" s="34" t="s">
        <v>249</v>
      </c>
      <c r="C30" s="34" t="s">
        <v>249</v>
      </c>
      <c r="D30" s="39" t="s">
        <v>210</v>
      </c>
      <c r="E30" s="117">
        <f>E16*14</f>
        <v>1189994.4000000001</v>
      </c>
      <c r="F30" s="117">
        <f t="shared" ref="F30:U30" si="19">F16*14</f>
        <v>1192749.5999999999</v>
      </c>
      <c r="G30" s="117">
        <f t="shared" si="19"/>
        <v>880706.40000000014</v>
      </c>
      <c r="H30" s="117">
        <f t="shared" si="19"/>
        <v>268544.63999999996</v>
      </c>
      <c r="I30" s="45">
        <f>I16*14</f>
        <v>1101021.5999999999</v>
      </c>
      <c r="J30" s="117">
        <f t="shared" si="19"/>
        <v>944714.40000000014</v>
      </c>
      <c r="K30" s="117">
        <f t="shared" si="19"/>
        <v>1035182.4000000001</v>
      </c>
      <c r="L30" s="117">
        <f t="shared" si="19"/>
        <v>523773.59999999992</v>
      </c>
      <c r="M30" s="117">
        <f t="shared" si="19"/>
        <v>620138.40000000014</v>
      </c>
      <c r="N30" s="117">
        <f t="shared" si="19"/>
        <v>683561.20000000007</v>
      </c>
      <c r="O30" s="117">
        <f t="shared" si="19"/>
        <v>803390</v>
      </c>
      <c r="P30" s="117">
        <f t="shared" si="19"/>
        <v>847938</v>
      </c>
      <c r="Q30" s="117">
        <f t="shared" si="19"/>
        <v>347818.8</v>
      </c>
      <c r="R30" s="117">
        <f t="shared" si="19"/>
        <v>255561.60000000003</v>
      </c>
      <c r="S30" s="117">
        <f t="shared" si="19"/>
        <v>483235.20000000007</v>
      </c>
      <c r="T30" s="117">
        <f t="shared" si="19"/>
        <v>113260</v>
      </c>
      <c r="U30" s="117">
        <f t="shared" si="19"/>
        <v>81620</v>
      </c>
      <c r="V30" s="94">
        <f t="shared" si="1"/>
        <v>11373210.24</v>
      </c>
    </row>
    <row r="31" spans="1:22" ht="11.25">
      <c r="A31" s="33" t="s">
        <v>250</v>
      </c>
      <c r="B31" s="34" t="s">
        <v>251</v>
      </c>
      <c r="C31" s="34"/>
      <c r="D31" s="35" t="s">
        <v>185</v>
      </c>
      <c r="E31" s="97">
        <f>E32+E40+E42+E45+E47</f>
        <v>9960</v>
      </c>
      <c r="F31" s="97">
        <f t="shared" ref="F31:U31" si="20">F32+F40+F42+F45+F47</f>
        <v>11880</v>
      </c>
      <c r="G31" s="97">
        <f t="shared" si="20"/>
        <v>7440</v>
      </c>
      <c r="H31" s="97">
        <f t="shared" si="20"/>
        <v>17280</v>
      </c>
      <c r="I31" s="97">
        <f t="shared" si="20"/>
        <v>5760</v>
      </c>
      <c r="J31" s="97">
        <f t="shared" si="20"/>
        <v>3720</v>
      </c>
      <c r="K31" s="97">
        <f t="shared" si="20"/>
        <v>14120</v>
      </c>
      <c r="L31" s="97">
        <f t="shared" si="20"/>
        <v>1580</v>
      </c>
      <c r="M31" s="97">
        <f t="shared" si="20"/>
        <v>720</v>
      </c>
      <c r="N31" s="97">
        <f t="shared" si="20"/>
        <v>10980</v>
      </c>
      <c r="O31" s="97">
        <f t="shared" si="20"/>
        <v>14680</v>
      </c>
      <c r="P31" s="97">
        <f t="shared" si="20"/>
        <v>11800</v>
      </c>
      <c r="Q31" s="97">
        <f t="shared" si="20"/>
        <v>6120</v>
      </c>
      <c r="R31" s="97">
        <f t="shared" si="20"/>
        <v>5880</v>
      </c>
      <c r="S31" s="97">
        <f t="shared" si="20"/>
        <v>6600</v>
      </c>
      <c r="T31" s="97">
        <f t="shared" si="20"/>
        <v>3840</v>
      </c>
      <c r="U31" s="97">
        <f t="shared" si="20"/>
        <v>1320</v>
      </c>
      <c r="V31" s="94">
        <f t="shared" si="1"/>
        <v>133680</v>
      </c>
    </row>
    <row r="32" spans="1:22" ht="11.25">
      <c r="A32" s="33" t="s">
        <v>252</v>
      </c>
      <c r="B32" s="34" t="s">
        <v>253</v>
      </c>
      <c r="C32" s="34"/>
      <c r="D32" s="35" t="s">
        <v>185</v>
      </c>
      <c r="E32" s="97">
        <f>E33+E34+E35+E36+E37+E38+E39</f>
        <v>0</v>
      </c>
      <c r="F32" s="97">
        <f>F33+F34+F35+F36+F37+F38+F39</f>
        <v>0</v>
      </c>
      <c r="G32" s="98">
        <v>0</v>
      </c>
      <c r="H32" s="97">
        <f>H33+H34+H35+H36+H37+H38+H39</f>
        <v>0</v>
      </c>
      <c r="I32" s="36">
        <f>I33+I34+I35+I36+I37+I38+I39</f>
        <v>0</v>
      </c>
      <c r="J32" s="99">
        <f>J33+J34+J35+J36+J37+J38+J39</f>
        <v>0</v>
      </c>
      <c r="K32" s="99">
        <v>0</v>
      </c>
      <c r="L32" s="97">
        <f>L33+L34+L35+L36+L37+L38+L39</f>
        <v>0</v>
      </c>
      <c r="M32" s="97">
        <f>M33+M34+M35+M36+M37+M38+M39</f>
        <v>0</v>
      </c>
      <c r="N32" s="97">
        <f>N33+N34+N35+N36+N37+N38+N39</f>
        <v>0</v>
      </c>
      <c r="O32" s="98">
        <v>0</v>
      </c>
      <c r="P32" s="36">
        <f>P33+P34+P35+P36+P37+P38+P39</f>
        <v>0</v>
      </c>
      <c r="Q32" s="98">
        <v>0</v>
      </c>
      <c r="R32" s="36">
        <f>R33+R34+R35+R36+R37+R38+R39</f>
        <v>0</v>
      </c>
      <c r="S32" s="36">
        <f>S33+S34+S35+S36+S37+S38+S39</f>
        <v>0</v>
      </c>
      <c r="T32" s="36">
        <f>T33+T34+T35+T36+T37+T38+T39</f>
        <v>0</v>
      </c>
      <c r="U32" s="36">
        <f>U33+U34+U35+U36+U37+U38+U39</f>
        <v>0</v>
      </c>
      <c r="V32" s="94">
        <f t="shared" si="1"/>
        <v>0</v>
      </c>
    </row>
    <row r="33" spans="1:22" ht="11.25">
      <c r="A33" s="33" t="s">
        <v>254</v>
      </c>
      <c r="B33" s="34" t="s">
        <v>255</v>
      </c>
      <c r="C33" s="34" t="s">
        <v>256</v>
      </c>
      <c r="D33" s="42" t="s">
        <v>257</v>
      </c>
      <c r="E33" s="113"/>
      <c r="F33" s="113"/>
      <c r="G33" s="114"/>
      <c r="H33" s="113"/>
      <c r="I33" s="43"/>
      <c r="J33" s="115"/>
      <c r="K33" s="115"/>
      <c r="L33" s="113"/>
      <c r="M33" s="113"/>
      <c r="N33" s="113"/>
      <c r="O33" s="114"/>
      <c r="P33" s="43"/>
      <c r="Q33" s="114"/>
      <c r="R33" s="43"/>
      <c r="S33" s="43"/>
      <c r="T33" s="43"/>
      <c r="U33" s="43"/>
      <c r="V33" s="94">
        <f t="shared" si="1"/>
        <v>0</v>
      </c>
    </row>
    <row r="34" spans="1:22" ht="11.25">
      <c r="A34" s="33" t="s">
        <v>258</v>
      </c>
      <c r="B34" s="34" t="s">
        <v>259</v>
      </c>
      <c r="C34" s="34" t="s">
        <v>256</v>
      </c>
      <c r="D34" s="42" t="s">
        <v>257</v>
      </c>
      <c r="E34" s="113"/>
      <c r="F34" s="113"/>
      <c r="G34" s="114"/>
      <c r="H34" s="113"/>
      <c r="I34" s="43"/>
      <c r="J34" s="115"/>
      <c r="K34" s="115"/>
      <c r="L34" s="113"/>
      <c r="M34" s="113"/>
      <c r="N34" s="113"/>
      <c r="O34" s="114"/>
      <c r="P34" s="43"/>
      <c r="Q34" s="114"/>
      <c r="R34" s="43"/>
      <c r="S34" s="43"/>
      <c r="T34" s="43"/>
      <c r="U34" s="43"/>
      <c r="V34" s="94">
        <f t="shared" si="1"/>
        <v>0</v>
      </c>
    </row>
    <row r="35" spans="1:22" ht="11.25">
      <c r="A35" s="33" t="s">
        <v>260</v>
      </c>
      <c r="B35" s="34" t="s">
        <v>261</v>
      </c>
      <c r="C35" s="34" t="s">
        <v>256</v>
      </c>
      <c r="D35" s="42" t="s">
        <v>262</v>
      </c>
      <c r="E35" s="113"/>
      <c r="F35" s="113"/>
      <c r="G35" s="114"/>
      <c r="H35" s="113"/>
      <c r="I35" s="43"/>
      <c r="J35" s="115"/>
      <c r="K35" s="115"/>
      <c r="L35" s="113"/>
      <c r="M35" s="113"/>
      <c r="N35" s="113"/>
      <c r="O35" s="114"/>
      <c r="P35" s="43"/>
      <c r="Q35" s="114"/>
      <c r="R35" s="43"/>
      <c r="S35" s="43"/>
      <c r="T35" s="43"/>
      <c r="U35" s="43"/>
      <c r="V35" s="94">
        <f t="shared" si="1"/>
        <v>0</v>
      </c>
    </row>
    <row r="36" spans="1:22" ht="11.25">
      <c r="A36" s="33" t="s">
        <v>263</v>
      </c>
      <c r="B36" s="34" t="s">
        <v>264</v>
      </c>
      <c r="C36" s="34" t="s">
        <v>256</v>
      </c>
      <c r="D36" s="42" t="s">
        <v>257</v>
      </c>
      <c r="E36" s="113"/>
      <c r="F36" s="113"/>
      <c r="G36" s="114"/>
      <c r="H36" s="113"/>
      <c r="I36" s="43"/>
      <c r="J36" s="115"/>
      <c r="K36" s="115"/>
      <c r="L36" s="113"/>
      <c r="M36" s="113"/>
      <c r="N36" s="113"/>
      <c r="O36" s="114"/>
      <c r="P36" s="43"/>
      <c r="Q36" s="114"/>
      <c r="R36" s="43"/>
      <c r="S36" s="43"/>
      <c r="T36" s="43"/>
      <c r="U36" s="43"/>
      <c r="V36" s="94">
        <f t="shared" si="1"/>
        <v>0</v>
      </c>
    </row>
    <row r="37" spans="1:22" ht="11.25">
      <c r="A37" s="33" t="s">
        <v>265</v>
      </c>
      <c r="B37" s="34" t="s">
        <v>266</v>
      </c>
      <c r="C37" s="34" t="s">
        <v>256</v>
      </c>
      <c r="D37" s="42" t="s">
        <v>257</v>
      </c>
      <c r="E37" s="113"/>
      <c r="F37" s="113"/>
      <c r="G37" s="114"/>
      <c r="H37" s="113"/>
      <c r="I37" s="43"/>
      <c r="J37" s="115"/>
      <c r="K37" s="115"/>
      <c r="L37" s="113"/>
      <c r="M37" s="113"/>
      <c r="N37" s="113"/>
      <c r="O37" s="114"/>
      <c r="P37" s="43"/>
      <c r="Q37" s="114"/>
      <c r="R37" s="43"/>
      <c r="S37" s="43"/>
      <c r="T37" s="43"/>
      <c r="U37" s="43"/>
      <c r="V37" s="94">
        <f t="shared" si="1"/>
        <v>0</v>
      </c>
    </row>
    <row r="38" spans="1:22" ht="11.25">
      <c r="A38" s="33" t="s">
        <v>267</v>
      </c>
      <c r="B38" s="34" t="s">
        <v>268</v>
      </c>
      <c r="C38" s="34" t="s">
        <v>256</v>
      </c>
      <c r="D38" s="42" t="s">
        <v>257</v>
      </c>
      <c r="E38" s="113"/>
      <c r="F38" s="113"/>
      <c r="G38" s="114"/>
      <c r="H38" s="113"/>
      <c r="I38" s="43"/>
      <c r="J38" s="115"/>
      <c r="K38" s="115"/>
      <c r="L38" s="113"/>
      <c r="M38" s="113"/>
      <c r="N38" s="113"/>
      <c r="O38" s="114"/>
      <c r="P38" s="43"/>
      <c r="Q38" s="114"/>
      <c r="R38" s="43"/>
      <c r="S38" s="43"/>
      <c r="T38" s="43"/>
      <c r="U38" s="43"/>
      <c r="V38" s="94">
        <f t="shared" si="1"/>
        <v>0</v>
      </c>
    </row>
    <row r="39" spans="1:22" ht="11.25">
      <c r="A39" s="33" t="s">
        <v>269</v>
      </c>
      <c r="B39" s="34" t="s">
        <v>270</v>
      </c>
      <c r="C39" s="34" t="s">
        <v>256</v>
      </c>
      <c r="D39" s="42" t="s">
        <v>257</v>
      </c>
      <c r="E39" s="113"/>
      <c r="F39" s="113"/>
      <c r="G39" s="114"/>
      <c r="H39" s="113"/>
      <c r="I39" s="43"/>
      <c r="J39" s="115"/>
      <c r="K39" s="115"/>
      <c r="L39" s="113"/>
      <c r="M39" s="113"/>
      <c r="N39" s="113"/>
      <c r="O39" s="114"/>
      <c r="P39" s="43"/>
      <c r="Q39" s="114"/>
      <c r="R39" s="43"/>
      <c r="S39" s="43"/>
      <c r="T39" s="43"/>
      <c r="U39" s="43"/>
      <c r="V39" s="94">
        <f t="shared" si="1"/>
        <v>0</v>
      </c>
    </row>
    <row r="40" spans="1:22" ht="11.25">
      <c r="A40" s="33" t="s">
        <v>271</v>
      </c>
      <c r="B40" s="34" t="s">
        <v>272</v>
      </c>
      <c r="C40" s="34"/>
      <c r="D40" s="35" t="s">
        <v>185</v>
      </c>
      <c r="E40" s="97">
        <f>E41</f>
        <v>0</v>
      </c>
      <c r="F40" s="97">
        <f>F41</f>
        <v>0</v>
      </c>
      <c r="G40" s="98">
        <v>0</v>
      </c>
      <c r="H40" s="97">
        <f>H41</f>
        <v>0</v>
      </c>
      <c r="I40" s="36">
        <f>I41</f>
        <v>0</v>
      </c>
      <c r="J40" s="99">
        <v>0</v>
      </c>
      <c r="K40" s="99">
        <v>0</v>
      </c>
      <c r="L40" s="97">
        <f>L41</f>
        <v>0</v>
      </c>
      <c r="M40" s="97">
        <f>M41</f>
        <v>0</v>
      </c>
      <c r="N40" s="97">
        <f>N41</f>
        <v>0</v>
      </c>
      <c r="O40" s="98">
        <v>0</v>
      </c>
      <c r="P40" s="36">
        <f>P41</f>
        <v>0</v>
      </c>
      <c r="Q40" s="98">
        <v>0</v>
      </c>
      <c r="R40" s="36">
        <f>R41</f>
        <v>0</v>
      </c>
      <c r="S40" s="36">
        <f>S41</f>
        <v>0</v>
      </c>
      <c r="T40" s="36">
        <f>T41</f>
        <v>0</v>
      </c>
      <c r="U40" s="36">
        <f>U41</f>
        <v>0</v>
      </c>
      <c r="V40" s="94">
        <f t="shared" si="1"/>
        <v>0</v>
      </c>
    </row>
    <row r="41" spans="1:22" s="40" customFormat="1" ht="11.25">
      <c r="A41" s="33" t="s">
        <v>273</v>
      </c>
      <c r="B41" s="38" t="s">
        <v>274</v>
      </c>
      <c r="C41" s="38" t="s">
        <v>191</v>
      </c>
      <c r="D41" s="39" t="s">
        <v>275</v>
      </c>
      <c r="E41" s="118">
        <f>174800-174800</f>
        <v>0</v>
      </c>
      <c r="F41" s="118"/>
      <c r="G41" s="119"/>
      <c r="H41" s="118"/>
      <c r="I41" s="46"/>
      <c r="J41" s="120"/>
      <c r="K41" s="120"/>
      <c r="L41" s="118"/>
      <c r="M41" s="118"/>
      <c r="N41" s="118"/>
      <c r="O41" s="119"/>
      <c r="P41" s="46"/>
      <c r="Q41" s="119">
        <v>0</v>
      </c>
      <c r="R41" s="46"/>
      <c r="S41" s="46"/>
      <c r="T41" s="46"/>
      <c r="U41" s="46"/>
      <c r="V41" s="94">
        <f t="shared" si="1"/>
        <v>0</v>
      </c>
    </row>
    <row r="42" spans="1:22" ht="11.25">
      <c r="A42" s="33" t="s">
        <v>276</v>
      </c>
      <c r="B42" s="34" t="s">
        <v>277</v>
      </c>
      <c r="C42" s="34"/>
      <c r="D42" s="35" t="s">
        <v>185</v>
      </c>
      <c r="E42" s="97">
        <f>E43+E44</f>
        <v>0</v>
      </c>
      <c r="F42" s="97">
        <f>F43+F44</f>
        <v>0</v>
      </c>
      <c r="G42" s="98">
        <v>0</v>
      </c>
      <c r="H42" s="97">
        <f>H43+H44</f>
        <v>0</v>
      </c>
      <c r="I42" s="36">
        <f>I43+I44</f>
        <v>0</v>
      </c>
      <c r="J42" s="99">
        <v>0</v>
      </c>
      <c r="K42" s="99">
        <v>0</v>
      </c>
      <c r="L42" s="97">
        <f>L43+L44</f>
        <v>0</v>
      </c>
      <c r="M42" s="97">
        <f>M43+M44</f>
        <v>0</v>
      </c>
      <c r="N42" s="97">
        <f>N43+N44</f>
        <v>0</v>
      </c>
      <c r="O42" s="98">
        <v>0</v>
      </c>
      <c r="P42" s="36">
        <f>P43+P44</f>
        <v>0</v>
      </c>
      <c r="Q42" s="98">
        <v>0</v>
      </c>
      <c r="R42" s="36">
        <f>R43+R44</f>
        <v>0</v>
      </c>
      <c r="S42" s="36">
        <f>S43+S44</f>
        <v>0</v>
      </c>
      <c r="T42" s="36">
        <f>T43+T44</f>
        <v>0</v>
      </c>
      <c r="U42" s="36">
        <f>U43+U44</f>
        <v>0</v>
      </c>
      <c r="V42" s="94">
        <f t="shared" si="1"/>
        <v>0</v>
      </c>
    </row>
    <row r="43" spans="1:22" s="40" customFormat="1" ht="11.25">
      <c r="A43" s="33" t="s">
        <v>278</v>
      </c>
      <c r="B43" s="38" t="s">
        <v>279</v>
      </c>
      <c r="C43" s="38" t="s">
        <v>191</v>
      </c>
      <c r="D43" s="39" t="s">
        <v>262</v>
      </c>
      <c r="E43" s="118"/>
      <c r="F43" s="118"/>
      <c r="G43" s="119"/>
      <c r="H43" s="118"/>
      <c r="I43" s="46"/>
      <c r="J43" s="120"/>
      <c r="K43" s="120"/>
      <c r="L43" s="118"/>
      <c r="M43" s="118"/>
      <c r="N43" s="118"/>
      <c r="O43" s="119"/>
      <c r="P43" s="46"/>
      <c r="Q43" s="119"/>
      <c r="R43" s="46"/>
      <c r="S43" s="46"/>
      <c r="T43" s="46"/>
      <c r="U43" s="46"/>
      <c r="V43" s="94">
        <f t="shared" si="1"/>
        <v>0</v>
      </c>
    </row>
    <row r="44" spans="1:22" s="40" customFormat="1" ht="11.25">
      <c r="A44" s="33" t="s">
        <v>280</v>
      </c>
      <c r="B44" s="38" t="s">
        <v>281</v>
      </c>
      <c r="C44" s="38" t="s">
        <v>191</v>
      </c>
      <c r="D44" s="39" t="s">
        <v>262</v>
      </c>
      <c r="E44" s="118"/>
      <c r="F44" s="118"/>
      <c r="G44" s="119"/>
      <c r="H44" s="118"/>
      <c r="I44" s="46"/>
      <c r="J44" s="120"/>
      <c r="K44" s="120"/>
      <c r="L44" s="118"/>
      <c r="M44" s="118"/>
      <c r="N44" s="118"/>
      <c r="O44" s="119"/>
      <c r="P44" s="46"/>
      <c r="Q44" s="119"/>
      <c r="R44" s="46"/>
      <c r="S44" s="46"/>
      <c r="T44" s="46"/>
      <c r="U44" s="46"/>
      <c r="V44" s="94">
        <f t="shared" si="1"/>
        <v>0</v>
      </c>
    </row>
    <row r="45" spans="1:22" ht="11.25">
      <c r="A45" s="33" t="s">
        <v>282</v>
      </c>
      <c r="B45" s="34" t="s">
        <v>283</v>
      </c>
      <c r="C45" s="34"/>
      <c r="D45" s="35" t="s">
        <v>185</v>
      </c>
      <c r="E45" s="97">
        <f>E46</f>
        <v>3960</v>
      </c>
      <c r="F45" s="97">
        <f t="shared" ref="F45:U45" si="21">F46</f>
        <v>2880</v>
      </c>
      <c r="G45" s="97">
        <f t="shared" si="21"/>
        <v>1440</v>
      </c>
      <c r="H45" s="97">
        <f t="shared" si="21"/>
        <v>6480</v>
      </c>
      <c r="I45" s="97">
        <f t="shared" si="21"/>
        <v>3960</v>
      </c>
      <c r="J45" s="97">
        <f t="shared" si="21"/>
        <v>720</v>
      </c>
      <c r="K45" s="97">
        <f t="shared" si="21"/>
        <v>6120</v>
      </c>
      <c r="L45" s="97">
        <f t="shared" si="21"/>
        <v>1080</v>
      </c>
      <c r="M45" s="97">
        <f t="shared" si="21"/>
        <v>720</v>
      </c>
      <c r="N45" s="97">
        <f t="shared" si="21"/>
        <v>6480</v>
      </c>
      <c r="O45" s="97">
        <f t="shared" si="21"/>
        <v>4680</v>
      </c>
      <c r="P45" s="97">
        <f t="shared" si="21"/>
        <v>5100</v>
      </c>
      <c r="Q45" s="97">
        <f t="shared" si="21"/>
        <v>2520</v>
      </c>
      <c r="R45" s="97">
        <f t="shared" si="21"/>
        <v>2880</v>
      </c>
      <c r="S45" s="97">
        <f t="shared" si="21"/>
        <v>1800</v>
      </c>
      <c r="T45" s="97">
        <f t="shared" si="21"/>
        <v>1440</v>
      </c>
      <c r="U45" s="97">
        <f t="shared" si="21"/>
        <v>720</v>
      </c>
      <c r="V45" s="94">
        <f t="shared" si="1"/>
        <v>52980</v>
      </c>
    </row>
    <row r="46" spans="1:22" ht="11.25">
      <c r="A46" s="33" t="s">
        <v>284</v>
      </c>
      <c r="B46" s="34" t="s">
        <v>285</v>
      </c>
      <c r="C46" s="34" t="s">
        <v>191</v>
      </c>
      <c r="D46" s="35" t="s">
        <v>192</v>
      </c>
      <c r="E46" s="121">
        <f>330*12</f>
        <v>3960</v>
      </c>
      <c r="F46" s="121">
        <v>2880</v>
      </c>
      <c r="G46" s="96">
        <v>1440</v>
      </c>
      <c r="H46" s="122">
        <v>6480</v>
      </c>
      <c r="I46" s="37">
        <v>3960</v>
      </c>
      <c r="J46" s="121">
        <v>720</v>
      </c>
      <c r="K46" s="121">
        <v>6120</v>
      </c>
      <c r="L46" s="122">
        <f>90*12</f>
        <v>1080</v>
      </c>
      <c r="M46" s="121">
        <f>60*12</f>
        <v>720</v>
      </c>
      <c r="N46" s="122">
        <v>6480</v>
      </c>
      <c r="O46" s="96">
        <v>4680</v>
      </c>
      <c r="P46" s="37">
        <v>5100</v>
      </c>
      <c r="Q46" s="96">
        <f>210*12</f>
        <v>2520</v>
      </c>
      <c r="R46" s="37">
        <v>2880</v>
      </c>
      <c r="S46" s="37">
        <v>1800</v>
      </c>
      <c r="T46" s="37">
        <v>1440</v>
      </c>
      <c r="U46" s="37">
        <v>720</v>
      </c>
      <c r="V46" s="94">
        <f t="shared" si="1"/>
        <v>52980</v>
      </c>
    </row>
    <row r="47" spans="1:22" ht="11.25">
      <c r="A47" s="33" t="s">
        <v>286</v>
      </c>
      <c r="B47" s="34" t="s">
        <v>287</v>
      </c>
      <c r="C47" s="34"/>
      <c r="D47" s="35" t="s">
        <v>185</v>
      </c>
      <c r="E47" s="97">
        <f>SUM(E48:E51)</f>
        <v>6000</v>
      </c>
      <c r="F47" s="97">
        <f t="shared" ref="F47:U47" si="22">SUM(F48:F51)</f>
        <v>9000</v>
      </c>
      <c r="G47" s="97">
        <f t="shared" si="22"/>
        <v>6000</v>
      </c>
      <c r="H47" s="97">
        <f t="shared" si="22"/>
        <v>10800</v>
      </c>
      <c r="I47" s="97">
        <f t="shared" si="22"/>
        <v>1800</v>
      </c>
      <c r="J47" s="97">
        <f t="shared" si="22"/>
        <v>3000</v>
      </c>
      <c r="K47" s="97">
        <f t="shared" si="22"/>
        <v>8000</v>
      </c>
      <c r="L47" s="97">
        <f t="shared" si="22"/>
        <v>500</v>
      </c>
      <c r="M47" s="97">
        <f t="shared" si="22"/>
        <v>0</v>
      </c>
      <c r="N47" s="97">
        <f t="shared" si="22"/>
        <v>4500</v>
      </c>
      <c r="O47" s="97">
        <f t="shared" si="22"/>
        <v>10000</v>
      </c>
      <c r="P47" s="97">
        <f t="shared" si="22"/>
        <v>6700</v>
      </c>
      <c r="Q47" s="97">
        <f t="shared" si="22"/>
        <v>3600</v>
      </c>
      <c r="R47" s="97">
        <f t="shared" si="22"/>
        <v>3000</v>
      </c>
      <c r="S47" s="97">
        <f t="shared" si="22"/>
        <v>4800</v>
      </c>
      <c r="T47" s="97">
        <f t="shared" si="22"/>
        <v>2400</v>
      </c>
      <c r="U47" s="97">
        <f t="shared" si="22"/>
        <v>600</v>
      </c>
      <c r="V47" s="94">
        <f t="shared" si="1"/>
        <v>80700</v>
      </c>
    </row>
    <row r="48" spans="1:22" ht="11.25">
      <c r="A48" s="33" t="s">
        <v>288</v>
      </c>
      <c r="B48" s="34" t="s">
        <v>289</v>
      </c>
      <c r="C48" s="34" t="s">
        <v>191</v>
      </c>
      <c r="D48" s="35" t="s">
        <v>290</v>
      </c>
      <c r="E48" s="121">
        <v>6000</v>
      </c>
      <c r="F48" s="121">
        <v>9000</v>
      </c>
      <c r="G48" s="96">
        <v>6000</v>
      </c>
      <c r="H48" s="122">
        <v>10800</v>
      </c>
      <c r="I48" s="37">
        <v>1800</v>
      </c>
      <c r="J48" s="121">
        <v>3000</v>
      </c>
      <c r="K48" s="121">
        <v>8000</v>
      </c>
      <c r="L48" s="122">
        <f>50*10</f>
        <v>500</v>
      </c>
      <c r="M48" s="122"/>
      <c r="N48" s="122">
        <v>4500</v>
      </c>
      <c r="O48" s="96">
        <v>10000</v>
      </c>
      <c r="P48" s="37">
        <v>6700</v>
      </c>
      <c r="Q48" s="96">
        <f>300*12</f>
        <v>3600</v>
      </c>
      <c r="R48" s="37">
        <v>3000</v>
      </c>
      <c r="S48" s="37">
        <v>4800</v>
      </c>
      <c r="T48" s="37">
        <v>2400</v>
      </c>
      <c r="U48" s="37">
        <v>600</v>
      </c>
      <c r="V48" s="94">
        <f t="shared" si="1"/>
        <v>80700</v>
      </c>
    </row>
    <row r="49" spans="1:22" s="40" customFormat="1" ht="11.25">
      <c r="A49" s="33" t="s">
        <v>291</v>
      </c>
      <c r="B49" s="38" t="s">
        <v>292</v>
      </c>
      <c r="C49" s="38" t="s">
        <v>191</v>
      </c>
      <c r="D49" s="39" t="s">
        <v>293</v>
      </c>
      <c r="E49" s="118"/>
      <c r="F49" s="118"/>
      <c r="G49" s="119"/>
      <c r="H49" s="118"/>
      <c r="I49" s="46"/>
      <c r="J49" s="120"/>
      <c r="K49" s="120"/>
      <c r="L49" s="118"/>
      <c r="M49" s="118"/>
      <c r="N49" s="118"/>
      <c r="O49" s="119"/>
      <c r="P49" s="46"/>
      <c r="Q49" s="119">
        <v>0</v>
      </c>
      <c r="R49" s="46"/>
      <c r="S49" s="46"/>
      <c r="T49" s="46">
        <v>0</v>
      </c>
      <c r="U49" s="46"/>
      <c r="V49" s="94">
        <f t="shared" si="1"/>
        <v>0</v>
      </c>
    </row>
    <row r="50" spans="1:22" s="40" customFormat="1" ht="11.25">
      <c r="A50" s="33" t="s">
        <v>294</v>
      </c>
      <c r="B50" s="38" t="s">
        <v>295</v>
      </c>
      <c r="C50" s="38" t="s">
        <v>191</v>
      </c>
      <c r="D50" s="39" t="s">
        <v>293</v>
      </c>
      <c r="E50" s="118"/>
      <c r="F50" s="118"/>
      <c r="G50" s="119"/>
      <c r="H50" s="118"/>
      <c r="I50" s="46"/>
      <c r="J50" s="120"/>
      <c r="K50" s="120"/>
      <c r="L50" s="118"/>
      <c r="M50" s="118"/>
      <c r="N50" s="118"/>
      <c r="O50" s="119"/>
      <c r="P50" s="46"/>
      <c r="Q50" s="119">
        <v>0</v>
      </c>
      <c r="R50" s="46"/>
      <c r="S50" s="46"/>
      <c r="T50" s="46">
        <v>0</v>
      </c>
      <c r="U50" s="46"/>
      <c r="V50" s="94">
        <f t="shared" si="1"/>
        <v>0</v>
      </c>
    </row>
    <row r="51" spans="1:22" ht="22.5">
      <c r="A51" s="33" t="s">
        <v>296</v>
      </c>
      <c r="B51" s="34" t="s">
        <v>297</v>
      </c>
      <c r="C51" s="34" t="s">
        <v>191</v>
      </c>
      <c r="D51" s="42" t="s">
        <v>298</v>
      </c>
      <c r="E51" s="113"/>
      <c r="F51" s="113"/>
      <c r="G51" s="114"/>
      <c r="H51" s="113"/>
      <c r="I51" s="43"/>
      <c r="J51" s="115"/>
      <c r="K51" s="115"/>
      <c r="L51" s="113"/>
      <c r="M51" s="113"/>
      <c r="N51" s="113"/>
      <c r="O51" s="114"/>
      <c r="P51" s="43"/>
      <c r="Q51" s="114"/>
      <c r="R51" s="43"/>
      <c r="S51" s="43"/>
      <c r="T51" s="43"/>
      <c r="U51" s="43"/>
      <c r="V51" s="94">
        <f t="shared" si="1"/>
        <v>0</v>
      </c>
    </row>
    <row r="52" spans="1:22" s="125" customFormat="1" ht="11.25">
      <c r="A52" s="101" t="s">
        <v>299</v>
      </c>
      <c r="B52" s="123" t="s">
        <v>300</v>
      </c>
      <c r="C52" s="123"/>
      <c r="D52" s="124" t="s">
        <v>185</v>
      </c>
      <c r="E52" s="100">
        <f>E53+E71+E73+E75+E77+E79+E81+E83+E85+E93</f>
        <v>3942575.4</v>
      </c>
      <c r="F52" s="100">
        <f t="shared" ref="F52:U52" si="23">F53+F71+F73+F75+F77+F79+F81+F83+F85+F93</f>
        <v>3785730.6</v>
      </c>
      <c r="G52" s="100">
        <f t="shared" si="23"/>
        <v>2639022.9</v>
      </c>
      <c r="H52" s="100">
        <f t="shared" si="23"/>
        <v>2718746.39</v>
      </c>
      <c r="I52" s="100">
        <f t="shared" si="23"/>
        <v>5916868.8499999996</v>
      </c>
      <c r="J52" s="100">
        <f t="shared" si="23"/>
        <v>4253555.3</v>
      </c>
      <c r="K52" s="100">
        <f t="shared" si="23"/>
        <v>4797288</v>
      </c>
      <c r="L52" s="100">
        <f t="shared" si="23"/>
        <v>2346344.15</v>
      </c>
      <c r="M52" s="100">
        <f t="shared" si="23"/>
        <v>2468193.5500000003</v>
      </c>
      <c r="N52" s="100">
        <f t="shared" si="23"/>
        <v>2561896.75</v>
      </c>
      <c r="O52" s="100">
        <f t="shared" si="23"/>
        <v>3189106.7</v>
      </c>
      <c r="P52" s="100">
        <f t="shared" si="23"/>
        <v>3601508.8</v>
      </c>
      <c r="Q52" s="100">
        <f t="shared" si="23"/>
        <v>2152876.7999999998</v>
      </c>
      <c r="R52" s="100">
        <f t="shared" si="23"/>
        <v>1113226.45</v>
      </c>
      <c r="S52" s="100">
        <f t="shared" si="23"/>
        <v>2171715.92</v>
      </c>
      <c r="T52" s="100">
        <f t="shared" si="23"/>
        <v>1089320</v>
      </c>
      <c r="U52" s="100">
        <f t="shared" si="23"/>
        <v>463880</v>
      </c>
      <c r="V52" s="104">
        <f t="shared" si="1"/>
        <v>49211856.560000002</v>
      </c>
    </row>
    <row r="53" spans="1:22" ht="11.25">
      <c r="A53" s="33" t="s">
        <v>301</v>
      </c>
      <c r="B53" s="34" t="s">
        <v>302</v>
      </c>
      <c r="C53" s="34"/>
      <c r="D53" s="35" t="s">
        <v>303</v>
      </c>
      <c r="E53" s="97">
        <f t="shared" ref="E53:J53" si="24">SUM(E54:E70)</f>
        <v>2484720</v>
      </c>
      <c r="F53" s="97">
        <f t="shared" si="24"/>
        <v>2433780</v>
      </c>
      <c r="G53" s="97">
        <f t="shared" si="24"/>
        <v>1794210</v>
      </c>
      <c r="H53" s="97">
        <f t="shared" si="24"/>
        <v>1679100</v>
      </c>
      <c r="I53" s="36">
        <f t="shared" si="24"/>
        <v>4166760</v>
      </c>
      <c r="J53" s="99">
        <f t="shared" si="24"/>
        <v>2758070</v>
      </c>
      <c r="K53" s="99">
        <f>K54+K55+K56+K57+K58+K59+K60+K61+K62+K63+K64+K65+K66+K67+K68+K69+K70</f>
        <v>3609930</v>
      </c>
      <c r="L53" s="107">
        <f>SUM(L54:L70)</f>
        <v>1637160</v>
      </c>
      <c r="M53" s="97">
        <v>1786160</v>
      </c>
      <c r="N53" s="97">
        <f>SUM(N54:N70)</f>
        <v>1800820</v>
      </c>
      <c r="O53" s="97">
        <f>SUM(O54:O70)</f>
        <v>2295580</v>
      </c>
      <c r="P53" s="36">
        <f>SUM(P54:P70)</f>
        <v>2722520</v>
      </c>
      <c r="Q53" s="36">
        <v>1636740</v>
      </c>
      <c r="R53" s="36">
        <f>SUM(R54:R70)</f>
        <v>798000</v>
      </c>
      <c r="S53" s="36">
        <f>SUM(S54:S70)</f>
        <v>1601820</v>
      </c>
      <c r="T53" s="36">
        <f>SUM(T54:T70)</f>
        <v>861840</v>
      </c>
      <c r="U53" s="36">
        <f>SUM(U54:U70)</f>
        <v>192000</v>
      </c>
      <c r="V53" s="94">
        <f t="shared" si="1"/>
        <v>34259210</v>
      </c>
    </row>
    <row r="54" spans="1:22" ht="11.25">
      <c r="A54" s="33" t="s">
        <v>304</v>
      </c>
      <c r="B54" s="34" t="s">
        <v>305</v>
      </c>
      <c r="C54" s="34" t="s">
        <v>191</v>
      </c>
      <c r="D54" s="47"/>
      <c r="E54" s="96">
        <v>300000</v>
      </c>
      <c r="F54" s="96">
        <v>600000</v>
      </c>
      <c r="G54" s="96">
        <v>650499.5</v>
      </c>
      <c r="H54" s="37">
        <v>360000</v>
      </c>
      <c r="I54" s="37">
        <f>426413+556971+5605</f>
        <v>988989</v>
      </c>
      <c r="J54" s="96">
        <v>353471</v>
      </c>
      <c r="K54" s="121">
        <v>1984433.5</v>
      </c>
      <c r="L54" s="89">
        <v>322618</v>
      </c>
      <c r="M54" s="96">
        <v>390000</v>
      </c>
      <c r="N54" s="96">
        <f>500000+5054</f>
        <v>505054</v>
      </c>
      <c r="O54" s="96">
        <v>528801</v>
      </c>
      <c r="P54" s="37">
        <f>794715.62-22160+507</f>
        <v>773062.62</v>
      </c>
      <c r="Q54" s="96">
        <v>285529</v>
      </c>
      <c r="R54" s="37">
        <v>149000</v>
      </c>
      <c r="S54" s="37">
        <v>495506</v>
      </c>
      <c r="T54" s="37">
        <v>160648</v>
      </c>
      <c r="U54" s="37">
        <v>46400</v>
      </c>
      <c r="V54" s="94">
        <f t="shared" si="1"/>
        <v>8894011.620000001</v>
      </c>
    </row>
    <row r="55" spans="1:22" ht="11.25">
      <c r="A55" s="33" t="s">
        <v>306</v>
      </c>
      <c r="B55" s="34" t="s">
        <v>307</v>
      </c>
      <c r="C55" s="34" t="s">
        <v>191</v>
      </c>
      <c r="D55" s="47"/>
      <c r="E55" s="96">
        <v>300000</v>
      </c>
      <c r="F55" s="96">
        <v>200000</v>
      </c>
      <c r="G55" s="96">
        <v>200000</v>
      </c>
      <c r="H55" s="37">
        <v>150000</v>
      </c>
      <c r="I55" s="37">
        <v>20000</v>
      </c>
      <c r="J55" s="96">
        <v>100000</v>
      </c>
      <c r="K55" s="121">
        <v>100000</v>
      </c>
      <c r="L55" s="37">
        <v>14000</v>
      </c>
      <c r="M55" s="96">
        <v>30000</v>
      </c>
      <c r="N55" s="96"/>
      <c r="O55" s="96"/>
      <c r="P55" s="37">
        <v>59701.5</v>
      </c>
      <c r="Q55" s="96">
        <v>10000</v>
      </c>
      <c r="R55" s="37">
        <v>1000</v>
      </c>
      <c r="S55" s="37">
        <v>5000</v>
      </c>
      <c r="T55" s="37">
        <v>10000</v>
      </c>
      <c r="U55" s="37"/>
      <c r="V55" s="94">
        <f t="shared" si="1"/>
        <v>1199701.5</v>
      </c>
    </row>
    <row r="56" spans="1:22" ht="11.25">
      <c r="A56" s="33" t="s">
        <v>308</v>
      </c>
      <c r="B56" s="34" t="s">
        <v>309</v>
      </c>
      <c r="C56" s="34" t="s">
        <v>191</v>
      </c>
      <c r="D56" s="47"/>
      <c r="E56" s="96">
        <v>15000</v>
      </c>
      <c r="F56" s="96">
        <v>20000</v>
      </c>
      <c r="G56" s="96">
        <v>25000</v>
      </c>
      <c r="H56" s="37">
        <v>12000</v>
      </c>
      <c r="I56" s="37">
        <v>30000</v>
      </c>
      <c r="J56" s="96">
        <v>17000</v>
      </c>
      <c r="K56" s="121">
        <v>90000</v>
      </c>
      <c r="L56" s="37">
        <v>12900</v>
      </c>
      <c r="M56" s="96">
        <v>40000</v>
      </c>
      <c r="N56" s="96">
        <v>5000</v>
      </c>
      <c r="O56" s="96">
        <v>20000</v>
      </c>
      <c r="P56" s="37">
        <v>330</v>
      </c>
      <c r="Q56" s="96">
        <v>15000</v>
      </c>
      <c r="R56" s="37">
        <v>12000</v>
      </c>
      <c r="S56" s="37">
        <v>12000</v>
      </c>
      <c r="T56" s="37">
        <v>15000</v>
      </c>
      <c r="U56" s="37"/>
      <c r="V56" s="94">
        <f t="shared" si="1"/>
        <v>341230</v>
      </c>
    </row>
    <row r="57" spans="1:22" ht="11.25">
      <c r="A57" s="33" t="s">
        <v>310</v>
      </c>
      <c r="B57" s="34" t="s">
        <v>311</v>
      </c>
      <c r="C57" s="34" t="s">
        <v>191</v>
      </c>
      <c r="D57" s="47"/>
      <c r="E57" s="96">
        <v>80000</v>
      </c>
      <c r="F57" s="96">
        <v>60000</v>
      </c>
      <c r="G57" s="96">
        <v>50000</v>
      </c>
      <c r="H57" s="37">
        <v>100000</v>
      </c>
      <c r="I57" s="37">
        <v>30000</v>
      </c>
      <c r="J57" s="96">
        <v>100000</v>
      </c>
      <c r="K57" s="121">
        <v>100000</v>
      </c>
      <c r="L57" s="37">
        <v>42000</v>
      </c>
      <c r="M57" s="96">
        <v>20000</v>
      </c>
      <c r="N57" s="96">
        <v>25000</v>
      </c>
      <c r="O57" s="96">
        <v>50000</v>
      </c>
      <c r="P57" s="37">
        <v>26231.21</v>
      </c>
      <c r="Q57" s="96">
        <v>25000</v>
      </c>
      <c r="R57" s="37">
        <v>20000</v>
      </c>
      <c r="S57" s="37">
        <v>23000</v>
      </c>
      <c r="T57" s="37">
        <v>20000</v>
      </c>
      <c r="U57" s="37">
        <v>11000</v>
      </c>
      <c r="V57" s="94">
        <f t="shared" si="1"/>
        <v>782231.21</v>
      </c>
    </row>
    <row r="58" spans="1:22" ht="11.25">
      <c r="A58" s="33" t="s">
        <v>312</v>
      </c>
      <c r="B58" s="34" t="s">
        <v>313</v>
      </c>
      <c r="C58" s="34" t="s">
        <v>191</v>
      </c>
      <c r="D58" s="47"/>
      <c r="E58" s="121">
        <v>180000</v>
      </c>
      <c r="F58" s="121">
        <v>150000</v>
      </c>
      <c r="G58" s="96">
        <v>134000</v>
      </c>
      <c r="H58" s="122">
        <v>450000</v>
      </c>
      <c r="I58" s="37">
        <v>160000</v>
      </c>
      <c r="J58" s="121">
        <v>180000</v>
      </c>
      <c r="K58" s="121">
        <v>200000</v>
      </c>
      <c r="L58" s="122">
        <v>132000</v>
      </c>
      <c r="M58" s="121">
        <v>140000</v>
      </c>
      <c r="N58" s="121">
        <v>200000</v>
      </c>
      <c r="O58" s="96">
        <v>200000</v>
      </c>
      <c r="P58" s="37">
        <v>144401.51999999999</v>
      </c>
      <c r="Q58" s="96">
        <v>100000</v>
      </c>
      <c r="R58" s="37">
        <v>90000</v>
      </c>
      <c r="S58" s="37">
        <v>200000</v>
      </c>
      <c r="T58" s="37">
        <v>30000</v>
      </c>
      <c r="U58" s="37">
        <v>30000</v>
      </c>
      <c r="V58" s="94">
        <f t="shared" si="1"/>
        <v>2720401.52</v>
      </c>
    </row>
    <row r="59" spans="1:22" ht="11.25">
      <c r="A59" s="33" t="s">
        <v>314</v>
      </c>
      <c r="B59" s="34" t="s">
        <v>315</v>
      </c>
      <c r="C59" s="34" t="s">
        <v>191</v>
      </c>
      <c r="D59" s="47"/>
      <c r="E59" s="121">
        <v>180000</v>
      </c>
      <c r="F59" s="121">
        <v>10000</v>
      </c>
      <c r="G59" s="96">
        <v>4500</v>
      </c>
      <c r="H59" s="122">
        <v>20000</v>
      </c>
      <c r="I59" s="37">
        <v>13000</v>
      </c>
      <c r="J59" s="121">
        <v>4000</v>
      </c>
      <c r="K59" s="121">
        <v>10000</v>
      </c>
      <c r="L59" s="122">
        <v>59000</v>
      </c>
      <c r="M59" s="121">
        <v>5000</v>
      </c>
      <c r="N59" s="121">
        <v>20000</v>
      </c>
      <c r="O59" s="96">
        <v>10000</v>
      </c>
      <c r="P59" s="37">
        <v>3923.4</v>
      </c>
      <c r="Q59" s="96">
        <v>10000</v>
      </c>
      <c r="R59" s="37">
        <v>2300</v>
      </c>
      <c r="S59" s="37">
        <v>4500</v>
      </c>
      <c r="T59" s="37">
        <v>10000</v>
      </c>
      <c r="U59" s="37">
        <v>20000</v>
      </c>
      <c r="V59" s="94">
        <f t="shared" si="1"/>
        <v>386223.4</v>
      </c>
    </row>
    <row r="60" spans="1:22" ht="11.25">
      <c r="A60" s="33" t="s">
        <v>316</v>
      </c>
      <c r="B60" s="34" t="s">
        <v>317</v>
      </c>
      <c r="C60" s="34" t="s">
        <v>191</v>
      </c>
      <c r="D60" s="47"/>
      <c r="E60" s="121">
        <v>50000</v>
      </c>
      <c r="F60" s="121">
        <v>60000</v>
      </c>
      <c r="G60" s="96">
        <v>5000</v>
      </c>
      <c r="H60" s="122">
        <v>20000</v>
      </c>
      <c r="I60" s="37">
        <v>4000</v>
      </c>
      <c r="J60" s="121">
        <v>10000</v>
      </c>
      <c r="K60" s="121">
        <v>10000</v>
      </c>
      <c r="L60" s="122">
        <v>20000</v>
      </c>
      <c r="M60" s="121">
        <v>10000</v>
      </c>
      <c r="N60" s="121">
        <v>2000</v>
      </c>
      <c r="O60" s="96">
        <v>10000</v>
      </c>
      <c r="P60" s="37">
        <v>2557.5</v>
      </c>
      <c r="Q60" s="96">
        <v>5000</v>
      </c>
      <c r="R60" s="37">
        <v>4000</v>
      </c>
      <c r="S60" s="37">
        <v>4000</v>
      </c>
      <c r="T60" s="37">
        <v>5000</v>
      </c>
      <c r="U60" s="37"/>
      <c r="V60" s="94">
        <f t="shared" si="1"/>
        <v>221557.5</v>
      </c>
    </row>
    <row r="61" spans="1:22" ht="11.25">
      <c r="A61" s="33" t="s">
        <v>318</v>
      </c>
      <c r="B61" s="34" t="s">
        <v>319</v>
      </c>
      <c r="C61" s="34" t="s">
        <v>191</v>
      </c>
      <c r="D61" s="47"/>
      <c r="E61" s="121">
        <v>200000</v>
      </c>
      <c r="F61" s="121">
        <v>300000</v>
      </c>
      <c r="G61" s="96">
        <v>200000</v>
      </c>
      <c r="H61" s="122">
        <v>100000</v>
      </c>
      <c r="I61" s="37">
        <f>1000000+181309.5</f>
        <v>1181309.5</v>
      </c>
      <c r="J61" s="121">
        <v>350000</v>
      </c>
      <c r="K61" s="121">
        <v>50000</v>
      </c>
      <c r="L61" s="122">
        <v>150000</v>
      </c>
      <c r="M61" s="121">
        <v>145000</v>
      </c>
      <c r="N61" s="121">
        <v>300000</v>
      </c>
      <c r="O61" s="96">
        <v>400000</v>
      </c>
      <c r="P61" s="37">
        <v>69795</v>
      </c>
      <c r="Q61" s="96">
        <v>300000</v>
      </c>
      <c r="R61" s="37">
        <v>180000</v>
      </c>
      <c r="S61" s="37">
        <v>319567</v>
      </c>
      <c r="T61" s="37">
        <v>50000</v>
      </c>
      <c r="U61" s="37">
        <v>40000</v>
      </c>
      <c r="V61" s="94">
        <f t="shared" si="1"/>
        <v>4335671.5</v>
      </c>
    </row>
    <row r="62" spans="1:22" ht="11.25">
      <c r="A62" s="33" t="s">
        <v>320</v>
      </c>
      <c r="B62" s="34" t="s">
        <v>321</v>
      </c>
      <c r="C62" s="34" t="s">
        <v>191</v>
      </c>
      <c r="D62" s="47"/>
      <c r="E62" s="121"/>
      <c r="F62" s="121"/>
      <c r="G62" s="96"/>
      <c r="H62" s="122"/>
      <c r="I62" s="37"/>
      <c r="J62" s="121"/>
      <c r="K62" s="121">
        <v>5000</v>
      </c>
      <c r="L62" s="122"/>
      <c r="M62" s="121"/>
      <c r="N62" s="121"/>
      <c r="O62" s="96"/>
      <c r="P62" s="37">
        <v>0</v>
      </c>
      <c r="Q62" s="96"/>
      <c r="R62" s="37"/>
      <c r="S62" s="37"/>
      <c r="T62" s="37"/>
      <c r="U62" s="37"/>
      <c r="V62" s="94">
        <f t="shared" si="1"/>
        <v>5000</v>
      </c>
    </row>
    <row r="63" spans="1:22" ht="11.25">
      <c r="A63" s="33" t="s">
        <v>322</v>
      </c>
      <c r="B63" s="34" t="s">
        <v>323</v>
      </c>
      <c r="C63" s="34" t="s">
        <v>324</v>
      </c>
      <c r="D63" s="47" t="s">
        <v>325</v>
      </c>
      <c r="E63" s="121">
        <v>124236</v>
      </c>
      <c r="F63" s="121">
        <f>121124+565</f>
        <v>121689</v>
      </c>
      <c r="G63" s="96">
        <v>89710.5</v>
      </c>
      <c r="H63" s="126">
        <v>31034</v>
      </c>
      <c r="I63" s="37">
        <v>176461.5</v>
      </c>
      <c r="J63" s="121">
        <v>137903.5</v>
      </c>
      <c r="K63" s="121">
        <v>180496.5</v>
      </c>
      <c r="L63" s="89">
        <v>64642</v>
      </c>
      <c r="M63" s="121">
        <v>89308</v>
      </c>
      <c r="N63" s="121">
        <v>90041</v>
      </c>
      <c r="O63" s="96">
        <v>114779</v>
      </c>
      <c r="P63" s="37">
        <v>114314</v>
      </c>
      <c r="Q63" s="96">
        <v>67473</v>
      </c>
      <c r="R63" s="37">
        <v>36309</v>
      </c>
      <c r="S63" s="37">
        <v>52427</v>
      </c>
      <c r="T63" s="37">
        <v>43092</v>
      </c>
      <c r="U63" s="37">
        <v>9600</v>
      </c>
      <c r="V63" s="94">
        <f t="shared" si="1"/>
        <v>1543516</v>
      </c>
    </row>
    <row r="64" spans="1:22" ht="11.25">
      <c r="A64" s="33" t="s">
        <v>326</v>
      </c>
      <c r="B64" s="34" t="s">
        <v>327</v>
      </c>
      <c r="C64" s="34" t="s">
        <v>191</v>
      </c>
      <c r="D64" s="47"/>
      <c r="E64" s="121"/>
      <c r="F64" s="121"/>
      <c r="G64" s="96"/>
      <c r="H64" s="122">
        <v>10000</v>
      </c>
      <c r="I64" s="37"/>
      <c r="J64" s="121">
        <v>20000</v>
      </c>
      <c r="K64" s="121">
        <v>20000</v>
      </c>
      <c r="L64" s="122">
        <v>5000</v>
      </c>
      <c r="M64" s="121">
        <v>1000</v>
      </c>
      <c r="N64" s="121">
        <v>12000</v>
      </c>
      <c r="O64" s="96">
        <v>12000</v>
      </c>
      <c r="P64" s="37">
        <v>20000</v>
      </c>
      <c r="Q64" s="96">
        <v>6000</v>
      </c>
      <c r="R64" s="37"/>
      <c r="S64" s="37"/>
      <c r="T64" s="37">
        <v>1000</v>
      </c>
      <c r="U64" s="37"/>
      <c r="V64" s="94">
        <f t="shared" si="1"/>
        <v>107000</v>
      </c>
    </row>
    <row r="65" spans="1:22" ht="11.25">
      <c r="A65" s="33" t="s">
        <v>328</v>
      </c>
      <c r="B65" s="34" t="s">
        <v>329</v>
      </c>
      <c r="C65" s="34" t="s">
        <v>191</v>
      </c>
      <c r="D65" s="47"/>
      <c r="E65" s="121">
        <v>100000</v>
      </c>
      <c r="F65" s="121"/>
      <c r="G65" s="96">
        <v>150000</v>
      </c>
      <c r="H65" s="122">
        <v>60000</v>
      </c>
      <c r="I65" s="37">
        <v>500000</v>
      </c>
      <c r="J65" s="121">
        <v>350000</v>
      </c>
      <c r="K65" s="121">
        <v>20000</v>
      </c>
      <c r="L65" s="122">
        <v>200000</v>
      </c>
      <c r="M65" s="121">
        <v>100000</v>
      </c>
      <c r="N65" s="121">
        <v>141725</v>
      </c>
      <c r="O65" s="96">
        <v>200000</v>
      </c>
      <c r="P65" s="37">
        <v>667091.89999999991</v>
      </c>
      <c r="Q65" s="96">
        <v>30000</v>
      </c>
      <c r="R65" s="37">
        <v>32000</v>
      </c>
      <c r="S65" s="37">
        <v>150000</v>
      </c>
      <c r="T65" s="37">
        <v>127100</v>
      </c>
      <c r="U65" s="37"/>
      <c r="V65" s="94">
        <f t="shared" si="1"/>
        <v>2827916.9</v>
      </c>
    </row>
    <row r="66" spans="1:22" ht="11.25">
      <c r="A66" s="33" t="s">
        <v>330</v>
      </c>
      <c r="B66" s="34" t="s">
        <v>331</v>
      </c>
      <c r="C66" s="34" t="s">
        <v>191</v>
      </c>
      <c r="D66" s="47"/>
      <c r="E66" s="121">
        <v>50000</v>
      </c>
      <c r="F66" s="121">
        <v>20000</v>
      </c>
      <c r="G66" s="96">
        <v>5000</v>
      </c>
      <c r="H66" s="122">
        <v>100000</v>
      </c>
      <c r="I66" s="37">
        <v>3000</v>
      </c>
      <c r="J66" s="121">
        <v>40000</v>
      </c>
      <c r="K66" s="121">
        <v>150000</v>
      </c>
      <c r="L66" s="122">
        <v>50000</v>
      </c>
      <c r="M66" s="121">
        <v>50000</v>
      </c>
      <c r="N66" s="121"/>
      <c r="O66" s="96">
        <v>50000</v>
      </c>
      <c r="P66" s="37">
        <v>9130</v>
      </c>
      <c r="Q66" s="96">
        <v>5000</v>
      </c>
      <c r="R66" s="37">
        <v>1000</v>
      </c>
      <c r="S66" s="37">
        <v>5000</v>
      </c>
      <c r="T66" s="37">
        <v>10000</v>
      </c>
      <c r="U66" s="37">
        <v>20000</v>
      </c>
      <c r="V66" s="94">
        <f t="shared" si="1"/>
        <v>568130</v>
      </c>
    </row>
    <row r="67" spans="1:22" ht="11.25">
      <c r="A67" s="33" t="s">
        <v>332</v>
      </c>
      <c r="B67" s="34" t="s">
        <v>333</v>
      </c>
      <c r="C67" s="34" t="s">
        <v>191</v>
      </c>
      <c r="D67" s="47"/>
      <c r="E67" s="121"/>
      <c r="F67" s="121">
        <v>1000</v>
      </c>
      <c r="G67" s="96">
        <v>500</v>
      </c>
      <c r="H67" s="122"/>
      <c r="I67" s="37"/>
      <c r="J67" s="121"/>
      <c r="K67" s="121"/>
      <c r="L67" s="122"/>
      <c r="M67" s="121"/>
      <c r="N67" s="121"/>
      <c r="O67" s="96"/>
      <c r="P67" s="37">
        <v>0</v>
      </c>
      <c r="Q67" s="96">
        <v>10000</v>
      </c>
      <c r="R67" s="37"/>
      <c r="S67" s="37">
        <v>5000</v>
      </c>
      <c r="T67" s="37"/>
      <c r="U67" s="37"/>
      <c r="V67" s="94">
        <f t="shared" ref="V67:V109" si="25">SUM(E67:U67)</f>
        <v>16500</v>
      </c>
    </row>
    <row r="68" spans="1:22" ht="11.25">
      <c r="A68" s="33" t="s">
        <v>334</v>
      </c>
      <c r="B68" s="34" t="s">
        <v>335</v>
      </c>
      <c r="C68" s="34" t="s">
        <v>191</v>
      </c>
      <c r="D68" s="47"/>
      <c r="E68" s="121">
        <f>472064+2120+11300</f>
        <v>485484</v>
      </c>
      <c r="F68" s="121">
        <f>780356-565+11300</f>
        <v>791091</v>
      </c>
      <c r="G68" s="96">
        <v>200000</v>
      </c>
      <c r="H68" s="126">
        <v>106066</v>
      </c>
      <c r="I68" s="37">
        <v>500000</v>
      </c>
      <c r="J68" s="121">
        <v>595695.5</v>
      </c>
      <c r="K68" s="121">
        <v>650000</v>
      </c>
      <c r="L68" s="122">
        <v>400000</v>
      </c>
      <c r="M68" s="121">
        <v>515852</v>
      </c>
      <c r="N68" s="121">
        <v>200000</v>
      </c>
      <c r="O68" s="96">
        <v>300000</v>
      </c>
      <c r="P68" s="37">
        <v>398341.35</v>
      </c>
      <c r="Q68" s="96">
        <v>537738</v>
      </c>
      <c r="R68" s="37">
        <v>230391</v>
      </c>
      <c r="S68" s="37">
        <f>200000+5820</f>
        <v>205820</v>
      </c>
      <c r="T68" s="37">
        <v>100000</v>
      </c>
      <c r="U68" s="37">
        <v>15000</v>
      </c>
      <c r="V68" s="94">
        <f t="shared" si="25"/>
        <v>6231478.8499999996</v>
      </c>
    </row>
    <row r="69" spans="1:22" ht="11.25">
      <c r="A69" s="33" t="s">
        <v>336</v>
      </c>
      <c r="B69" s="34" t="s">
        <v>337</v>
      </c>
      <c r="C69" s="34" t="s">
        <v>191</v>
      </c>
      <c r="D69" s="47"/>
      <c r="E69" s="121">
        <v>260000</v>
      </c>
      <c r="F69" s="121">
        <v>50000</v>
      </c>
      <c r="G69" s="96">
        <v>50000</v>
      </c>
      <c r="H69" s="122">
        <v>100000</v>
      </c>
      <c r="I69" s="37">
        <v>500000</v>
      </c>
      <c r="J69" s="121">
        <v>300000</v>
      </c>
      <c r="K69" s="121">
        <v>20000</v>
      </c>
      <c r="L69" s="122">
        <v>115000</v>
      </c>
      <c r="M69" s="121">
        <v>200000</v>
      </c>
      <c r="N69" s="121">
        <v>200000</v>
      </c>
      <c r="O69" s="96">
        <v>200000</v>
      </c>
      <c r="P69" s="37">
        <v>240855</v>
      </c>
      <c r="Q69" s="96">
        <v>150000</v>
      </c>
      <c r="R69" s="37">
        <v>25000</v>
      </c>
      <c r="S69" s="37">
        <v>60000</v>
      </c>
      <c r="T69" s="37">
        <v>180000</v>
      </c>
      <c r="U69" s="37"/>
      <c r="V69" s="94">
        <f t="shared" si="25"/>
        <v>2650855</v>
      </c>
    </row>
    <row r="70" spans="1:22" ht="11.25">
      <c r="A70" s="33" t="s">
        <v>338</v>
      </c>
      <c r="B70" s="34" t="s">
        <v>339</v>
      </c>
      <c r="C70" s="34" t="s">
        <v>191</v>
      </c>
      <c r="D70" s="47"/>
      <c r="E70" s="121">
        <v>160000</v>
      </c>
      <c r="F70" s="121">
        <v>50000</v>
      </c>
      <c r="G70" s="96">
        <v>30000</v>
      </c>
      <c r="H70" s="122">
        <v>60000</v>
      </c>
      <c r="I70" s="37">
        <v>60000</v>
      </c>
      <c r="J70" s="121">
        <v>200000</v>
      </c>
      <c r="K70" s="121">
        <v>20000</v>
      </c>
      <c r="L70" s="122">
        <v>50000</v>
      </c>
      <c r="M70" s="121">
        <v>50000</v>
      </c>
      <c r="N70" s="121">
        <v>100000</v>
      </c>
      <c r="O70" s="96">
        <v>200000</v>
      </c>
      <c r="P70" s="37">
        <v>192785</v>
      </c>
      <c r="Q70" s="96">
        <v>80000</v>
      </c>
      <c r="R70" s="37">
        <v>15000</v>
      </c>
      <c r="S70" s="37">
        <v>60000</v>
      </c>
      <c r="T70" s="37">
        <v>100000</v>
      </c>
      <c r="U70" s="37"/>
      <c r="V70" s="94">
        <f t="shared" si="25"/>
        <v>1427785</v>
      </c>
    </row>
    <row r="71" spans="1:22" ht="11.25">
      <c r="A71" s="33" t="s">
        <v>340</v>
      </c>
      <c r="B71" s="34" t="s">
        <v>341</v>
      </c>
      <c r="C71" s="34"/>
      <c r="D71" s="35"/>
      <c r="E71" s="97">
        <f>E72</f>
        <v>34800</v>
      </c>
      <c r="F71" s="97">
        <f t="shared" ref="F71:U71" si="26">F72</f>
        <v>33600</v>
      </c>
      <c r="G71" s="97">
        <f t="shared" si="26"/>
        <v>24400</v>
      </c>
      <c r="H71" s="97">
        <f t="shared" si="26"/>
        <v>7200</v>
      </c>
      <c r="I71" s="97">
        <f t="shared" si="26"/>
        <v>33200</v>
      </c>
      <c r="J71" s="97">
        <f t="shared" si="26"/>
        <v>31200</v>
      </c>
      <c r="K71" s="97">
        <f t="shared" si="26"/>
        <v>34400</v>
      </c>
      <c r="L71" s="97">
        <f t="shared" si="26"/>
        <v>16000</v>
      </c>
      <c r="M71" s="97">
        <f t="shared" si="26"/>
        <v>19200</v>
      </c>
      <c r="N71" s="97">
        <f t="shared" si="26"/>
        <v>23200</v>
      </c>
      <c r="O71" s="97">
        <f t="shared" si="26"/>
        <v>25600</v>
      </c>
      <c r="P71" s="97">
        <f t="shared" si="26"/>
        <v>25600</v>
      </c>
      <c r="Q71" s="97">
        <f t="shared" si="26"/>
        <v>12000</v>
      </c>
      <c r="R71" s="97">
        <f t="shared" si="26"/>
        <v>8800</v>
      </c>
      <c r="S71" s="97">
        <f t="shared" si="26"/>
        <v>16400</v>
      </c>
      <c r="T71" s="97">
        <f t="shared" si="26"/>
        <v>4400</v>
      </c>
      <c r="U71" s="97">
        <f t="shared" si="26"/>
        <v>2400</v>
      </c>
      <c r="V71" s="94">
        <f t="shared" si="25"/>
        <v>352400</v>
      </c>
    </row>
    <row r="72" spans="1:22" s="40" customFormat="1" ht="11.25">
      <c r="A72" s="33" t="s">
        <v>342</v>
      </c>
      <c r="B72" s="38" t="s">
        <v>343</v>
      </c>
      <c r="C72" s="38" t="s">
        <v>191</v>
      </c>
      <c r="D72" s="48" t="s">
        <v>344</v>
      </c>
      <c r="E72" s="97">
        <f>E96*400</f>
        <v>34800</v>
      </c>
      <c r="F72" s="97">
        <f>F96*400</f>
        <v>33600</v>
      </c>
      <c r="G72" s="98">
        <v>24400</v>
      </c>
      <c r="H72" s="97">
        <f>H96*400</f>
        <v>7200</v>
      </c>
      <c r="I72" s="36">
        <f>I96*400</f>
        <v>33200</v>
      </c>
      <c r="J72" s="99">
        <v>31200</v>
      </c>
      <c r="K72" s="99">
        <v>34400</v>
      </c>
      <c r="L72" s="97">
        <f>L96*400</f>
        <v>16000</v>
      </c>
      <c r="M72" s="97">
        <f>M96*400</f>
        <v>19200</v>
      </c>
      <c r="N72" s="97">
        <f>N96*400</f>
        <v>23200</v>
      </c>
      <c r="O72" s="98">
        <v>25600</v>
      </c>
      <c r="P72" s="36">
        <f>P96*400</f>
        <v>25600</v>
      </c>
      <c r="Q72" s="98">
        <f>30*400</f>
        <v>12000</v>
      </c>
      <c r="R72" s="36">
        <f>R96*400</f>
        <v>8800</v>
      </c>
      <c r="S72" s="36">
        <f>S96*400</f>
        <v>16400</v>
      </c>
      <c r="T72" s="36">
        <f>T96*400</f>
        <v>4400</v>
      </c>
      <c r="U72" s="36">
        <f>U96*400</f>
        <v>2400</v>
      </c>
      <c r="V72" s="94">
        <f t="shared" si="25"/>
        <v>352400</v>
      </c>
    </row>
    <row r="73" spans="1:22" ht="11.25">
      <c r="A73" s="33" t="s">
        <v>345</v>
      </c>
      <c r="B73" s="34" t="s">
        <v>346</v>
      </c>
      <c r="C73" s="34"/>
      <c r="D73" s="35" t="s">
        <v>185</v>
      </c>
      <c r="E73" s="97">
        <f>E74</f>
        <v>255945</v>
      </c>
      <c r="F73" s="97">
        <f t="shared" ref="F73:U73" si="27">F74</f>
        <v>178845</v>
      </c>
      <c r="G73" s="97">
        <f t="shared" si="27"/>
        <v>191830.5</v>
      </c>
      <c r="H73" s="97">
        <f t="shared" si="27"/>
        <v>715855.35000000009</v>
      </c>
      <c r="I73" s="97">
        <f t="shared" si="27"/>
        <v>353195.25</v>
      </c>
      <c r="J73" s="97">
        <f t="shared" si="27"/>
        <v>235806.9</v>
      </c>
      <c r="K73" s="97">
        <f t="shared" si="27"/>
        <v>328071.59999999998</v>
      </c>
      <c r="L73" s="97">
        <f t="shared" si="27"/>
        <v>249734.55000000002</v>
      </c>
      <c r="M73" s="97">
        <f t="shared" si="27"/>
        <v>178714.35</v>
      </c>
      <c r="N73" s="97">
        <f t="shared" si="27"/>
        <v>114821.55</v>
      </c>
      <c r="O73" s="97">
        <f t="shared" si="27"/>
        <v>181706.7</v>
      </c>
      <c r="P73" s="97">
        <f t="shared" si="27"/>
        <v>249256.8</v>
      </c>
      <c r="Q73" s="97">
        <f t="shared" si="27"/>
        <v>202800</v>
      </c>
      <c r="R73" s="97">
        <f t="shared" si="27"/>
        <v>86216.85</v>
      </c>
      <c r="S73" s="97">
        <f t="shared" si="27"/>
        <v>169290</v>
      </c>
      <c r="T73" s="97">
        <f t="shared" si="27"/>
        <v>91200</v>
      </c>
      <c r="U73" s="97">
        <f t="shared" si="27"/>
        <v>84720</v>
      </c>
      <c r="V73" s="94">
        <f t="shared" si="25"/>
        <v>3868010.4</v>
      </c>
    </row>
    <row r="74" spans="1:22" s="40" customFormat="1" ht="11.25">
      <c r="A74" s="33" t="s">
        <v>347</v>
      </c>
      <c r="B74" s="38" t="s">
        <v>348</v>
      </c>
      <c r="C74" s="38" t="s">
        <v>191</v>
      </c>
      <c r="D74" s="48" t="s">
        <v>349</v>
      </c>
      <c r="E74" s="97">
        <f>E108*15</f>
        <v>255945</v>
      </c>
      <c r="F74" s="97">
        <f>F108*15</f>
        <v>178845</v>
      </c>
      <c r="G74" s="98">
        <v>191830.5</v>
      </c>
      <c r="H74" s="97">
        <f>H108*15</f>
        <v>715855.35000000009</v>
      </c>
      <c r="I74" s="36">
        <f>I108*15</f>
        <v>353195.25</v>
      </c>
      <c r="J74" s="99">
        <v>235806.9</v>
      </c>
      <c r="K74" s="99">
        <v>328071.59999999998</v>
      </c>
      <c r="L74" s="97">
        <f>L108*15</f>
        <v>249734.55000000002</v>
      </c>
      <c r="M74" s="97">
        <f>M108*15</f>
        <v>178714.35</v>
      </c>
      <c r="N74" s="97">
        <f>N108*15</f>
        <v>114821.55</v>
      </c>
      <c r="O74" s="98">
        <f>15*O108</f>
        <v>181706.7</v>
      </c>
      <c r="P74" s="36">
        <f>P108*15</f>
        <v>249256.8</v>
      </c>
      <c r="Q74" s="98">
        <f>13520*15</f>
        <v>202800</v>
      </c>
      <c r="R74" s="36">
        <f>R108*15</f>
        <v>86216.85</v>
      </c>
      <c r="S74" s="36">
        <f>S108*15</f>
        <v>169290</v>
      </c>
      <c r="T74" s="36">
        <f>T108*15</f>
        <v>91200</v>
      </c>
      <c r="U74" s="36">
        <f>U108*15</f>
        <v>84720</v>
      </c>
      <c r="V74" s="94">
        <f t="shared" si="25"/>
        <v>3868010.4</v>
      </c>
    </row>
    <row r="75" spans="1:22" ht="11.25">
      <c r="A75" s="33" t="s">
        <v>350</v>
      </c>
      <c r="B75" s="34" t="s">
        <v>351</v>
      </c>
      <c r="C75" s="34"/>
      <c r="D75" s="35" t="s">
        <v>185</v>
      </c>
      <c r="E75" s="97">
        <f>E76</f>
        <v>126632</v>
      </c>
      <c r="F75" s="97">
        <f t="shared" ref="F75:U75" si="28">F76</f>
        <v>82880</v>
      </c>
      <c r="G75" s="97">
        <f t="shared" si="28"/>
        <v>81432</v>
      </c>
      <c r="H75" s="97">
        <f t="shared" si="28"/>
        <v>130104</v>
      </c>
      <c r="I75" s="97">
        <f t="shared" si="28"/>
        <v>157696</v>
      </c>
      <c r="J75" s="97">
        <f t="shared" si="28"/>
        <v>89280</v>
      </c>
      <c r="K75" s="97">
        <f t="shared" si="28"/>
        <v>125600</v>
      </c>
      <c r="L75" s="97">
        <f t="shared" si="28"/>
        <v>89000</v>
      </c>
      <c r="M75" s="97">
        <f t="shared" si="28"/>
        <v>67576.800000000003</v>
      </c>
      <c r="N75" s="97">
        <f t="shared" si="28"/>
        <v>41072</v>
      </c>
      <c r="O75" s="97">
        <f t="shared" si="28"/>
        <v>34640</v>
      </c>
      <c r="P75" s="97">
        <f t="shared" si="28"/>
        <v>53384</v>
      </c>
      <c r="Q75" s="97">
        <f t="shared" si="28"/>
        <v>40360</v>
      </c>
      <c r="R75" s="97">
        <f t="shared" si="28"/>
        <v>20152</v>
      </c>
      <c r="S75" s="97">
        <f t="shared" si="28"/>
        <v>37018.720000000001</v>
      </c>
      <c r="T75" s="97">
        <f t="shared" si="28"/>
        <v>20000</v>
      </c>
      <c r="U75" s="97">
        <f t="shared" si="28"/>
        <v>18560</v>
      </c>
      <c r="V75" s="94">
        <f t="shared" si="25"/>
        <v>1215387.52</v>
      </c>
    </row>
    <row r="76" spans="1:22" s="40" customFormat="1" ht="11.25">
      <c r="A76" s="33" t="s">
        <v>352</v>
      </c>
      <c r="B76" s="38" t="s">
        <v>353</v>
      </c>
      <c r="C76" s="38" t="s">
        <v>191</v>
      </c>
      <c r="D76" s="48" t="s">
        <v>354</v>
      </c>
      <c r="E76" s="97">
        <f>E109*8</f>
        <v>126632</v>
      </c>
      <c r="F76" s="97">
        <f>F109*8</f>
        <v>82880</v>
      </c>
      <c r="G76" s="98">
        <v>81432</v>
      </c>
      <c r="H76" s="97">
        <f>H109*8</f>
        <v>130104</v>
      </c>
      <c r="I76" s="36">
        <f>I109*8</f>
        <v>157696</v>
      </c>
      <c r="J76" s="99">
        <v>89280</v>
      </c>
      <c r="K76" s="99">
        <v>125600</v>
      </c>
      <c r="L76" s="97">
        <f>L109*8</f>
        <v>89000</v>
      </c>
      <c r="M76" s="97">
        <f>M109*8</f>
        <v>67576.800000000003</v>
      </c>
      <c r="N76" s="97">
        <f>N109*8</f>
        <v>41072</v>
      </c>
      <c r="O76" s="98">
        <f>8*O109</f>
        <v>34640</v>
      </c>
      <c r="P76" s="36">
        <f>P109*8</f>
        <v>53384</v>
      </c>
      <c r="Q76" s="98">
        <f>5045*8</f>
        <v>40360</v>
      </c>
      <c r="R76" s="36">
        <f>R109*8</f>
        <v>20152</v>
      </c>
      <c r="S76" s="36">
        <f>S109*8</f>
        <v>37018.720000000001</v>
      </c>
      <c r="T76" s="36">
        <f>T109*8</f>
        <v>20000</v>
      </c>
      <c r="U76" s="36">
        <f>U109*8</f>
        <v>18560</v>
      </c>
      <c r="V76" s="94">
        <f t="shared" si="25"/>
        <v>1215387.52</v>
      </c>
    </row>
    <row r="77" spans="1:22" ht="11.25">
      <c r="A77" s="33" t="s">
        <v>355</v>
      </c>
      <c r="B77" s="34" t="s">
        <v>356</v>
      </c>
      <c r="C77" s="34"/>
      <c r="D77" s="35" t="s">
        <v>185</v>
      </c>
      <c r="E77" s="97">
        <f>E78</f>
        <v>0</v>
      </c>
      <c r="F77" s="97">
        <f>F78</f>
        <v>0</v>
      </c>
      <c r="G77" s="98">
        <v>0</v>
      </c>
      <c r="H77" s="97">
        <f>H78</f>
        <v>0</v>
      </c>
      <c r="I77" s="36">
        <f>I78</f>
        <v>0</v>
      </c>
      <c r="J77" s="99">
        <v>0</v>
      </c>
      <c r="K77" s="99">
        <v>0</v>
      </c>
      <c r="L77" s="97">
        <f>L78</f>
        <v>0</v>
      </c>
      <c r="M77" s="97">
        <f>M78</f>
        <v>0</v>
      </c>
      <c r="N77" s="97">
        <f>N78</f>
        <v>0</v>
      </c>
      <c r="O77" s="98">
        <v>0</v>
      </c>
      <c r="P77" s="36">
        <f t="shared" ref="P77:U77" si="29">P78</f>
        <v>0</v>
      </c>
      <c r="Q77" s="98">
        <f t="shared" si="29"/>
        <v>0</v>
      </c>
      <c r="R77" s="36">
        <f t="shared" si="29"/>
        <v>0</v>
      </c>
      <c r="S77" s="36">
        <f t="shared" si="29"/>
        <v>0</v>
      </c>
      <c r="T77" s="36">
        <f t="shared" si="29"/>
        <v>0</v>
      </c>
      <c r="U77" s="36">
        <f t="shared" si="29"/>
        <v>0</v>
      </c>
      <c r="V77" s="94">
        <f t="shared" si="25"/>
        <v>0</v>
      </c>
    </row>
    <row r="78" spans="1:22" s="40" customFormat="1" ht="11.25">
      <c r="A78" s="33" t="s">
        <v>357</v>
      </c>
      <c r="B78" s="38" t="s">
        <v>358</v>
      </c>
      <c r="C78" s="38" t="s">
        <v>191</v>
      </c>
      <c r="D78" s="48" t="s">
        <v>293</v>
      </c>
      <c r="E78" s="118"/>
      <c r="F78" s="118"/>
      <c r="G78" s="119"/>
      <c r="H78" s="118"/>
      <c r="I78" s="46"/>
      <c r="J78" s="120"/>
      <c r="K78" s="120"/>
      <c r="L78" s="118"/>
      <c r="M78" s="118"/>
      <c r="N78" s="118"/>
      <c r="O78" s="119"/>
      <c r="P78" s="46"/>
      <c r="Q78" s="119">
        <v>0</v>
      </c>
      <c r="R78" s="46"/>
      <c r="S78" s="46"/>
      <c r="T78" s="46"/>
      <c r="U78" s="46"/>
      <c r="V78" s="94">
        <f t="shared" si="25"/>
        <v>0</v>
      </c>
    </row>
    <row r="79" spans="1:22" ht="11.25">
      <c r="A79" s="33" t="s">
        <v>359</v>
      </c>
      <c r="B79" s="34" t="s">
        <v>360</v>
      </c>
      <c r="C79" s="34"/>
      <c r="D79" s="35" t="s">
        <v>185</v>
      </c>
      <c r="E79" s="36">
        <f>E80</f>
        <v>375840</v>
      </c>
      <c r="F79" s="36">
        <f t="shared" ref="F79:U79" si="30">F80</f>
        <v>362880</v>
      </c>
      <c r="G79" s="36">
        <f t="shared" si="30"/>
        <v>263520</v>
      </c>
      <c r="H79" s="36">
        <f t="shared" si="30"/>
        <v>77760</v>
      </c>
      <c r="I79" s="36">
        <f t="shared" si="30"/>
        <v>358560</v>
      </c>
      <c r="J79" s="36">
        <f t="shared" si="30"/>
        <v>336960</v>
      </c>
      <c r="K79" s="36">
        <f t="shared" si="30"/>
        <v>371520</v>
      </c>
      <c r="L79" s="36">
        <f t="shared" si="30"/>
        <v>172800</v>
      </c>
      <c r="M79" s="36">
        <f t="shared" si="30"/>
        <v>207360</v>
      </c>
      <c r="N79" s="36">
        <f t="shared" si="30"/>
        <v>250560</v>
      </c>
      <c r="O79" s="36">
        <f t="shared" si="30"/>
        <v>276480</v>
      </c>
      <c r="P79" s="36">
        <f t="shared" si="30"/>
        <v>276480</v>
      </c>
      <c r="Q79" s="36">
        <f t="shared" si="30"/>
        <v>129600</v>
      </c>
      <c r="R79" s="36">
        <f t="shared" si="30"/>
        <v>95040</v>
      </c>
      <c r="S79" s="36">
        <f t="shared" si="30"/>
        <v>177120</v>
      </c>
      <c r="T79" s="36">
        <f t="shared" si="30"/>
        <v>47520</v>
      </c>
      <c r="U79" s="36">
        <f t="shared" si="30"/>
        <v>25920</v>
      </c>
      <c r="V79" s="94">
        <f t="shared" si="25"/>
        <v>3805920</v>
      </c>
    </row>
    <row r="80" spans="1:22" s="40" customFormat="1" ht="11.25">
      <c r="A80" s="33" t="s">
        <v>361</v>
      </c>
      <c r="B80" s="38" t="s">
        <v>362</v>
      </c>
      <c r="C80" s="38" t="s">
        <v>191</v>
      </c>
      <c r="D80" s="48" t="s">
        <v>363</v>
      </c>
      <c r="E80" s="36">
        <f>E96*4320</f>
        <v>375840</v>
      </c>
      <c r="F80" s="36">
        <f>F96*4320</f>
        <v>362880</v>
      </c>
      <c r="G80" s="98">
        <v>263520</v>
      </c>
      <c r="H80" s="36">
        <f>H96*4320</f>
        <v>77760</v>
      </c>
      <c r="I80" s="36">
        <f>I96*4320</f>
        <v>358560</v>
      </c>
      <c r="J80" s="98">
        <v>336960</v>
      </c>
      <c r="K80" s="98">
        <v>371520</v>
      </c>
      <c r="L80" s="36">
        <f>L96*4320</f>
        <v>172800</v>
      </c>
      <c r="M80" s="36">
        <f>M96*4320</f>
        <v>207360</v>
      </c>
      <c r="N80" s="36">
        <f>N96*4320</f>
        <v>250560</v>
      </c>
      <c r="O80" s="98">
        <f>4320*O99</f>
        <v>276480</v>
      </c>
      <c r="P80" s="36">
        <f>P96*4320</f>
        <v>276480</v>
      </c>
      <c r="Q80" s="98">
        <f>4320*30</f>
        <v>129600</v>
      </c>
      <c r="R80" s="36">
        <f>R96*4320</f>
        <v>95040</v>
      </c>
      <c r="S80" s="36">
        <f>S96*4320</f>
        <v>177120</v>
      </c>
      <c r="T80" s="36">
        <f>T96*4320</f>
        <v>47520</v>
      </c>
      <c r="U80" s="36">
        <f>U96*4320</f>
        <v>25920</v>
      </c>
      <c r="V80" s="94">
        <f t="shared" si="25"/>
        <v>3805920</v>
      </c>
    </row>
    <row r="81" spans="1:22" ht="11.25">
      <c r="A81" s="33" t="s">
        <v>364</v>
      </c>
      <c r="B81" s="34" t="s">
        <v>365</v>
      </c>
      <c r="C81" s="34"/>
      <c r="D81" s="35" t="s">
        <v>185</v>
      </c>
      <c r="E81" s="36">
        <f>E82</f>
        <v>339998.4</v>
      </c>
      <c r="F81" s="36">
        <f t="shared" ref="F81:U81" si="31">F82</f>
        <v>340785.6</v>
      </c>
      <c r="G81" s="36">
        <f t="shared" si="31"/>
        <v>251630.40000000002</v>
      </c>
      <c r="H81" s="36">
        <f t="shared" si="31"/>
        <v>76727.039999999994</v>
      </c>
      <c r="I81" s="36">
        <f t="shared" si="31"/>
        <v>314577.59999999998</v>
      </c>
      <c r="J81" s="36">
        <f t="shared" si="31"/>
        <v>269918.40000000002</v>
      </c>
      <c r="K81" s="36">
        <f t="shared" si="31"/>
        <v>295766.40000000002</v>
      </c>
      <c r="L81" s="36">
        <f t="shared" si="31"/>
        <v>149649.59999999998</v>
      </c>
      <c r="M81" s="36">
        <f t="shared" si="31"/>
        <v>177182.40000000002</v>
      </c>
      <c r="N81" s="36">
        <f t="shared" si="31"/>
        <v>195303.2</v>
      </c>
      <c r="O81" s="36">
        <f t="shared" si="31"/>
        <v>229540</v>
      </c>
      <c r="P81" s="36">
        <f t="shared" si="31"/>
        <v>242268</v>
      </c>
      <c r="Q81" s="36">
        <f t="shared" si="31"/>
        <v>99376.8</v>
      </c>
      <c r="R81" s="36">
        <f t="shared" si="31"/>
        <v>73017.600000000006</v>
      </c>
      <c r="S81" s="36">
        <f t="shared" si="31"/>
        <v>138067.20000000001</v>
      </c>
      <c r="T81" s="36">
        <f t="shared" si="31"/>
        <v>32360</v>
      </c>
      <c r="U81" s="36">
        <f t="shared" si="31"/>
        <v>23320</v>
      </c>
      <c r="V81" s="94">
        <f t="shared" si="25"/>
        <v>3249488.64</v>
      </c>
    </row>
    <row r="82" spans="1:22" s="131" customFormat="1" ht="11.25">
      <c r="A82" s="127" t="s">
        <v>366</v>
      </c>
      <c r="B82" s="128" t="s">
        <v>367</v>
      </c>
      <c r="C82" s="128" t="s">
        <v>191</v>
      </c>
      <c r="D82" s="129" t="s">
        <v>210</v>
      </c>
      <c r="E82" s="107">
        <f t="shared" ref="E82:U82" si="32">E16*4</f>
        <v>339998.4</v>
      </c>
      <c r="F82" s="107">
        <f t="shared" si="32"/>
        <v>340785.6</v>
      </c>
      <c r="G82" s="107">
        <f t="shared" si="32"/>
        <v>251630.40000000002</v>
      </c>
      <c r="H82" s="107">
        <f t="shared" si="32"/>
        <v>76727.039999999994</v>
      </c>
      <c r="I82" s="107">
        <f t="shared" si="32"/>
        <v>314577.59999999998</v>
      </c>
      <c r="J82" s="107">
        <f t="shared" si="32"/>
        <v>269918.40000000002</v>
      </c>
      <c r="K82" s="107">
        <f t="shared" si="32"/>
        <v>295766.40000000002</v>
      </c>
      <c r="L82" s="107">
        <f t="shared" si="32"/>
        <v>149649.59999999998</v>
      </c>
      <c r="M82" s="107">
        <f t="shared" si="32"/>
        <v>177182.40000000002</v>
      </c>
      <c r="N82" s="107">
        <f t="shared" si="32"/>
        <v>195303.2</v>
      </c>
      <c r="O82" s="107">
        <f t="shared" si="32"/>
        <v>229540</v>
      </c>
      <c r="P82" s="107">
        <f t="shared" si="32"/>
        <v>242268</v>
      </c>
      <c r="Q82" s="107">
        <f t="shared" si="32"/>
        <v>99376.8</v>
      </c>
      <c r="R82" s="107">
        <f t="shared" si="32"/>
        <v>73017.600000000006</v>
      </c>
      <c r="S82" s="107">
        <f t="shared" si="32"/>
        <v>138067.20000000001</v>
      </c>
      <c r="T82" s="107">
        <f t="shared" si="32"/>
        <v>32360</v>
      </c>
      <c r="U82" s="107">
        <f t="shared" si="32"/>
        <v>23320</v>
      </c>
      <c r="V82" s="130">
        <f t="shared" si="25"/>
        <v>3249488.64</v>
      </c>
    </row>
    <row r="83" spans="1:22" ht="11.25">
      <c r="A83" s="132" t="s">
        <v>368</v>
      </c>
      <c r="B83" s="133" t="s">
        <v>369</v>
      </c>
      <c r="C83" s="133"/>
      <c r="D83" s="134" t="s">
        <v>185</v>
      </c>
      <c r="E83" s="135">
        <f>E84</f>
        <v>32000</v>
      </c>
      <c r="F83" s="135">
        <f t="shared" ref="F83:U83" si="33">F84</f>
        <v>32000</v>
      </c>
      <c r="G83" s="135">
        <f t="shared" si="33"/>
        <v>0</v>
      </c>
      <c r="H83" s="135">
        <f t="shared" si="33"/>
        <v>0</v>
      </c>
      <c r="I83" s="135">
        <f t="shared" si="33"/>
        <v>32000</v>
      </c>
      <c r="J83" s="135">
        <f t="shared" si="33"/>
        <v>32000</v>
      </c>
      <c r="K83" s="135">
        <f t="shared" si="33"/>
        <v>0</v>
      </c>
      <c r="L83" s="135">
        <f t="shared" si="33"/>
        <v>0</v>
      </c>
      <c r="M83" s="135">
        <f t="shared" si="33"/>
        <v>0</v>
      </c>
      <c r="N83" s="135">
        <f t="shared" si="33"/>
        <v>32000</v>
      </c>
      <c r="O83" s="135">
        <f t="shared" si="33"/>
        <v>32000</v>
      </c>
      <c r="P83" s="135">
        <f t="shared" si="33"/>
        <v>0</v>
      </c>
      <c r="Q83" s="135">
        <f t="shared" si="33"/>
        <v>0</v>
      </c>
      <c r="R83" s="135">
        <f t="shared" si="33"/>
        <v>0</v>
      </c>
      <c r="S83" s="135">
        <f t="shared" si="33"/>
        <v>0</v>
      </c>
      <c r="T83" s="135">
        <f t="shared" si="33"/>
        <v>0</v>
      </c>
      <c r="U83" s="135">
        <f t="shared" si="33"/>
        <v>32000</v>
      </c>
      <c r="V83" s="136">
        <f t="shared" si="25"/>
        <v>224000</v>
      </c>
    </row>
    <row r="84" spans="1:22" ht="33.75">
      <c r="A84" s="33" t="s">
        <v>370</v>
      </c>
      <c r="B84" s="34" t="s">
        <v>371</v>
      </c>
      <c r="C84" s="34" t="s">
        <v>191</v>
      </c>
      <c r="D84" s="47" t="s">
        <v>372</v>
      </c>
      <c r="E84" s="37">
        <v>32000</v>
      </c>
      <c r="F84" s="37">
        <v>32000</v>
      </c>
      <c r="G84" s="96"/>
      <c r="H84" s="37"/>
      <c r="I84" s="37">
        <v>32000</v>
      </c>
      <c r="J84" s="96">
        <v>32000</v>
      </c>
      <c r="K84" s="96"/>
      <c r="L84" s="37"/>
      <c r="M84" s="37"/>
      <c r="N84" s="37">
        <v>32000</v>
      </c>
      <c r="O84" s="96">
        <v>32000</v>
      </c>
      <c r="P84" s="37"/>
      <c r="Q84" s="96"/>
      <c r="R84" s="37"/>
      <c r="S84" s="37"/>
      <c r="T84" s="37"/>
      <c r="U84" s="37">
        <v>32000</v>
      </c>
      <c r="V84" s="94">
        <f t="shared" si="25"/>
        <v>224000</v>
      </c>
    </row>
    <row r="85" spans="1:22" ht="11.25">
      <c r="A85" s="33" t="s">
        <v>373</v>
      </c>
      <c r="B85" s="34" t="s">
        <v>374</v>
      </c>
      <c r="C85" s="34"/>
      <c r="D85" s="35" t="s">
        <v>185</v>
      </c>
      <c r="E85" s="36">
        <f>E86+E89+E92</f>
        <v>292640</v>
      </c>
      <c r="F85" s="36">
        <f t="shared" ref="F85:U85" si="34">F86+F89+F92</f>
        <v>320960</v>
      </c>
      <c r="G85" s="36">
        <f t="shared" si="34"/>
        <v>0</v>
      </c>
      <c r="H85" s="36">
        <f t="shared" si="34"/>
        <v>0</v>
      </c>
      <c r="I85" s="36">
        <f t="shared" si="34"/>
        <v>490880</v>
      </c>
      <c r="J85" s="36">
        <f t="shared" si="34"/>
        <v>500320</v>
      </c>
      <c r="K85" s="36">
        <f t="shared" si="34"/>
        <v>0</v>
      </c>
      <c r="L85" s="36">
        <f t="shared" si="34"/>
        <v>0</v>
      </c>
      <c r="M85" s="36">
        <f t="shared" si="34"/>
        <v>0</v>
      </c>
      <c r="N85" s="36">
        <f t="shared" si="34"/>
        <v>99120</v>
      </c>
      <c r="O85" s="36">
        <f t="shared" si="34"/>
        <v>108560</v>
      </c>
      <c r="P85" s="36">
        <f t="shared" si="34"/>
        <v>0</v>
      </c>
      <c r="Q85" s="36">
        <f t="shared" si="34"/>
        <v>0</v>
      </c>
      <c r="R85" s="36">
        <f t="shared" si="34"/>
        <v>0</v>
      </c>
      <c r="S85" s="36">
        <f t="shared" si="34"/>
        <v>0</v>
      </c>
      <c r="T85" s="36">
        <f t="shared" si="34"/>
        <v>0</v>
      </c>
      <c r="U85" s="36">
        <f t="shared" si="34"/>
        <v>84960</v>
      </c>
      <c r="V85" s="94">
        <f t="shared" si="25"/>
        <v>1897440</v>
      </c>
    </row>
    <row r="86" spans="1:22" ht="11.25">
      <c r="A86" s="33" t="s">
        <v>375</v>
      </c>
      <c r="B86" s="34" t="s">
        <v>376</v>
      </c>
      <c r="C86" s="34"/>
      <c r="D86" s="35" t="s">
        <v>185</v>
      </c>
      <c r="E86" s="36">
        <f>E87+E88</f>
        <v>0</v>
      </c>
      <c r="F86" s="36">
        <f>F87+F88</f>
        <v>0</v>
      </c>
      <c r="G86" s="98">
        <v>0</v>
      </c>
      <c r="H86" s="36">
        <f>H87+H88</f>
        <v>0</v>
      </c>
      <c r="I86" s="36">
        <f>I87+I88</f>
        <v>0</v>
      </c>
      <c r="J86" s="98">
        <v>0</v>
      </c>
      <c r="K86" s="98">
        <v>0</v>
      </c>
      <c r="L86" s="36">
        <f>L87+L88</f>
        <v>0</v>
      </c>
      <c r="M86" s="36">
        <f>M87+M88</f>
        <v>0</v>
      </c>
      <c r="N86" s="36">
        <f>N87+N88</f>
        <v>0</v>
      </c>
      <c r="O86" s="98">
        <v>0</v>
      </c>
      <c r="P86" s="36">
        <f>P87+P88</f>
        <v>0</v>
      </c>
      <c r="Q86" s="98">
        <v>0</v>
      </c>
      <c r="R86" s="36">
        <f>R87+R88</f>
        <v>0</v>
      </c>
      <c r="S86" s="36">
        <f>S87+S88</f>
        <v>0</v>
      </c>
      <c r="T86" s="36">
        <f>T87+T88</f>
        <v>0</v>
      </c>
      <c r="U86" s="36">
        <f>U87+U88</f>
        <v>0</v>
      </c>
      <c r="V86" s="94">
        <f t="shared" si="25"/>
        <v>0</v>
      </c>
    </row>
    <row r="87" spans="1:22" ht="11.25">
      <c r="A87" s="33" t="s">
        <v>377</v>
      </c>
      <c r="B87" s="34" t="s">
        <v>378</v>
      </c>
      <c r="C87" s="34" t="s">
        <v>191</v>
      </c>
      <c r="D87" s="47" t="s">
        <v>293</v>
      </c>
      <c r="E87" s="43"/>
      <c r="F87" s="43"/>
      <c r="G87" s="114"/>
      <c r="H87" s="43"/>
      <c r="I87" s="43"/>
      <c r="J87" s="114"/>
      <c r="K87" s="114"/>
      <c r="L87" s="43"/>
      <c r="M87" s="43"/>
      <c r="N87" s="43"/>
      <c r="O87" s="114"/>
      <c r="P87" s="43"/>
      <c r="Q87" s="114"/>
      <c r="R87" s="43"/>
      <c r="S87" s="43"/>
      <c r="T87" s="43"/>
      <c r="U87" s="43"/>
      <c r="V87" s="94">
        <f t="shared" si="25"/>
        <v>0</v>
      </c>
    </row>
    <row r="88" spans="1:22" ht="11.25">
      <c r="A88" s="33" t="s">
        <v>379</v>
      </c>
      <c r="B88" s="34" t="s">
        <v>380</v>
      </c>
      <c r="C88" s="34" t="s">
        <v>191</v>
      </c>
      <c r="D88" s="35" t="s">
        <v>381</v>
      </c>
      <c r="E88" s="43"/>
      <c r="F88" s="43"/>
      <c r="G88" s="114"/>
      <c r="H88" s="43"/>
      <c r="I88" s="43"/>
      <c r="J88" s="114"/>
      <c r="K88" s="114"/>
      <c r="L88" s="43"/>
      <c r="M88" s="43"/>
      <c r="N88" s="43"/>
      <c r="O88" s="114"/>
      <c r="P88" s="43"/>
      <c r="Q88" s="114"/>
      <c r="R88" s="43"/>
      <c r="S88" s="43"/>
      <c r="T88" s="43"/>
      <c r="U88" s="43"/>
      <c r="V88" s="94">
        <f t="shared" si="25"/>
        <v>0</v>
      </c>
    </row>
    <row r="89" spans="1:22" ht="11.25">
      <c r="A89" s="33" t="s">
        <v>382</v>
      </c>
      <c r="B89" s="34" t="s">
        <v>383</v>
      </c>
      <c r="C89" s="34"/>
      <c r="D89" s="35" t="s">
        <v>185</v>
      </c>
      <c r="E89" s="36">
        <f>E90+E91</f>
        <v>292640</v>
      </c>
      <c r="F89" s="36">
        <f t="shared" ref="F89:U89" si="35">F90+F91</f>
        <v>320960</v>
      </c>
      <c r="G89" s="36">
        <f t="shared" si="35"/>
        <v>0</v>
      </c>
      <c r="H89" s="36">
        <f t="shared" si="35"/>
        <v>0</v>
      </c>
      <c r="I89" s="36">
        <f t="shared" si="35"/>
        <v>490880</v>
      </c>
      <c r="J89" s="36">
        <f t="shared" si="35"/>
        <v>500320</v>
      </c>
      <c r="K89" s="36">
        <f t="shared" si="35"/>
        <v>0</v>
      </c>
      <c r="L89" s="36">
        <f t="shared" si="35"/>
        <v>0</v>
      </c>
      <c r="M89" s="36">
        <f t="shared" si="35"/>
        <v>0</v>
      </c>
      <c r="N89" s="36">
        <f t="shared" si="35"/>
        <v>99120</v>
      </c>
      <c r="O89" s="36">
        <f t="shared" si="35"/>
        <v>108560</v>
      </c>
      <c r="P89" s="36">
        <f t="shared" si="35"/>
        <v>0</v>
      </c>
      <c r="Q89" s="36">
        <f t="shared" si="35"/>
        <v>0</v>
      </c>
      <c r="R89" s="36">
        <f t="shared" si="35"/>
        <v>0</v>
      </c>
      <c r="S89" s="36">
        <f t="shared" si="35"/>
        <v>0</v>
      </c>
      <c r="T89" s="36">
        <f t="shared" si="35"/>
        <v>0</v>
      </c>
      <c r="U89" s="36">
        <f t="shared" si="35"/>
        <v>84960</v>
      </c>
      <c r="V89" s="94">
        <f t="shared" si="25"/>
        <v>1897440</v>
      </c>
    </row>
    <row r="90" spans="1:22" s="40" customFormat="1" ht="11.25">
      <c r="A90" s="33" t="s">
        <v>384</v>
      </c>
      <c r="B90" s="38" t="s">
        <v>385</v>
      </c>
      <c r="C90" s="38" t="s">
        <v>191</v>
      </c>
      <c r="D90" s="48" t="s">
        <v>386</v>
      </c>
      <c r="E90" s="36">
        <f>E107*400</f>
        <v>24800</v>
      </c>
      <c r="F90" s="36">
        <f>F107*400</f>
        <v>27200</v>
      </c>
      <c r="G90" s="98">
        <v>0</v>
      </c>
      <c r="H90" s="36">
        <f>H107*400</f>
        <v>0</v>
      </c>
      <c r="I90" s="36">
        <f>I107*400</f>
        <v>41600</v>
      </c>
      <c r="J90" s="98">
        <v>42400</v>
      </c>
      <c r="K90" s="98">
        <v>0</v>
      </c>
      <c r="L90" s="36">
        <f>L107*400</f>
        <v>0</v>
      </c>
      <c r="M90" s="36">
        <f>M107*400</f>
        <v>0</v>
      </c>
      <c r="N90" s="36">
        <f>N107*400</f>
        <v>8400</v>
      </c>
      <c r="O90" s="98">
        <f>O107*400</f>
        <v>9200</v>
      </c>
      <c r="P90" s="36">
        <f>P107*400</f>
        <v>0</v>
      </c>
      <c r="Q90" s="98">
        <v>0</v>
      </c>
      <c r="R90" s="36">
        <f>R107*400</f>
        <v>0</v>
      </c>
      <c r="S90" s="36">
        <f>S107*400</f>
        <v>0</v>
      </c>
      <c r="T90" s="36">
        <f>T107*400</f>
        <v>0</v>
      </c>
      <c r="U90" s="36">
        <f>U107*400</f>
        <v>7200</v>
      </c>
      <c r="V90" s="94">
        <f t="shared" si="25"/>
        <v>160800</v>
      </c>
    </row>
    <row r="91" spans="1:22" s="40" customFormat="1" ht="11.25">
      <c r="A91" s="33" t="s">
        <v>387</v>
      </c>
      <c r="B91" s="38" t="s">
        <v>388</v>
      </c>
      <c r="C91" s="38" t="s">
        <v>191</v>
      </c>
      <c r="D91" s="48" t="s">
        <v>389</v>
      </c>
      <c r="E91" s="36">
        <f>E107*4320</f>
        <v>267840</v>
      </c>
      <c r="F91" s="36">
        <f>F107*4320</f>
        <v>293760</v>
      </c>
      <c r="G91" s="98">
        <v>0</v>
      </c>
      <c r="H91" s="36">
        <f>H107*4320</f>
        <v>0</v>
      </c>
      <c r="I91" s="36">
        <f>I107*4320</f>
        <v>449280</v>
      </c>
      <c r="J91" s="98">
        <v>457920</v>
      </c>
      <c r="K91" s="98">
        <v>0</v>
      </c>
      <c r="L91" s="36">
        <f>L107*4320</f>
        <v>0</v>
      </c>
      <c r="M91" s="36">
        <f>M107*4320</f>
        <v>0</v>
      </c>
      <c r="N91" s="36">
        <f>N107*4320</f>
        <v>90720</v>
      </c>
      <c r="O91" s="98">
        <f>O107*4320</f>
        <v>99360</v>
      </c>
      <c r="P91" s="36">
        <f>P107*4320</f>
        <v>0</v>
      </c>
      <c r="Q91" s="98">
        <v>0</v>
      </c>
      <c r="R91" s="36">
        <f>R107*4320</f>
        <v>0</v>
      </c>
      <c r="S91" s="36">
        <f>S107*4320</f>
        <v>0</v>
      </c>
      <c r="T91" s="36">
        <f>T107*4320</f>
        <v>0</v>
      </c>
      <c r="U91" s="36">
        <f>U107*4320</f>
        <v>77760</v>
      </c>
      <c r="V91" s="94">
        <f t="shared" si="25"/>
        <v>1736640</v>
      </c>
    </row>
    <row r="92" spans="1:22" ht="11.25">
      <c r="A92" s="33" t="s">
        <v>390</v>
      </c>
      <c r="B92" s="34" t="s">
        <v>391</v>
      </c>
      <c r="C92" s="34" t="s">
        <v>191</v>
      </c>
      <c r="D92" s="47" t="s">
        <v>293</v>
      </c>
      <c r="E92" s="49"/>
      <c r="F92" s="49"/>
      <c r="G92" s="137"/>
      <c r="H92" s="49"/>
      <c r="I92" s="49"/>
      <c r="J92" s="137"/>
      <c r="K92" s="137"/>
      <c r="L92" s="49"/>
      <c r="M92" s="49"/>
      <c r="N92" s="49"/>
      <c r="O92" s="137"/>
      <c r="P92" s="49"/>
      <c r="Q92" s="137"/>
      <c r="R92" s="49"/>
      <c r="S92" s="49"/>
      <c r="T92" s="49"/>
      <c r="U92" s="49"/>
      <c r="V92" s="94">
        <f t="shared" si="25"/>
        <v>0</v>
      </c>
    </row>
    <row r="93" spans="1:22" ht="11.25">
      <c r="A93" s="33" t="s">
        <v>392</v>
      </c>
      <c r="B93" s="34" t="s">
        <v>393</v>
      </c>
      <c r="C93" s="34"/>
      <c r="D93" s="35" t="s">
        <v>185</v>
      </c>
      <c r="E93" s="36">
        <f>E94</f>
        <v>0</v>
      </c>
      <c r="F93" s="36">
        <f t="shared" ref="F93:U93" si="36">F94</f>
        <v>0</v>
      </c>
      <c r="G93" s="36">
        <f t="shared" si="36"/>
        <v>32000</v>
      </c>
      <c r="H93" s="36">
        <f t="shared" si="36"/>
        <v>32000</v>
      </c>
      <c r="I93" s="36">
        <f t="shared" si="36"/>
        <v>10000</v>
      </c>
      <c r="J93" s="36">
        <f t="shared" si="36"/>
        <v>0</v>
      </c>
      <c r="K93" s="36">
        <f t="shared" si="36"/>
        <v>32000</v>
      </c>
      <c r="L93" s="36">
        <f t="shared" si="36"/>
        <v>32000</v>
      </c>
      <c r="M93" s="36">
        <f t="shared" si="36"/>
        <v>32000</v>
      </c>
      <c r="N93" s="36">
        <f t="shared" si="36"/>
        <v>5000</v>
      </c>
      <c r="O93" s="36">
        <f t="shared" si="36"/>
        <v>5000</v>
      </c>
      <c r="P93" s="36">
        <f t="shared" si="36"/>
        <v>32000</v>
      </c>
      <c r="Q93" s="36">
        <f t="shared" si="36"/>
        <v>32000</v>
      </c>
      <c r="R93" s="36">
        <f t="shared" si="36"/>
        <v>32000</v>
      </c>
      <c r="S93" s="36">
        <f t="shared" si="36"/>
        <v>32000</v>
      </c>
      <c r="T93" s="36">
        <f t="shared" si="36"/>
        <v>32000</v>
      </c>
      <c r="U93" s="36">
        <f t="shared" si="36"/>
        <v>0</v>
      </c>
      <c r="V93" s="94">
        <f t="shared" si="25"/>
        <v>340000</v>
      </c>
    </row>
    <row r="94" spans="1:22" ht="57" thickBot="1">
      <c r="A94" s="33" t="s">
        <v>394</v>
      </c>
      <c r="B94" s="50" t="s">
        <v>395</v>
      </c>
      <c r="C94" s="34" t="s">
        <v>191</v>
      </c>
      <c r="D94" s="51" t="s">
        <v>531</v>
      </c>
      <c r="E94" s="52"/>
      <c r="F94" s="52"/>
      <c r="G94" s="138">
        <v>32000</v>
      </c>
      <c r="H94" s="52">
        <v>32000</v>
      </c>
      <c r="I94" s="52">
        <v>10000</v>
      </c>
      <c r="J94" s="138"/>
      <c r="K94" s="138">
        <v>32000</v>
      </c>
      <c r="L94" s="52">
        <v>32000</v>
      </c>
      <c r="M94" s="52">
        <v>32000</v>
      </c>
      <c r="N94" s="52">
        <v>5000</v>
      </c>
      <c r="O94" s="138">
        <v>5000</v>
      </c>
      <c r="P94" s="52">
        <v>32000</v>
      </c>
      <c r="Q94" s="138">
        <v>32000</v>
      </c>
      <c r="R94" s="52">
        <v>32000</v>
      </c>
      <c r="S94" s="52">
        <v>32000</v>
      </c>
      <c r="T94" s="52">
        <v>32000</v>
      </c>
      <c r="U94" s="52"/>
      <c r="V94" s="94">
        <f t="shared" si="25"/>
        <v>340000</v>
      </c>
    </row>
    <row r="95" spans="1:22" ht="23.25" customHeight="1" thickTop="1">
      <c r="A95" s="33" t="s">
        <v>397</v>
      </c>
      <c r="B95" s="53" t="s">
        <v>398</v>
      </c>
      <c r="C95" s="53"/>
      <c r="D95" s="54"/>
      <c r="E95" s="55"/>
      <c r="F95" s="55"/>
      <c r="G95" s="139"/>
      <c r="H95" s="55"/>
      <c r="I95" s="55"/>
      <c r="J95" s="139"/>
      <c r="K95" s="139"/>
      <c r="L95" s="55"/>
      <c r="M95" s="55"/>
      <c r="N95" s="55"/>
      <c r="O95" s="139"/>
      <c r="P95" s="55"/>
      <c r="Q95" s="139"/>
      <c r="R95" s="55"/>
      <c r="S95" s="55"/>
      <c r="T95" s="55"/>
      <c r="U95" s="55"/>
      <c r="V95" s="94">
        <f t="shared" si="25"/>
        <v>0</v>
      </c>
    </row>
    <row r="96" spans="1:22" ht="11.25">
      <c r="A96" s="33" t="s">
        <v>399</v>
      </c>
      <c r="B96" s="34" t="s">
        <v>400</v>
      </c>
      <c r="C96" s="34"/>
      <c r="D96" s="35" t="s">
        <v>532</v>
      </c>
      <c r="E96" s="36">
        <f>E97+E98+E99+E100</f>
        <v>87</v>
      </c>
      <c r="F96" s="36">
        <f>F97+F98+F99+F100</f>
        <v>84</v>
      </c>
      <c r="G96" s="98">
        <v>61</v>
      </c>
      <c r="H96" s="36">
        <f>H97+H98+H99+H100</f>
        <v>18</v>
      </c>
      <c r="I96" s="36">
        <f>I97+I98+I99+I100</f>
        <v>83</v>
      </c>
      <c r="J96" s="98">
        <f>J97+J98+J99+J100</f>
        <v>78</v>
      </c>
      <c r="K96" s="98">
        <v>86</v>
      </c>
      <c r="L96" s="36">
        <f>L97+L98+L99+L100</f>
        <v>40</v>
      </c>
      <c r="M96" s="36">
        <f>M97+M98+M99+M100</f>
        <v>48</v>
      </c>
      <c r="N96" s="36">
        <f>N97+N98+N99+N100</f>
        <v>58</v>
      </c>
      <c r="O96" s="98">
        <v>64</v>
      </c>
      <c r="P96" s="36">
        <f>P97+P98+P99+P100</f>
        <v>64</v>
      </c>
      <c r="Q96" s="98">
        <v>30</v>
      </c>
      <c r="R96" s="36">
        <f>R97+R98+R99+R100</f>
        <v>22</v>
      </c>
      <c r="S96" s="36">
        <f>S97+S98+S99+S100</f>
        <v>41</v>
      </c>
      <c r="T96" s="36">
        <f>T97+T98+T99+T100</f>
        <v>11</v>
      </c>
      <c r="U96" s="36">
        <f>U97+U98+U99+U100</f>
        <v>6</v>
      </c>
      <c r="V96" s="94">
        <f t="shared" si="25"/>
        <v>881</v>
      </c>
    </row>
    <row r="97" spans="1:22" ht="11.25">
      <c r="A97" s="33" t="s">
        <v>402</v>
      </c>
      <c r="B97" s="56" t="s">
        <v>403</v>
      </c>
      <c r="C97" s="56"/>
      <c r="D97" s="42"/>
      <c r="E97" s="43">
        <v>87</v>
      </c>
      <c r="F97" s="43">
        <v>84</v>
      </c>
      <c r="G97" s="114">
        <v>61</v>
      </c>
      <c r="H97" s="43">
        <v>11</v>
      </c>
      <c r="I97" s="43"/>
      <c r="J97" s="114"/>
      <c r="K97" s="114"/>
      <c r="L97" s="43"/>
      <c r="M97" s="43"/>
      <c r="N97" s="43"/>
      <c r="O97" s="114"/>
      <c r="P97" s="43"/>
      <c r="Q97" s="114"/>
      <c r="R97" s="43"/>
      <c r="S97" s="43"/>
      <c r="T97" s="43"/>
      <c r="U97" s="43"/>
      <c r="V97" s="94">
        <f t="shared" si="25"/>
        <v>243</v>
      </c>
    </row>
    <row r="98" spans="1:22" ht="11.25">
      <c r="A98" s="33" t="s">
        <v>404</v>
      </c>
      <c r="B98" s="56" t="s">
        <v>405</v>
      </c>
      <c r="C98" s="56"/>
      <c r="D98" s="35"/>
      <c r="E98" s="37"/>
      <c r="F98" s="37"/>
      <c r="G98" s="96"/>
      <c r="H98" s="37">
        <v>7</v>
      </c>
      <c r="I98" s="37">
        <v>83</v>
      </c>
      <c r="J98" s="96">
        <v>78</v>
      </c>
      <c r="K98" s="96">
        <v>86</v>
      </c>
      <c r="L98" s="37">
        <v>40</v>
      </c>
      <c r="M98" s="37">
        <v>48</v>
      </c>
      <c r="N98" s="37"/>
      <c r="O98" s="96"/>
      <c r="P98" s="37"/>
      <c r="Q98" s="96"/>
      <c r="R98" s="37"/>
      <c r="S98" s="37"/>
      <c r="T98" s="37"/>
      <c r="U98" s="37"/>
      <c r="V98" s="94">
        <f t="shared" si="25"/>
        <v>342</v>
      </c>
    </row>
    <row r="99" spans="1:22" ht="11.25">
      <c r="A99" s="33" t="s">
        <v>406</v>
      </c>
      <c r="B99" s="56" t="s">
        <v>407</v>
      </c>
      <c r="C99" s="56"/>
      <c r="D99" s="42"/>
      <c r="E99" s="43"/>
      <c r="F99" s="43"/>
      <c r="G99" s="114"/>
      <c r="H99" s="43"/>
      <c r="I99" s="43"/>
      <c r="J99" s="114"/>
      <c r="K99" s="114"/>
      <c r="L99" s="43"/>
      <c r="M99" s="43"/>
      <c r="N99" s="43">
        <v>58</v>
      </c>
      <c r="O99" s="114">
        <v>64</v>
      </c>
      <c r="P99" s="43">
        <v>64</v>
      </c>
      <c r="Q99" s="114">
        <v>30</v>
      </c>
      <c r="R99" s="43">
        <v>22</v>
      </c>
      <c r="S99" s="43">
        <v>41</v>
      </c>
      <c r="T99" s="43">
        <v>11</v>
      </c>
      <c r="U99" s="43"/>
      <c r="V99" s="94">
        <f t="shared" si="25"/>
        <v>290</v>
      </c>
    </row>
    <row r="100" spans="1:22" ht="11.25">
      <c r="A100" s="33" t="s">
        <v>408</v>
      </c>
      <c r="B100" s="56" t="s">
        <v>409</v>
      </c>
      <c r="C100" s="56"/>
      <c r="D100" s="42"/>
      <c r="E100" s="43"/>
      <c r="F100" s="43"/>
      <c r="G100" s="114"/>
      <c r="H100" s="43"/>
      <c r="I100" s="43"/>
      <c r="J100" s="114"/>
      <c r="K100" s="114"/>
      <c r="L100" s="43"/>
      <c r="M100" s="43"/>
      <c r="N100" s="43"/>
      <c r="O100" s="114"/>
      <c r="P100" s="43"/>
      <c r="Q100" s="114"/>
      <c r="R100" s="43"/>
      <c r="S100" s="43"/>
      <c r="T100" s="43"/>
      <c r="U100" s="43">
        <v>6</v>
      </c>
      <c r="V100" s="94">
        <f t="shared" si="25"/>
        <v>6</v>
      </c>
    </row>
    <row r="101" spans="1:22" ht="22.5">
      <c r="A101" s="33" t="s">
        <v>410</v>
      </c>
      <c r="B101" s="34" t="s">
        <v>411</v>
      </c>
      <c r="C101" s="34"/>
      <c r="D101" s="35" t="s">
        <v>533</v>
      </c>
      <c r="E101" s="36">
        <f>E102+E103+E104+E105</f>
        <v>874</v>
      </c>
      <c r="F101" s="36">
        <f>F102+F103+F104+F105</f>
        <v>856</v>
      </c>
      <c r="G101" s="98">
        <v>632</v>
      </c>
      <c r="H101" s="36">
        <f>H102+H103+H104+H105</f>
        <v>226</v>
      </c>
      <c r="I101" s="36">
        <f>I102+I103+I104+I105</f>
        <v>1284</v>
      </c>
      <c r="J101" s="98">
        <f>J102+J103+J104+J105</f>
        <v>1021</v>
      </c>
      <c r="K101" s="98">
        <v>1314</v>
      </c>
      <c r="L101" s="36">
        <f>L102+L103+L104+L105</f>
        <v>472</v>
      </c>
      <c r="M101" s="36">
        <f>M102+M103+M104+M105</f>
        <v>664</v>
      </c>
      <c r="N101" s="36">
        <f>N102+N103+N104+N105</f>
        <v>677</v>
      </c>
      <c r="O101" s="98">
        <v>863</v>
      </c>
      <c r="P101" s="36">
        <f>P102+P103+P104+P105</f>
        <v>842</v>
      </c>
      <c r="Q101" s="98">
        <v>492</v>
      </c>
      <c r="R101" s="36">
        <f>R102+R103+R104+R105</f>
        <v>273</v>
      </c>
      <c r="S101" s="36">
        <f>S102+S103+S104+S105</f>
        <v>392</v>
      </c>
      <c r="T101" s="36">
        <f>T102+T103+T104+T105</f>
        <v>324</v>
      </c>
      <c r="U101" s="36">
        <f>U102+U103+U104+U105</f>
        <v>0</v>
      </c>
      <c r="V101" s="94">
        <f t="shared" si="25"/>
        <v>11206</v>
      </c>
    </row>
    <row r="102" spans="1:22" ht="11.25">
      <c r="A102" s="33" t="s">
        <v>413</v>
      </c>
      <c r="B102" s="56" t="s">
        <v>403</v>
      </c>
      <c r="C102" s="56"/>
      <c r="D102" s="42"/>
      <c r="E102" s="43">
        <v>874</v>
      </c>
      <c r="F102" s="43">
        <v>856</v>
      </c>
      <c r="G102" s="114">
        <v>632</v>
      </c>
      <c r="H102" s="43">
        <v>91</v>
      </c>
      <c r="I102" s="43"/>
      <c r="J102" s="114"/>
      <c r="K102" s="114"/>
      <c r="L102" s="43"/>
      <c r="M102" s="43"/>
      <c r="N102" s="43"/>
      <c r="O102" s="114"/>
      <c r="P102" s="43"/>
      <c r="Q102" s="114"/>
      <c r="R102" s="43"/>
      <c r="S102" s="43"/>
      <c r="T102" s="43"/>
      <c r="U102" s="43"/>
      <c r="V102" s="94">
        <f t="shared" si="25"/>
        <v>2453</v>
      </c>
    </row>
    <row r="103" spans="1:22" ht="11.25">
      <c r="A103" s="33" t="s">
        <v>414</v>
      </c>
      <c r="B103" s="56" t="s">
        <v>405</v>
      </c>
      <c r="C103" s="56"/>
      <c r="D103" s="35"/>
      <c r="E103" s="37"/>
      <c r="F103" s="37"/>
      <c r="G103" s="96"/>
      <c r="H103" s="37">
        <v>135</v>
      </c>
      <c r="I103" s="37">
        <v>1284</v>
      </c>
      <c r="J103" s="96">
        <v>1021</v>
      </c>
      <c r="K103" s="96">
        <v>1314</v>
      </c>
      <c r="L103" s="37">
        <v>472</v>
      </c>
      <c r="M103" s="37">
        <v>664</v>
      </c>
      <c r="N103" s="37"/>
      <c r="O103" s="96"/>
      <c r="P103" s="37"/>
      <c r="Q103" s="96"/>
      <c r="R103" s="37"/>
      <c r="S103" s="37"/>
      <c r="T103" s="37"/>
      <c r="U103" s="37"/>
      <c r="V103" s="94">
        <f t="shared" si="25"/>
        <v>4890</v>
      </c>
    </row>
    <row r="104" spans="1:22" ht="11.25">
      <c r="A104" s="33" t="s">
        <v>415</v>
      </c>
      <c r="B104" s="56" t="s">
        <v>407</v>
      </c>
      <c r="C104" s="56"/>
      <c r="D104" s="42"/>
      <c r="E104" s="43"/>
      <c r="F104" s="43"/>
      <c r="G104" s="114"/>
      <c r="H104" s="43"/>
      <c r="I104" s="43"/>
      <c r="J104" s="114"/>
      <c r="K104" s="114"/>
      <c r="L104" s="43"/>
      <c r="M104" s="43"/>
      <c r="N104" s="43">
        <v>677</v>
      </c>
      <c r="O104" s="114">
        <v>863</v>
      </c>
      <c r="P104" s="43">
        <v>842</v>
      </c>
      <c r="Q104" s="114">
        <v>492</v>
      </c>
      <c r="R104" s="43">
        <v>273</v>
      </c>
      <c r="S104" s="43">
        <v>392</v>
      </c>
      <c r="T104" s="43">
        <v>324</v>
      </c>
      <c r="U104" s="43"/>
      <c r="V104" s="94">
        <f t="shared" si="25"/>
        <v>3863</v>
      </c>
    </row>
    <row r="105" spans="1:22" ht="11.25">
      <c r="A105" s="33" t="s">
        <v>416</v>
      </c>
      <c r="B105" s="56" t="s">
        <v>409</v>
      </c>
      <c r="C105" s="56"/>
      <c r="D105" s="42"/>
      <c r="E105" s="43"/>
      <c r="F105" s="43"/>
      <c r="G105" s="114"/>
      <c r="H105" s="43"/>
      <c r="I105" s="43"/>
      <c r="J105" s="114"/>
      <c r="K105" s="114"/>
      <c r="L105" s="43"/>
      <c r="M105" s="43"/>
      <c r="N105" s="43"/>
      <c r="O105" s="114"/>
      <c r="P105" s="43"/>
      <c r="Q105" s="114"/>
      <c r="R105" s="43"/>
      <c r="S105" s="43"/>
      <c r="T105" s="43"/>
      <c r="U105" s="43"/>
      <c r="V105" s="94">
        <f t="shared" si="25"/>
        <v>0</v>
      </c>
    </row>
    <row r="106" spans="1:22" ht="11.25">
      <c r="A106" s="33" t="s">
        <v>417</v>
      </c>
      <c r="B106" s="34" t="s">
        <v>418</v>
      </c>
      <c r="C106" s="34"/>
      <c r="D106" s="47"/>
      <c r="E106" s="57"/>
      <c r="F106" s="57"/>
      <c r="G106" s="140"/>
      <c r="H106" s="57"/>
      <c r="I106" s="57"/>
      <c r="J106" s="140"/>
      <c r="K106" s="140"/>
      <c r="L106" s="57"/>
      <c r="M106" s="57"/>
      <c r="N106" s="57"/>
      <c r="O106" s="140"/>
      <c r="P106" s="57"/>
      <c r="Q106" s="140"/>
      <c r="R106" s="57"/>
      <c r="S106" s="57"/>
      <c r="T106" s="57"/>
      <c r="U106" s="57"/>
      <c r="V106" s="94">
        <f t="shared" si="25"/>
        <v>0</v>
      </c>
    </row>
    <row r="107" spans="1:22" ht="11.25">
      <c r="A107" s="33" t="s">
        <v>419</v>
      </c>
      <c r="B107" s="34" t="s">
        <v>420</v>
      </c>
      <c r="C107" s="34"/>
      <c r="D107" s="35"/>
      <c r="E107" s="37">
        <v>62</v>
      </c>
      <c r="F107" s="37">
        <v>68</v>
      </c>
      <c r="G107" s="96"/>
      <c r="H107" s="37"/>
      <c r="I107" s="37">
        <v>104</v>
      </c>
      <c r="J107" s="96">
        <v>106</v>
      </c>
      <c r="K107" s="96"/>
      <c r="L107" s="37"/>
      <c r="M107" s="37"/>
      <c r="N107" s="37">
        <v>21</v>
      </c>
      <c r="O107" s="96">
        <v>23</v>
      </c>
      <c r="P107" s="37"/>
      <c r="Q107" s="96"/>
      <c r="R107" s="37"/>
      <c r="S107" s="37"/>
      <c r="T107" s="37"/>
      <c r="U107" s="37">
        <v>18</v>
      </c>
      <c r="V107" s="94">
        <f t="shared" si="25"/>
        <v>402</v>
      </c>
    </row>
    <row r="108" spans="1:22" ht="11.25">
      <c r="A108" s="33" t="s">
        <v>421</v>
      </c>
      <c r="B108" s="56" t="s">
        <v>422</v>
      </c>
      <c r="C108" s="56"/>
      <c r="D108" s="47"/>
      <c r="E108" s="37">
        <v>17063</v>
      </c>
      <c r="F108" s="37">
        <v>11923</v>
      </c>
      <c r="G108" s="96">
        <v>12788.7</v>
      </c>
      <c r="H108" s="37">
        <v>47723.69</v>
      </c>
      <c r="I108" s="37">
        <v>23546.35</v>
      </c>
      <c r="J108" s="96">
        <v>15720.46</v>
      </c>
      <c r="K108" s="96">
        <v>21871.439999999999</v>
      </c>
      <c r="L108" s="37">
        <v>16648.97</v>
      </c>
      <c r="M108" s="37">
        <v>11914.29</v>
      </c>
      <c r="N108" s="96">
        <v>7654.77</v>
      </c>
      <c r="O108" s="96">
        <v>12113.78</v>
      </c>
      <c r="P108" s="37">
        <v>16617.12</v>
      </c>
      <c r="Q108" s="96">
        <v>13520</v>
      </c>
      <c r="R108" s="37">
        <v>5747.79</v>
      </c>
      <c r="S108" s="37">
        <v>11286</v>
      </c>
      <c r="T108" s="37">
        <v>6080</v>
      </c>
      <c r="U108" s="37">
        <v>5648</v>
      </c>
      <c r="V108" s="94">
        <f t="shared" si="25"/>
        <v>257867.36</v>
      </c>
    </row>
    <row r="109" spans="1:22" ht="11.25">
      <c r="A109" s="33" t="s">
        <v>423</v>
      </c>
      <c r="B109" s="56" t="s">
        <v>424</v>
      </c>
      <c r="C109" s="56"/>
      <c r="D109" s="47"/>
      <c r="E109" s="37">
        <v>15829</v>
      </c>
      <c r="F109" s="37">
        <v>10360</v>
      </c>
      <c r="G109" s="96">
        <v>10179</v>
      </c>
      <c r="H109" s="37">
        <v>16263</v>
      </c>
      <c r="I109" s="37">
        <v>19712</v>
      </c>
      <c r="J109" s="96">
        <v>11160</v>
      </c>
      <c r="K109" s="96">
        <v>15700</v>
      </c>
      <c r="L109" s="37">
        <v>11125</v>
      </c>
      <c r="M109" s="37">
        <v>8447.1</v>
      </c>
      <c r="N109" s="96">
        <v>5134</v>
      </c>
      <c r="O109" s="96">
        <v>4330</v>
      </c>
      <c r="P109" s="37">
        <v>6673</v>
      </c>
      <c r="Q109" s="96">
        <v>5045</v>
      </c>
      <c r="R109" s="37">
        <v>2519</v>
      </c>
      <c r="S109" s="37">
        <v>4627.34</v>
      </c>
      <c r="T109" s="37">
        <v>2500</v>
      </c>
      <c r="U109" s="37">
        <v>2320</v>
      </c>
      <c r="V109" s="94">
        <f t="shared" si="25"/>
        <v>151923.44</v>
      </c>
    </row>
    <row r="121" spans="8:12">
      <c r="H121" s="141"/>
      <c r="L121" s="141"/>
    </row>
    <row r="122" spans="8:12">
      <c r="H122" s="141"/>
      <c r="L122" s="141"/>
    </row>
  </sheetData>
  <protectedRanges>
    <protectedRange password="E9C1" sqref="B31:D109 B13:D28 A13:A109 A2:D12 J2:K2 O2 Q2 V2:V109" name="区域1_1_2_1"/>
    <protectedRange password="E9C1" sqref="B29:C30" name="区域1_1_1_1_1"/>
    <protectedRange password="E9C1" sqref="D29" name="区域1_3_1"/>
    <protectedRange password="E9C1" sqref="D30" name="区域1_2_1_1"/>
    <protectedRange password="E9C1" sqref="G2" name="区域1_1_1"/>
    <protectedRange password="E9C1" sqref="L2" name="区域1_1_3_1"/>
    <protectedRange password="E9C1" sqref="E3:U3" name="区域1_1_4_1"/>
    <protectedRange password="E9C1" sqref="R2" name="区域1_1_6_1"/>
    <protectedRange password="E9C1" sqref="T2" name="区域1_1_7_1"/>
    <protectedRange password="E9C1" sqref="N2" name="区域1_1_8_1"/>
    <protectedRange password="E9C1" sqref="P2" name="区域1_1_9_1"/>
    <protectedRange password="E9C1" sqref="S2" name="区域1_1_10_1"/>
    <protectedRange password="E9C1" sqref="H2" name="区域1_1_11_1"/>
    <protectedRange password="E9C1" sqref="U2" name="区域1_1_12_1"/>
    <protectedRange password="E9C1" sqref="I2" name="区域1_1_13_1"/>
  </protectedRanges>
  <mergeCells count="1">
    <mergeCell ref="A1:V1"/>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9"/>
  <sheetViews>
    <sheetView topLeftCell="M1" workbookViewId="0">
      <selection activeCell="W3" sqref="W3:W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23" ht="25.5">
      <c r="A1" s="1332" t="s">
        <v>179</v>
      </c>
      <c r="B1" s="1333"/>
      <c r="C1" s="1333"/>
      <c r="D1" s="1333"/>
      <c r="E1" s="1333"/>
      <c r="F1" s="1333"/>
      <c r="G1" s="1333"/>
      <c r="H1" s="1333"/>
      <c r="I1" s="1333"/>
      <c r="J1" s="1333"/>
      <c r="K1" s="1333"/>
      <c r="L1" s="1333"/>
      <c r="M1" s="1333"/>
      <c r="N1" s="1333"/>
      <c r="O1" s="1333"/>
      <c r="P1" s="1333"/>
      <c r="Q1" s="1333"/>
      <c r="R1" s="1333"/>
      <c r="S1" s="1333"/>
      <c r="T1" s="1333"/>
      <c r="U1" s="1333"/>
      <c r="V1" s="1333"/>
      <c r="W1" s="1333"/>
    </row>
    <row r="2" spans="1:23" ht="30" customHeight="1">
      <c r="A2" s="31" t="s">
        <v>0</v>
      </c>
      <c r="B2" s="31" t="s">
        <v>180</v>
      </c>
      <c r="C2" s="31" t="s">
        <v>181</v>
      </c>
      <c r="D2" s="32" t="s">
        <v>182</v>
      </c>
      <c r="E2" s="142" t="s">
        <v>452</v>
      </c>
      <c r="F2" s="142" t="s">
        <v>176</v>
      </c>
      <c r="G2" s="142" t="s">
        <v>453</v>
      </c>
      <c r="H2" s="142" t="s">
        <v>454</v>
      </c>
      <c r="I2" s="142" t="s">
        <v>455</v>
      </c>
      <c r="J2" s="142" t="s">
        <v>175</v>
      </c>
      <c r="K2" s="142" t="s">
        <v>456</v>
      </c>
      <c r="L2" s="142" t="s">
        <v>174</v>
      </c>
      <c r="M2" s="142" t="s">
        <v>457</v>
      </c>
      <c r="N2" s="142" t="s">
        <v>173</v>
      </c>
      <c r="O2" s="142" t="s">
        <v>172</v>
      </c>
      <c r="P2" s="142" t="s">
        <v>458</v>
      </c>
      <c r="Q2" s="142" t="s">
        <v>459</v>
      </c>
      <c r="R2" s="142" t="s">
        <v>460</v>
      </c>
      <c r="S2" s="142" t="s">
        <v>461</v>
      </c>
      <c r="T2" s="142" t="s">
        <v>462</v>
      </c>
      <c r="U2" s="142" t="s">
        <v>463</v>
      </c>
      <c r="V2" s="142" t="s">
        <v>464</v>
      </c>
      <c r="W2" s="32" t="s">
        <v>25</v>
      </c>
    </row>
    <row r="3" spans="1:23">
      <c r="A3" s="33" t="s">
        <v>183</v>
      </c>
      <c r="B3" s="34" t="s">
        <v>184</v>
      </c>
      <c r="C3" s="34"/>
      <c r="D3" s="35" t="s">
        <v>185</v>
      </c>
      <c r="E3" s="36">
        <f>E4+E31+E52</f>
        <v>24051930.649999999</v>
      </c>
      <c r="F3" s="36">
        <f t="shared" ref="F3:V3" si="0">F4+F31+F52</f>
        <v>24152256.800000001</v>
      </c>
      <c r="G3" s="36">
        <f t="shared" si="0"/>
        <v>24716410.760000002</v>
      </c>
      <c r="H3" s="36">
        <f t="shared" si="0"/>
        <v>22867719.199999999</v>
      </c>
      <c r="I3" s="36">
        <f t="shared" si="0"/>
        <v>7672935.6500000004</v>
      </c>
      <c r="J3" s="36">
        <f t="shared" si="0"/>
        <v>27869412.350000001</v>
      </c>
      <c r="K3" s="36">
        <f t="shared" si="0"/>
        <v>29888622</v>
      </c>
      <c r="L3" s="36">
        <f t="shared" si="0"/>
        <v>23376685.449999999</v>
      </c>
      <c r="M3" s="36">
        <f t="shared" si="0"/>
        <v>40402962.799999997</v>
      </c>
      <c r="N3" s="36">
        <f t="shared" si="0"/>
        <v>19431736.300000001</v>
      </c>
      <c r="O3" s="36">
        <f t="shared" si="0"/>
        <v>15581362.550000001</v>
      </c>
      <c r="P3" s="36">
        <f t="shared" si="0"/>
        <v>19921942.079999998</v>
      </c>
      <c r="Q3" s="36">
        <f t="shared" si="0"/>
        <v>8033131.2999999998</v>
      </c>
      <c r="R3" s="36">
        <f t="shared" si="0"/>
        <v>16663664.02</v>
      </c>
      <c r="S3" s="36">
        <f t="shared" si="0"/>
        <v>7508751.8499999996</v>
      </c>
      <c r="T3" s="37">
        <f t="shared" si="0"/>
        <v>11476101.9</v>
      </c>
      <c r="U3" s="37">
        <f t="shared" si="0"/>
        <v>2940143.2</v>
      </c>
      <c r="V3" s="36">
        <f t="shared" si="0"/>
        <v>1360378.8</v>
      </c>
      <c r="W3" s="36">
        <f>SUM(E3:V3)</f>
        <v>327916147.66000003</v>
      </c>
    </row>
    <row r="4" spans="1:23">
      <c r="A4" s="33" t="s">
        <v>186</v>
      </c>
      <c r="B4" s="34" t="s">
        <v>128</v>
      </c>
      <c r="C4" s="34"/>
      <c r="D4" s="35" t="s">
        <v>185</v>
      </c>
      <c r="E4" s="36">
        <f t="shared" ref="E4:V4" si="1">E5+E8+E13+E17+E20+E22+E25+E27+E29+E30</f>
        <v>21192847</v>
      </c>
      <c r="F4" s="36">
        <f t="shared" si="1"/>
        <v>21272815</v>
      </c>
      <c r="G4" s="36">
        <f t="shared" si="1"/>
        <v>22065142.800000001</v>
      </c>
      <c r="H4" s="36">
        <f t="shared" si="1"/>
        <v>19613484</v>
      </c>
      <c r="I4" s="36">
        <f t="shared" si="1"/>
        <v>5556438</v>
      </c>
      <c r="J4" s="36">
        <f t="shared" si="1"/>
        <v>23296089</v>
      </c>
      <c r="K4" s="36">
        <f t="shared" si="1"/>
        <v>27008894</v>
      </c>
      <c r="L4" s="36">
        <f t="shared" si="1"/>
        <v>20263201</v>
      </c>
      <c r="M4" s="36">
        <f t="shared" si="1"/>
        <v>34687323</v>
      </c>
      <c r="N4" s="36">
        <f t="shared" si="1"/>
        <v>16615948</v>
      </c>
      <c r="O4" s="36">
        <f t="shared" si="1"/>
        <v>13596410</v>
      </c>
      <c r="P4" s="36">
        <f t="shared" si="1"/>
        <v>16726740</v>
      </c>
      <c r="Q4" s="36">
        <f t="shared" si="1"/>
        <v>6890128</v>
      </c>
      <c r="R4" s="36">
        <f t="shared" si="1"/>
        <v>14217252</v>
      </c>
      <c r="S4" s="36">
        <f t="shared" si="1"/>
        <v>6377882</v>
      </c>
      <c r="T4" s="37">
        <f t="shared" si="1"/>
        <v>9646958</v>
      </c>
      <c r="U4" s="37">
        <f t="shared" si="1"/>
        <v>1953682</v>
      </c>
      <c r="V4" s="36">
        <f t="shared" si="1"/>
        <v>1142438</v>
      </c>
      <c r="W4" s="36">
        <f t="shared" ref="W4:W67" si="2">SUM(E4:V4)</f>
        <v>282123671.80000001</v>
      </c>
    </row>
    <row r="5" spans="1:23">
      <c r="A5" s="33" t="s">
        <v>187</v>
      </c>
      <c r="B5" s="34" t="s">
        <v>188</v>
      </c>
      <c r="C5" s="34"/>
      <c r="D5" s="35" t="s">
        <v>185</v>
      </c>
      <c r="E5" s="36">
        <f>E6+E7</f>
        <v>3169152</v>
      </c>
      <c r="F5" s="36">
        <f t="shared" ref="F5:V5" si="3">F6+F7</f>
        <v>3002028</v>
      </c>
      <c r="G5" s="36">
        <f t="shared" si="3"/>
        <v>3190824</v>
      </c>
      <c r="H5" s="36">
        <f t="shared" si="3"/>
        <v>2521608</v>
      </c>
      <c r="I5" s="36">
        <f t="shared" si="3"/>
        <v>739128</v>
      </c>
      <c r="J5" s="36">
        <f t="shared" si="3"/>
        <v>3295764</v>
      </c>
      <c r="K5" s="36">
        <f t="shared" si="3"/>
        <v>4128732</v>
      </c>
      <c r="L5" s="36">
        <f t="shared" si="3"/>
        <v>2652696</v>
      </c>
      <c r="M5" s="36">
        <f t="shared" si="3"/>
        <v>4275672</v>
      </c>
      <c r="N5" s="36">
        <f t="shared" si="3"/>
        <v>2266260</v>
      </c>
      <c r="O5" s="36">
        <f t="shared" si="3"/>
        <v>1865520</v>
      </c>
      <c r="P5" s="36">
        <f t="shared" si="3"/>
        <v>2223960</v>
      </c>
      <c r="Q5" s="36">
        <f t="shared" si="3"/>
        <v>805056</v>
      </c>
      <c r="R5" s="36">
        <f t="shared" si="3"/>
        <v>1749156</v>
      </c>
      <c r="S5" s="36">
        <f t="shared" si="3"/>
        <v>792864</v>
      </c>
      <c r="T5" s="37">
        <f t="shared" si="3"/>
        <v>1266804</v>
      </c>
      <c r="U5" s="37">
        <f t="shared" si="3"/>
        <v>253188</v>
      </c>
      <c r="V5" s="36">
        <f t="shared" si="3"/>
        <v>153852</v>
      </c>
      <c r="W5" s="36">
        <f t="shared" si="2"/>
        <v>38352264</v>
      </c>
    </row>
    <row r="6" spans="1:23">
      <c r="A6" s="33" t="s">
        <v>189</v>
      </c>
      <c r="B6" s="34" t="s">
        <v>190</v>
      </c>
      <c r="C6" s="34" t="s">
        <v>191</v>
      </c>
      <c r="D6" s="35" t="s">
        <v>192</v>
      </c>
      <c r="E6" s="37">
        <v>1780548</v>
      </c>
      <c r="F6" s="37">
        <v>1740288</v>
      </c>
      <c r="G6" s="37">
        <v>1840272</v>
      </c>
      <c r="H6" s="37">
        <v>1632912</v>
      </c>
      <c r="I6" s="37">
        <v>478740</v>
      </c>
      <c r="J6" s="37">
        <v>1823340</v>
      </c>
      <c r="K6" s="37">
        <v>2122296</v>
      </c>
      <c r="L6" s="37">
        <v>1605312</v>
      </c>
      <c r="M6" s="37">
        <v>2739768</v>
      </c>
      <c r="N6" s="37">
        <v>1389072</v>
      </c>
      <c r="O6" s="37">
        <v>1103028</v>
      </c>
      <c r="P6" s="37">
        <v>1432848</v>
      </c>
      <c r="Q6" s="37">
        <v>536448</v>
      </c>
      <c r="R6" s="37">
        <v>1158696</v>
      </c>
      <c r="S6" s="37">
        <v>525492</v>
      </c>
      <c r="T6" s="37">
        <v>814944</v>
      </c>
      <c r="U6" s="37">
        <v>157884</v>
      </c>
      <c r="V6" s="37">
        <v>102300</v>
      </c>
      <c r="W6" s="36">
        <f t="shared" si="2"/>
        <v>22984188</v>
      </c>
    </row>
    <row r="7" spans="1:23">
      <c r="A7" s="33" t="s">
        <v>193</v>
      </c>
      <c r="B7" s="34" t="s">
        <v>194</v>
      </c>
      <c r="C7" s="34" t="s">
        <v>191</v>
      </c>
      <c r="D7" s="35" t="s">
        <v>192</v>
      </c>
      <c r="E7" s="37">
        <v>1388604</v>
      </c>
      <c r="F7" s="37">
        <v>1261740</v>
      </c>
      <c r="G7" s="37">
        <v>1350552</v>
      </c>
      <c r="H7" s="37">
        <v>888696</v>
      </c>
      <c r="I7" s="37">
        <v>260388</v>
      </c>
      <c r="J7" s="37">
        <v>1472424</v>
      </c>
      <c r="K7" s="37">
        <v>2006436</v>
      </c>
      <c r="L7" s="37">
        <v>1047384</v>
      </c>
      <c r="M7" s="37">
        <v>1535904</v>
      </c>
      <c r="N7" s="37">
        <v>877188</v>
      </c>
      <c r="O7" s="37">
        <v>762492</v>
      </c>
      <c r="P7" s="37">
        <v>791112</v>
      </c>
      <c r="Q7" s="37">
        <v>268608</v>
      </c>
      <c r="R7" s="37">
        <v>590460</v>
      </c>
      <c r="S7" s="37">
        <v>267372</v>
      </c>
      <c r="T7" s="37">
        <v>451860</v>
      </c>
      <c r="U7" s="37">
        <v>95304</v>
      </c>
      <c r="V7" s="37">
        <v>51552</v>
      </c>
      <c r="W7" s="36">
        <f t="shared" si="2"/>
        <v>15368076</v>
      </c>
    </row>
    <row r="8" spans="1:23">
      <c r="A8" s="33" t="s">
        <v>195</v>
      </c>
      <c r="B8" s="34" t="s">
        <v>196</v>
      </c>
      <c r="C8" s="34"/>
      <c r="D8" s="35" t="s">
        <v>185</v>
      </c>
      <c r="E8" s="36">
        <f>E9+E10</f>
        <v>363432</v>
      </c>
      <c r="F8" s="36">
        <f t="shared" ref="F8:V8" si="4">F9+F10</f>
        <v>363372</v>
      </c>
      <c r="G8" s="36">
        <f t="shared" si="4"/>
        <v>374592</v>
      </c>
      <c r="H8" s="36">
        <f t="shared" si="4"/>
        <v>356040</v>
      </c>
      <c r="I8" s="36">
        <f t="shared" si="4"/>
        <v>97464</v>
      </c>
      <c r="J8" s="36">
        <f t="shared" si="4"/>
        <v>407184</v>
      </c>
      <c r="K8" s="36">
        <f t="shared" si="4"/>
        <v>468132</v>
      </c>
      <c r="L8" s="36">
        <f t="shared" si="4"/>
        <v>362808</v>
      </c>
      <c r="M8" s="36">
        <f t="shared" si="4"/>
        <v>630744</v>
      </c>
      <c r="N8" s="36">
        <f t="shared" si="4"/>
        <v>314304</v>
      </c>
      <c r="O8" s="36">
        <f t="shared" si="4"/>
        <v>255084</v>
      </c>
      <c r="P8" s="36">
        <f t="shared" si="4"/>
        <v>324576</v>
      </c>
      <c r="Q8" s="36">
        <f t="shared" si="4"/>
        <v>134832</v>
      </c>
      <c r="R8" s="36">
        <f t="shared" si="4"/>
        <v>275616</v>
      </c>
      <c r="S8" s="36">
        <f t="shared" si="4"/>
        <v>123816</v>
      </c>
      <c r="T8" s="37">
        <f t="shared" si="4"/>
        <v>189468</v>
      </c>
      <c r="U8" s="37">
        <f t="shared" si="4"/>
        <v>37824</v>
      </c>
      <c r="V8" s="36">
        <f t="shared" si="4"/>
        <v>21696</v>
      </c>
      <c r="W8" s="36">
        <f t="shared" si="2"/>
        <v>5100984</v>
      </c>
    </row>
    <row r="9" spans="1:23">
      <c r="A9" s="33" t="s">
        <v>197</v>
      </c>
      <c r="B9" s="34" t="s">
        <v>198</v>
      </c>
      <c r="C9" s="34" t="s">
        <v>191</v>
      </c>
      <c r="D9" s="35" t="s">
        <v>192</v>
      </c>
      <c r="E9" s="37">
        <v>4848</v>
      </c>
      <c r="F9" s="37">
        <v>4788</v>
      </c>
      <c r="G9" s="37">
        <v>5304</v>
      </c>
      <c r="H9" s="37">
        <v>2808</v>
      </c>
      <c r="I9" s="37">
        <v>1128</v>
      </c>
      <c r="J9" s="37">
        <v>5784</v>
      </c>
      <c r="K9" s="37">
        <v>7860</v>
      </c>
      <c r="L9" s="37">
        <v>4224</v>
      </c>
      <c r="M9" s="37">
        <v>4560</v>
      </c>
      <c r="N9" s="37">
        <v>3888</v>
      </c>
      <c r="O9" s="37">
        <v>3540</v>
      </c>
      <c r="P9" s="37">
        <v>3456</v>
      </c>
      <c r="Q9" s="37">
        <v>1032</v>
      </c>
      <c r="R9" s="37">
        <v>2664</v>
      </c>
      <c r="S9" s="37">
        <v>720</v>
      </c>
      <c r="T9" s="37">
        <v>2148</v>
      </c>
      <c r="U9" s="37">
        <v>360</v>
      </c>
      <c r="V9" s="37">
        <v>288</v>
      </c>
      <c r="W9" s="36">
        <f t="shared" si="2"/>
        <v>59400</v>
      </c>
    </row>
    <row r="10" spans="1:23">
      <c r="A10" s="33" t="s">
        <v>199</v>
      </c>
      <c r="B10" s="34" t="s">
        <v>200</v>
      </c>
      <c r="C10" s="34"/>
      <c r="D10" s="35" t="s">
        <v>185</v>
      </c>
      <c r="E10" s="36">
        <f>E11+E12</f>
        <v>358584</v>
      </c>
      <c r="F10" s="36">
        <f t="shared" ref="F10:V10" si="5">F11+F12</f>
        <v>358584</v>
      </c>
      <c r="G10" s="36">
        <f t="shared" si="5"/>
        <v>369288</v>
      </c>
      <c r="H10" s="36">
        <f t="shared" si="5"/>
        <v>353232</v>
      </c>
      <c r="I10" s="36">
        <f t="shared" si="5"/>
        <v>96336</v>
      </c>
      <c r="J10" s="36">
        <f t="shared" si="5"/>
        <v>401400</v>
      </c>
      <c r="K10" s="36">
        <f t="shared" si="5"/>
        <v>460272</v>
      </c>
      <c r="L10" s="36">
        <f t="shared" si="5"/>
        <v>358584</v>
      </c>
      <c r="M10" s="36">
        <f t="shared" si="5"/>
        <v>626184</v>
      </c>
      <c r="N10" s="36">
        <f t="shared" si="5"/>
        <v>310416</v>
      </c>
      <c r="O10" s="36">
        <f t="shared" si="5"/>
        <v>251544</v>
      </c>
      <c r="P10" s="36">
        <f t="shared" si="5"/>
        <v>321120</v>
      </c>
      <c r="Q10" s="36">
        <f t="shared" si="5"/>
        <v>133800</v>
      </c>
      <c r="R10" s="36">
        <f t="shared" si="5"/>
        <v>272952</v>
      </c>
      <c r="S10" s="36">
        <f t="shared" si="5"/>
        <v>123096</v>
      </c>
      <c r="T10" s="37">
        <f t="shared" si="5"/>
        <v>187320</v>
      </c>
      <c r="U10" s="37">
        <f t="shared" si="5"/>
        <v>37464</v>
      </c>
      <c r="V10" s="36">
        <f t="shared" si="5"/>
        <v>21408</v>
      </c>
      <c r="W10" s="36">
        <f t="shared" si="2"/>
        <v>5041584</v>
      </c>
    </row>
    <row r="11" spans="1:23" s="40" customFormat="1">
      <c r="A11" s="33" t="s">
        <v>201</v>
      </c>
      <c r="B11" s="38" t="s">
        <v>202</v>
      </c>
      <c r="C11" s="38" t="s">
        <v>191</v>
      </c>
      <c r="D11" s="39" t="s">
        <v>185</v>
      </c>
      <c r="E11" s="36">
        <f>72*E96</f>
        <v>4824</v>
      </c>
      <c r="F11" s="36">
        <f t="shared" ref="F11:V11" si="6">72*F96</f>
        <v>4824</v>
      </c>
      <c r="G11" s="36">
        <f t="shared" si="6"/>
        <v>4968</v>
      </c>
      <c r="H11" s="36">
        <f t="shared" si="6"/>
        <v>4752</v>
      </c>
      <c r="I11" s="36">
        <f t="shared" si="6"/>
        <v>1296</v>
      </c>
      <c r="J11" s="36">
        <f t="shared" si="6"/>
        <v>5400</v>
      </c>
      <c r="K11" s="36">
        <f t="shared" si="6"/>
        <v>6192</v>
      </c>
      <c r="L11" s="36">
        <f t="shared" si="6"/>
        <v>4824</v>
      </c>
      <c r="M11" s="36">
        <f t="shared" si="6"/>
        <v>8424</v>
      </c>
      <c r="N11" s="36">
        <f t="shared" si="6"/>
        <v>4176</v>
      </c>
      <c r="O11" s="36">
        <f t="shared" si="6"/>
        <v>3384</v>
      </c>
      <c r="P11" s="36">
        <f t="shared" si="6"/>
        <v>4320</v>
      </c>
      <c r="Q11" s="36">
        <f t="shared" si="6"/>
        <v>1800</v>
      </c>
      <c r="R11" s="36">
        <f t="shared" si="6"/>
        <v>3672</v>
      </c>
      <c r="S11" s="36">
        <f t="shared" si="6"/>
        <v>1656</v>
      </c>
      <c r="T11" s="37">
        <v>2520</v>
      </c>
      <c r="U11" s="37">
        <f t="shared" si="6"/>
        <v>504</v>
      </c>
      <c r="V11" s="36">
        <f t="shared" si="6"/>
        <v>288</v>
      </c>
      <c r="W11" s="36">
        <f t="shared" si="2"/>
        <v>67824</v>
      </c>
    </row>
    <row r="12" spans="1:23" s="40" customFormat="1">
      <c r="A12" s="33" t="s">
        <v>203</v>
      </c>
      <c r="B12" s="38" t="s">
        <v>204</v>
      </c>
      <c r="C12" s="38" t="s">
        <v>191</v>
      </c>
      <c r="D12" s="39" t="s">
        <v>185</v>
      </c>
      <c r="E12" s="36">
        <f>440*12*E96</f>
        <v>353760</v>
      </c>
      <c r="F12" s="36">
        <f t="shared" ref="F12:V12" si="7">440*12*F96</f>
        <v>353760</v>
      </c>
      <c r="G12" s="36">
        <f t="shared" si="7"/>
        <v>364320</v>
      </c>
      <c r="H12" s="36">
        <f t="shared" si="7"/>
        <v>348480</v>
      </c>
      <c r="I12" s="36">
        <f t="shared" si="7"/>
        <v>95040</v>
      </c>
      <c r="J12" s="36">
        <f t="shared" si="7"/>
        <v>396000</v>
      </c>
      <c r="K12" s="36">
        <f t="shared" si="7"/>
        <v>454080</v>
      </c>
      <c r="L12" s="36">
        <f t="shared" si="7"/>
        <v>353760</v>
      </c>
      <c r="M12" s="36">
        <f t="shared" si="7"/>
        <v>617760</v>
      </c>
      <c r="N12" s="36">
        <f t="shared" si="7"/>
        <v>306240</v>
      </c>
      <c r="O12" s="36">
        <f t="shared" si="7"/>
        <v>248160</v>
      </c>
      <c r="P12" s="36">
        <f t="shared" si="7"/>
        <v>316800</v>
      </c>
      <c r="Q12" s="36">
        <f t="shared" si="7"/>
        <v>132000</v>
      </c>
      <c r="R12" s="36">
        <f t="shared" si="7"/>
        <v>269280</v>
      </c>
      <c r="S12" s="36">
        <f t="shared" si="7"/>
        <v>121440</v>
      </c>
      <c r="T12" s="37">
        <v>184800</v>
      </c>
      <c r="U12" s="37">
        <f t="shared" si="7"/>
        <v>36960</v>
      </c>
      <c r="V12" s="36">
        <f t="shared" si="7"/>
        <v>21120</v>
      </c>
      <c r="W12" s="36">
        <f t="shared" si="2"/>
        <v>4973760</v>
      </c>
    </row>
    <row r="13" spans="1:23">
      <c r="A13" s="33" t="s">
        <v>205</v>
      </c>
      <c r="B13" s="34" t="s">
        <v>206</v>
      </c>
      <c r="C13" s="34"/>
      <c r="D13" s="35" t="s">
        <v>207</v>
      </c>
      <c r="E13" s="36">
        <f>E14+E15+E16</f>
        <v>330504</v>
      </c>
      <c r="F13" s="36">
        <f t="shared" ref="F13:V13" si="8">F14+F15+F16</f>
        <v>343512</v>
      </c>
      <c r="G13" s="36">
        <f t="shared" si="8"/>
        <v>356806.2</v>
      </c>
      <c r="H13" s="36">
        <f t="shared" si="8"/>
        <v>290790</v>
      </c>
      <c r="I13" s="36">
        <f t="shared" si="8"/>
        <v>87492</v>
      </c>
      <c r="J13" s="36">
        <f t="shared" si="8"/>
        <v>360714</v>
      </c>
      <c r="K13" s="36">
        <f t="shared" si="8"/>
        <v>410736</v>
      </c>
      <c r="L13" s="36">
        <f t="shared" si="8"/>
        <v>308790</v>
      </c>
      <c r="M13" s="36">
        <f t="shared" si="8"/>
        <v>521430</v>
      </c>
      <c r="N13" s="36">
        <f t="shared" si="8"/>
        <v>254496</v>
      </c>
      <c r="O13" s="36">
        <f t="shared" si="8"/>
        <v>211614</v>
      </c>
      <c r="P13" s="36">
        <f t="shared" si="8"/>
        <v>245316</v>
      </c>
      <c r="Q13" s="36">
        <f t="shared" si="8"/>
        <v>104460</v>
      </c>
      <c r="R13" s="36">
        <f t="shared" si="8"/>
        <v>215940</v>
      </c>
      <c r="S13" s="36">
        <f t="shared" si="8"/>
        <v>95418</v>
      </c>
      <c r="T13" s="37">
        <f t="shared" si="8"/>
        <v>138894</v>
      </c>
      <c r="U13" s="37">
        <f t="shared" si="8"/>
        <v>29070</v>
      </c>
      <c r="V13" s="36">
        <f t="shared" si="8"/>
        <v>17826</v>
      </c>
      <c r="W13" s="36">
        <f t="shared" si="2"/>
        <v>4323808.2</v>
      </c>
    </row>
    <row r="14" spans="1:23" s="40" customFormat="1">
      <c r="A14" s="33" t="s">
        <v>208</v>
      </c>
      <c r="B14" s="38" t="s">
        <v>209</v>
      </c>
      <c r="C14" s="38" t="s">
        <v>191</v>
      </c>
      <c r="D14" s="39" t="s">
        <v>210</v>
      </c>
      <c r="E14" s="36">
        <f>E16*3</f>
        <v>198302.40000000002</v>
      </c>
      <c r="F14" s="36">
        <f t="shared" ref="F14:V14" si="9">F16*3</f>
        <v>206107.19999999998</v>
      </c>
      <c r="G14" s="36">
        <f t="shared" si="9"/>
        <v>214083.72000000003</v>
      </c>
      <c r="H14" s="36">
        <f t="shared" si="9"/>
        <v>174474</v>
      </c>
      <c r="I14" s="36">
        <f t="shared" si="9"/>
        <v>52495.200000000004</v>
      </c>
      <c r="J14" s="36">
        <f t="shared" si="9"/>
        <v>216428.40000000002</v>
      </c>
      <c r="K14" s="36">
        <f t="shared" si="9"/>
        <v>246441.59999999998</v>
      </c>
      <c r="L14" s="36">
        <f t="shared" si="9"/>
        <v>185274</v>
      </c>
      <c r="M14" s="36">
        <f t="shared" si="9"/>
        <v>312858</v>
      </c>
      <c r="N14" s="36">
        <f t="shared" si="9"/>
        <v>152697.59999999998</v>
      </c>
      <c r="O14" s="36">
        <f t="shared" si="9"/>
        <v>126968.40000000001</v>
      </c>
      <c r="P14" s="36">
        <f t="shared" si="9"/>
        <v>147189.59999999998</v>
      </c>
      <c r="Q14" s="36">
        <f t="shared" si="9"/>
        <v>62676</v>
      </c>
      <c r="R14" s="36">
        <f t="shared" si="9"/>
        <v>129564</v>
      </c>
      <c r="S14" s="36">
        <f t="shared" si="9"/>
        <v>57250.799999999996</v>
      </c>
      <c r="T14" s="37">
        <f t="shared" si="9"/>
        <v>83336.399999999994</v>
      </c>
      <c r="U14" s="37">
        <f t="shared" si="9"/>
        <v>17442</v>
      </c>
      <c r="V14" s="36">
        <f t="shared" si="9"/>
        <v>10695.599999999999</v>
      </c>
      <c r="W14" s="36">
        <f t="shared" si="2"/>
        <v>2594284.92</v>
      </c>
    </row>
    <row r="15" spans="1:23" s="40" customFormat="1">
      <c r="A15" s="33" t="s">
        <v>211</v>
      </c>
      <c r="B15" s="38" t="s">
        <v>212</v>
      </c>
      <c r="C15" s="38" t="s">
        <v>191</v>
      </c>
      <c r="D15" s="39" t="s">
        <v>210</v>
      </c>
      <c r="E15" s="36">
        <f>E16</f>
        <v>66100.800000000003</v>
      </c>
      <c r="F15" s="36">
        <f t="shared" ref="F15:V15" si="10">F16</f>
        <v>68702.399999999994</v>
      </c>
      <c r="G15" s="36">
        <f t="shared" si="10"/>
        <v>71361.240000000005</v>
      </c>
      <c r="H15" s="36">
        <f t="shared" si="10"/>
        <v>58158</v>
      </c>
      <c r="I15" s="36">
        <f t="shared" si="10"/>
        <v>17498.400000000001</v>
      </c>
      <c r="J15" s="36">
        <f t="shared" si="10"/>
        <v>72142.8</v>
      </c>
      <c r="K15" s="36">
        <f t="shared" si="10"/>
        <v>82147.199999999997</v>
      </c>
      <c r="L15" s="36">
        <f t="shared" si="10"/>
        <v>61758</v>
      </c>
      <c r="M15" s="36">
        <f t="shared" si="10"/>
        <v>104286</v>
      </c>
      <c r="N15" s="36">
        <f t="shared" si="10"/>
        <v>50899.199999999997</v>
      </c>
      <c r="O15" s="36">
        <f t="shared" si="10"/>
        <v>42322.8</v>
      </c>
      <c r="P15" s="36">
        <f t="shared" si="10"/>
        <v>49063.199999999997</v>
      </c>
      <c r="Q15" s="36">
        <f t="shared" si="10"/>
        <v>20892</v>
      </c>
      <c r="R15" s="36">
        <f t="shared" si="10"/>
        <v>43188</v>
      </c>
      <c r="S15" s="36">
        <f t="shared" si="10"/>
        <v>19083.599999999999</v>
      </c>
      <c r="T15" s="37">
        <f t="shared" si="10"/>
        <v>27778.799999999999</v>
      </c>
      <c r="U15" s="37">
        <f t="shared" si="10"/>
        <v>5814</v>
      </c>
      <c r="V15" s="36">
        <f t="shared" si="10"/>
        <v>3565.2</v>
      </c>
      <c r="W15" s="36">
        <f t="shared" si="2"/>
        <v>864761.64</v>
      </c>
    </row>
    <row r="16" spans="1:23" s="40" customFormat="1">
      <c r="A16" s="33" t="s">
        <v>213</v>
      </c>
      <c r="B16" s="38" t="s">
        <v>214</v>
      </c>
      <c r="C16" s="38" t="s">
        <v>191</v>
      </c>
      <c r="D16" s="39" t="s">
        <v>210</v>
      </c>
      <c r="E16" s="37">
        <v>66100.800000000003</v>
      </c>
      <c r="F16" s="37">
        <v>68702.399999999994</v>
      </c>
      <c r="G16" s="37">
        <v>71361.240000000005</v>
      </c>
      <c r="H16" s="37">
        <v>58158</v>
      </c>
      <c r="I16" s="37">
        <v>17498.400000000001</v>
      </c>
      <c r="J16" s="37">
        <v>72142.8</v>
      </c>
      <c r="K16" s="37">
        <v>82147.199999999997</v>
      </c>
      <c r="L16" s="37">
        <v>61758</v>
      </c>
      <c r="M16" s="37">
        <v>104286</v>
      </c>
      <c r="N16" s="37">
        <v>50899.199999999997</v>
      </c>
      <c r="O16" s="37">
        <v>42322.8</v>
      </c>
      <c r="P16" s="37">
        <v>49063.199999999997</v>
      </c>
      <c r="Q16" s="37">
        <v>20892</v>
      </c>
      <c r="R16" s="37">
        <v>43188</v>
      </c>
      <c r="S16" s="37">
        <v>19083.599999999999</v>
      </c>
      <c r="T16" s="37">
        <v>27778.799999999999</v>
      </c>
      <c r="U16" s="37">
        <v>5814</v>
      </c>
      <c r="V16" s="37">
        <v>3565.2</v>
      </c>
      <c r="W16" s="36">
        <f t="shared" si="2"/>
        <v>864761.64</v>
      </c>
    </row>
    <row r="17" spans="1:23">
      <c r="A17" s="33" t="s">
        <v>215</v>
      </c>
      <c r="B17" s="34" t="s">
        <v>216</v>
      </c>
      <c r="C17" s="34"/>
      <c r="D17" s="35" t="s">
        <v>185</v>
      </c>
      <c r="E17" s="36">
        <v>10737487</v>
      </c>
      <c r="F17" s="36">
        <v>10737487</v>
      </c>
      <c r="G17" s="36">
        <v>11058009</v>
      </c>
      <c r="H17" s="36">
        <v>10577226</v>
      </c>
      <c r="I17" s="36">
        <v>2884698</v>
      </c>
      <c r="J17" s="36">
        <v>12019575</v>
      </c>
      <c r="K17" s="36">
        <v>13782446</v>
      </c>
      <c r="L17" s="36">
        <v>10737487</v>
      </c>
      <c r="M17" s="36">
        <v>18750537</v>
      </c>
      <c r="N17" s="36">
        <v>8643160</v>
      </c>
      <c r="O17" s="36">
        <v>7003940</v>
      </c>
      <c r="P17" s="36">
        <v>8941200</v>
      </c>
      <c r="Q17" s="36">
        <v>3725500</v>
      </c>
      <c r="R17" s="36">
        <v>7600020</v>
      </c>
      <c r="S17" s="36">
        <v>3427460</v>
      </c>
      <c r="T17" s="37">
        <v>5215700</v>
      </c>
      <c r="U17" s="37">
        <v>1043140</v>
      </c>
      <c r="V17" s="36">
        <v>589796</v>
      </c>
      <c r="W17" s="36">
        <f t="shared" si="2"/>
        <v>147474868</v>
      </c>
    </row>
    <row r="18" spans="1:23" ht="22.5">
      <c r="A18" s="33" t="s">
        <v>217</v>
      </c>
      <c r="B18" s="41" t="s">
        <v>218</v>
      </c>
      <c r="C18" s="41" t="s">
        <v>191</v>
      </c>
      <c r="D18" s="42" t="s">
        <v>219</v>
      </c>
      <c r="E18" s="43">
        <f>E17-E19</f>
        <v>10570395</v>
      </c>
      <c r="F18" s="43">
        <f t="shared" ref="F18:V18" si="11">F17-F19</f>
        <v>10399313</v>
      </c>
      <c r="G18" s="43">
        <f t="shared" si="11"/>
        <v>10888877</v>
      </c>
      <c r="H18" s="43">
        <f t="shared" si="11"/>
        <v>10415714</v>
      </c>
      <c r="I18" s="43">
        <f t="shared" si="11"/>
        <v>2884698</v>
      </c>
      <c r="J18" s="43">
        <f t="shared" si="11"/>
        <v>11787872</v>
      </c>
      <c r="K18" s="43">
        <f t="shared" si="11"/>
        <v>13599862</v>
      </c>
      <c r="L18" s="43">
        <f t="shared" si="11"/>
        <v>10554546</v>
      </c>
      <c r="M18" s="43">
        <f t="shared" si="11"/>
        <v>18453341</v>
      </c>
      <c r="N18" s="43">
        <f t="shared" si="11"/>
        <v>8467036</v>
      </c>
      <c r="O18" s="43">
        <f t="shared" si="11"/>
        <v>6830456</v>
      </c>
      <c r="P18" s="43">
        <f t="shared" si="11"/>
        <v>8749716</v>
      </c>
      <c r="Q18" s="43">
        <f t="shared" si="11"/>
        <v>3704625</v>
      </c>
      <c r="R18" s="43">
        <f t="shared" si="11"/>
        <v>7437708</v>
      </c>
      <c r="S18" s="43">
        <f t="shared" si="11"/>
        <v>3284204</v>
      </c>
      <c r="T18" s="43">
        <f t="shared" si="11"/>
        <v>5070644</v>
      </c>
      <c r="U18" s="43">
        <f t="shared" si="11"/>
        <v>993750</v>
      </c>
      <c r="V18" s="43">
        <f t="shared" si="11"/>
        <v>589796</v>
      </c>
      <c r="W18" s="36">
        <f t="shared" si="2"/>
        <v>144682553</v>
      </c>
    </row>
    <row r="19" spans="1:23">
      <c r="A19" s="33" t="s">
        <v>220</v>
      </c>
      <c r="B19" s="41" t="s">
        <v>221</v>
      </c>
      <c r="C19" s="41" t="s">
        <v>191</v>
      </c>
      <c r="D19" s="42" t="s">
        <v>222</v>
      </c>
      <c r="E19" s="43">
        <v>167092</v>
      </c>
      <c r="F19" s="43">
        <v>338174</v>
      </c>
      <c r="G19" s="43">
        <v>169132</v>
      </c>
      <c r="H19" s="43">
        <v>161512</v>
      </c>
      <c r="I19" s="43"/>
      <c r="J19" s="43">
        <v>231703</v>
      </c>
      <c r="K19" s="43">
        <v>182584</v>
      </c>
      <c r="L19" s="43">
        <v>182941</v>
      </c>
      <c r="M19" s="43">
        <v>297196</v>
      </c>
      <c r="N19" s="43">
        <v>176124</v>
      </c>
      <c r="O19" s="43">
        <v>173484</v>
      </c>
      <c r="P19" s="43">
        <v>191484</v>
      </c>
      <c r="Q19" s="43">
        <v>20875</v>
      </c>
      <c r="R19" s="43">
        <v>162312</v>
      </c>
      <c r="S19" s="43">
        <v>143256</v>
      </c>
      <c r="T19" s="43">
        <v>145056</v>
      </c>
      <c r="U19" s="43">
        <v>49390</v>
      </c>
      <c r="V19" s="43"/>
      <c r="W19" s="36">
        <f t="shared" si="2"/>
        <v>2792315</v>
      </c>
    </row>
    <row r="20" spans="1:23">
      <c r="A20" s="33" t="s">
        <v>223</v>
      </c>
      <c r="B20" s="34" t="s">
        <v>224</v>
      </c>
      <c r="C20" s="34"/>
      <c r="D20" s="42" t="s">
        <v>185</v>
      </c>
      <c r="E20" s="45">
        <f>E21</f>
        <v>1322016</v>
      </c>
      <c r="F20" s="45">
        <f t="shared" ref="F20:V20" si="12">F21</f>
        <v>1374048</v>
      </c>
      <c r="G20" s="45">
        <f t="shared" si="12"/>
        <v>1427224.8</v>
      </c>
      <c r="H20" s="45">
        <f t="shared" si="12"/>
        <v>1163160</v>
      </c>
      <c r="I20" s="45">
        <f t="shared" si="12"/>
        <v>349968</v>
      </c>
      <c r="J20" s="45">
        <f t="shared" si="12"/>
        <v>1442856</v>
      </c>
      <c r="K20" s="45">
        <f t="shared" si="12"/>
        <v>1642944</v>
      </c>
      <c r="L20" s="45">
        <f t="shared" si="12"/>
        <v>1235160</v>
      </c>
      <c r="M20" s="45">
        <f t="shared" si="12"/>
        <v>2085720</v>
      </c>
      <c r="N20" s="45">
        <f t="shared" si="12"/>
        <v>1017984</v>
      </c>
      <c r="O20" s="45">
        <f t="shared" si="12"/>
        <v>846456</v>
      </c>
      <c r="P20" s="45">
        <f t="shared" si="12"/>
        <v>981264</v>
      </c>
      <c r="Q20" s="45">
        <f t="shared" si="12"/>
        <v>417840</v>
      </c>
      <c r="R20" s="45">
        <f t="shared" si="12"/>
        <v>863760</v>
      </c>
      <c r="S20" s="45">
        <f t="shared" si="12"/>
        <v>381672</v>
      </c>
      <c r="T20" s="43">
        <f t="shared" si="12"/>
        <v>555576</v>
      </c>
      <c r="U20" s="43">
        <f t="shared" si="12"/>
        <v>116280</v>
      </c>
      <c r="V20" s="45">
        <f t="shared" si="12"/>
        <v>71304</v>
      </c>
      <c r="W20" s="36">
        <f t="shared" si="2"/>
        <v>17295232.800000001</v>
      </c>
    </row>
    <row r="21" spans="1:23">
      <c r="A21" s="33" t="s">
        <v>225</v>
      </c>
      <c r="B21" s="34" t="s">
        <v>226</v>
      </c>
      <c r="C21" s="34" t="s">
        <v>227</v>
      </c>
      <c r="D21" s="42" t="s">
        <v>185</v>
      </c>
      <c r="E21" s="45">
        <f>E16*20</f>
        <v>1322016</v>
      </c>
      <c r="F21" s="45">
        <f t="shared" ref="F21:V21" si="13">F16*20</f>
        <v>1374048</v>
      </c>
      <c r="G21" s="45">
        <f t="shared" si="13"/>
        <v>1427224.8</v>
      </c>
      <c r="H21" s="45">
        <f t="shared" si="13"/>
        <v>1163160</v>
      </c>
      <c r="I21" s="45">
        <f t="shared" si="13"/>
        <v>349968</v>
      </c>
      <c r="J21" s="45">
        <f t="shared" si="13"/>
        <v>1442856</v>
      </c>
      <c r="K21" s="45">
        <f t="shared" si="13"/>
        <v>1642944</v>
      </c>
      <c r="L21" s="45">
        <f t="shared" si="13"/>
        <v>1235160</v>
      </c>
      <c r="M21" s="45">
        <f t="shared" si="13"/>
        <v>2085720</v>
      </c>
      <c r="N21" s="45">
        <f t="shared" si="13"/>
        <v>1017984</v>
      </c>
      <c r="O21" s="45">
        <f t="shared" si="13"/>
        <v>846456</v>
      </c>
      <c r="P21" s="45">
        <f t="shared" si="13"/>
        <v>981264</v>
      </c>
      <c r="Q21" s="45">
        <f t="shared" si="13"/>
        <v>417840</v>
      </c>
      <c r="R21" s="45">
        <f t="shared" si="13"/>
        <v>863760</v>
      </c>
      <c r="S21" s="45">
        <f t="shared" si="13"/>
        <v>381672</v>
      </c>
      <c r="T21" s="43">
        <f t="shared" si="13"/>
        <v>555576</v>
      </c>
      <c r="U21" s="43">
        <f t="shared" si="13"/>
        <v>116280</v>
      </c>
      <c r="V21" s="45">
        <f t="shared" si="13"/>
        <v>71304</v>
      </c>
      <c r="W21" s="36">
        <f t="shared" si="2"/>
        <v>17295232.800000001</v>
      </c>
    </row>
    <row r="22" spans="1:23">
      <c r="A22" s="33" t="s">
        <v>228</v>
      </c>
      <c r="B22" s="34" t="s">
        <v>229</v>
      </c>
      <c r="C22" s="34"/>
      <c r="D22" s="42" t="s">
        <v>210</v>
      </c>
      <c r="E22" s="45">
        <f>E23+E24</f>
        <v>528806.40000000002</v>
      </c>
      <c r="F22" s="45">
        <f t="shared" ref="F22:V22" si="14">F23+F24</f>
        <v>549619.19999999995</v>
      </c>
      <c r="G22" s="45">
        <f t="shared" si="14"/>
        <v>570889.92000000004</v>
      </c>
      <c r="H22" s="45">
        <f t="shared" si="14"/>
        <v>465264</v>
      </c>
      <c r="I22" s="45">
        <f t="shared" si="14"/>
        <v>139987.20000000001</v>
      </c>
      <c r="J22" s="45">
        <f t="shared" si="14"/>
        <v>577142.4</v>
      </c>
      <c r="K22" s="45">
        <f t="shared" si="14"/>
        <v>657177.59999999998</v>
      </c>
      <c r="L22" s="45">
        <f t="shared" si="14"/>
        <v>494064</v>
      </c>
      <c r="M22" s="45">
        <f t="shared" si="14"/>
        <v>834288</v>
      </c>
      <c r="N22" s="45">
        <f t="shared" si="14"/>
        <v>407193.59999999998</v>
      </c>
      <c r="O22" s="45">
        <f t="shared" si="14"/>
        <v>338582.4</v>
      </c>
      <c r="P22" s="45">
        <f t="shared" si="14"/>
        <v>392505.59999999998</v>
      </c>
      <c r="Q22" s="45">
        <f t="shared" si="14"/>
        <v>167136</v>
      </c>
      <c r="R22" s="45">
        <f t="shared" si="14"/>
        <v>345504</v>
      </c>
      <c r="S22" s="45">
        <f t="shared" si="14"/>
        <v>152668.79999999999</v>
      </c>
      <c r="T22" s="43">
        <f t="shared" si="14"/>
        <v>222230.39999999999</v>
      </c>
      <c r="U22" s="43">
        <f t="shared" si="14"/>
        <v>46512</v>
      </c>
      <c r="V22" s="45">
        <f t="shared" si="14"/>
        <v>28521.599999999999</v>
      </c>
      <c r="W22" s="36">
        <f t="shared" si="2"/>
        <v>6918093.1200000001</v>
      </c>
    </row>
    <row r="23" spans="1:23">
      <c r="A23" s="33" t="s">
        <v>230</v>
      </c>
      <c r="B23" s="34" t="s">
        <v>231</v>
      </c>
      <c r="C23" s="34" t="s">
        <v>232</v>
      </c>
      <c r="D23" s="42" t="s">
        <v>210</v>
      </c>
      <c r="E23" s="45">
        <f>E16*4</f>
        <v>264403.20000000001</v>
      </c>
      <c r="F23" s="45">
        <f t="shared" ref="F23:V23" si="15">F16*4</f>
        <v>274809.59999999998</v>
      </c>
      <c r="G23" s="45">
        <f t="shared" si="15"/>
        <v>285444.96000000002</v>
      </c>
      <c r="H23" s="45">
        <f t="shared" si="15"/>
        <v>232632</v>
      </c>
      <c r="I23" s="45">
        <f t="shared" si="15"/>
        <v>69993.600000000006</v>
      </c>
      <c r="J23" s="45">
        <f t="shared" si="15"/>
        <v>288571.2</v>
      </c>
      <c r="K23" s="45">
        <f t="shared" si="15"/>
        <v>328588.79999999999</v>
      </c>
      <c r="L23" s="45">
        <f t="shared" si="15"/>
        <v>247032</v>
      </c>
      <c r="M23" s="45">
        <f t="shared" si="15"/>
        <v>417144</v>
      </c>
      <c r="N23" s="45">
        <f t="shared" si="15"/>
        <v>203596.79999999999</v>
      </c>
      <c r="O23" s="45">
        <f t="shared" si="15"/>
        <v>169291.2</v>
      </c>
      <c r="P23" s="45">
        <f t="shared" si="15"/>
        <v>196252.79999999999</v>
      </c>
      <c r="Q23" s="45">
        <f t="shared" si="15"/>
        <v>83568</v>
      </c>
      <c r="R23" s="45">
        <f t="shared" si="15"/>
        <v>172752</v>
      </c>
      <c r="S23" s="45">
        <f t="shared" si="15"/>
        <v>76334.399999999994</v>
      </c>
      <c r="T23" s="43">
        <f t="shared" si="15"/>
        <v>111115.2</v>
      </c>
      <c r="U23" s="43">
        <f t="shared" si="15"/>
        <v>23256</v>
      </c>
      <c r="V23" s="45">
        <f t="shared" si="15"/>
        <v>14260.8</v>
      </c>
      <c r="W23" s="36">
        <f t="shared" si="2"/>
        <v>3459046.56</v>
      </c>
    </row>
    <row r="24" spans="1:23">
      <c r="A24" s="33" t="s">
        <v>233</v>
      </c>
      <c r="B24" s="34" t="s">
        <v>234</v>
      </c>
      <c r="C24" s="34" t="s">
        <v>232</v>
      </c>
      <c r="D24" s="42" t="s">
        <v>210</v>
      </c>
      <c r="E24" s="45">
        <f>E16*4</f>
        <v>264403.20000000001</v>
      </c>
      <c r="F24" s="45">
        <f t="shared" ref="F24:V24" si="16">F16*4</f>
        <v>274809.59999999998</v>
      </c>
      <c r="G24" s="45">
        <f t="shared" si="16"/>
        <v>285444.96000000002</v>
      </c>
      <c r="H24" s="45">
        <f t="shared" si="16"/>
        <v>232632</v>
      </c>
      <c r="I24" s="45">
        <f t="shared" si="16"/>
        <v>69993.600000000006</v>
      </c>
      <c r="J24" s="45">
        <f t="shared" si="16"/>
        <v>288571.2</v>
      </c>
      <c r="K24" s="45">
        <f t="shared" si="16"/>
        <v>328588.79999999999</v>
      </c>
      <c r="L24" s="45">
        <f t="shared" si="16"/>
        <v>247032</v>
      </c>
      <c r="M24" s="45">
        <f t="shared" si="16"/>
        <v>417144</v>
      </c>
      <c r="N24" s="45">
        <f t="shared" si="16"/>
        <v>203596.79999999999</v>
      </c>
      <c r="O24" s="45">
        <f t="shared" si="16"/>
        <v>169291.2</v>
      </c>
      <c r="P24" s="45">
        <f t="shared" si="16"/>
        <v>196252.79999999999</v>
      </c>
      <c r="Q24" s="45">
        <f t="shared" si="16"/>
        <v>83568</v>
      </c>
      <c r="R24" s="45">
        <f t="shared" si="16"/>
        <v>172752</v>
      </c>
      <c r="S24" s="45">
        <f t="shared" si="16"/>
        <v>76334.399999999994</v>
      </c>
      <c r="T24" s="43">
        <f t="shared" si="16"/>
        <v>111115.2</v>
      </c>
      <c r="U24" s="43">
        <f t="shared" si="16"/>
        <v>23256</v>
      </c>
      <c r="V24" s="45">
        <f t="shared" si="16"/>
        <v>14260.8</v>
      </c>
      <c r="W24" s="36">
        <f t="shared" si="2"/>
        <v>3459046.56</v>
      </c>
    </row>
    <row r="25" spans="1:23">
      <c r="A25" s="33" t="s">
        <v>235</v>
      </c>
      <c r="B25" s="34" t="s">
        <v>236</v>
      </c>
      <c r="C25" s="34"/>
      <c r="D25" s="35" t="s">
        <v>185</v>
      </c>
      <c r="E25" s="36">
        <f>E26</f>
        <v>2115225.6000000001</v>
      </c>
      <c r="F25" s="36">
        <f t="shared" ref="F25:V25" si="17">F26</f>
        <v>2198476.7999999998</v>
      </c>
      <c r="G25" s="36">
        <f t="shared" si="17"/>
        <v>2283559.6800000002</v>
      </c>
      <c r="H25" s="36">
        <f t="shared" si="17"/>
        <v>1861056</v>
      </c>
      <c r="I25" s="36">
        <f t="shared" si="17"/>
        <v>559948.80000000005</v>
      </c>
      <c r="J25" s="36">
        <f t="shared" si="17"/>
        <v>2308569.6</v>
      </c>
      <c r="K25" s="36">
        <f t="shared" si="17"/>
        <v>2628710.3999999999</v>
      </c>
      <c r="L25" s="36">
        <f t="shared" si="17"/>
        <v>1976256</v>
      </c>
      <c r="M25" s="36">
        <f t="shared" si="17"/>
        <v>3337152</v>
      </c>
      <c r="N25" s="36">
        <f t="shared" si="17"/>
        <v>1628774.3999999999</v>
      </c>
      <c r="O25" s="36">
        <f t="shared" si="17"/>
        <v>1354329.6</v>
      </c>
      <c r="P25" s="36">
        <f t="shared" si="17"/>
        <v>1570022.3999999999</v>
      </c>
      <c r="Q25" s="36">
        <f t="shared" si="17"/>
        <v>668544</v>
      </c>
      <c r="R25" s="36">
        <f t="shared" si="17"/>
        <v>1382016</v>
      </c>
      <c r="S25" s="36">
        <f t="shared" si="17"/>
        <v>610675.19999999995</v>
      </c>
      <c r="T25" s="37">
        <f t="shared" si="17"/>
        <v>888921.59999999998</v>
      </c>
      <c r="U25" s="37">
        <f t="shared" si="17"/>
        <v>186048</v>
      </c>
      <c r="V25" s="36">
        <f t="shared" si="17"/>
        <v>114086.39999999999</v>
      </c>
      <c r="W25" s="36">
        <f t="shared" si="2"/>
        <v>27672372.48</v>
      </c>
    </row>
    <row r="26" spans="1:23" s="40" customFormat="1">
      <c r="A26" s="33" t="s">
        <v>237</v>
      </c>
      <c r="B26" s="38" t="s">
        <v>238</v>
      </c>
      <c r="C26" s="38" t="s">
        <v>239</v>
      </c>
      <c r="D26" s="39" t="s">
        <v>210</v>
      </c>
      <c r="E26" s="36">
        <f>E16*32</f>
        <v>2115225.6000000001</v>
      </c>
      <c r="F26" s="36">
        <f t="shared" ref="F26:V26" si="18">F16*32</f>
        <v>2198476.7999999998</v>
      </c>
      <c r="G26" s="36">
        <f t="shared" si="18"/>
        <v>2283559.6800000002</v>
      </c>
      <c r="H26" s="36">
        <f t="shared" si="18"/>
        <v>1861056</v>
      </c>
      <c r="I26" s="36">
        <f t="shared" si="18"/>
        <v>559948.80000000005</v>
      </c>
      <c r="J26" s="36">
        <f t="shared" si="18"/>
        <v>2308569.6</v>
      </c>
      <c r="K26" s="36">
        <f t="shared" si="18"/>
        <v>2628710.3999999999</v>
      </c>
      <c r="L26" s="36">
        <f t="shared" si="18"/>
        <v>1976256</v>
      </c>
      <c r="M26" s="36">
        <f t="shared" si="18"/>
        <v>3337152</v>
      </c>
      <c r="N26" s="36">
        <f t="shared" si="18"/>
        <v>1628774.3999999999</v>
      </c>
      <c r="O26" s="36">
        <f t="shared" si="18"/>
        <v>1354329.6</v>
      </c>
      <c r="P26" s="36">
        <f t="shared" si="18"/>
        <v>1570022.3999999999</v>
      </c>
      <c r="Q26" s="36">
        <f t="shared" si="18"/>
        <v>668544</v>
      </c>
      <c r="R26" s="36">
        <f t="shared" si="18"/>
        <v>1382016</v>
      </c>
      <c r="S26" s="36">
        <f t="shared" si="18"/>
        <v>610675.19999999995</v>
      </c>
      <c r="T26" s="37">
        <f t="shared" si="18"/>
        <v>888921.59999999998</v>
      </c>
      <c r="U26" s="37">
        <f t="shared" si="18"/>
        <v>186048</v>
      </c>
      <c r="V26" s="36">
        <f t="shared" si="18"/>
        <v>114086.39999999999</v>
      </c>
      <c r="W26" s="36">
        <f t="shared" si="2"/>
        <v>27672372.48</v>
      </c>
    </row>
    <row r="27" spans="1:23">
      <c r="A27" s="33" t="s">
        <v>240</v>
      </c>
      <c r="B27" s="34" t="s">
        <v>241</v>
      </c>
      <c r="C27" s="34"/>
      <c r="D27" s="35" t="s">
        <v>185</v>
      </c>
      <c r="E27" s="36">
        <f>E28</f>
        <v>1057612.8</v>
      </c>
      <c r="F27" s="36">
        <f t="shared" ref="F27:V27" si="19">F28</f>
        <v>1099238.3999999999</v>
      </c>
      <c r="G27" s="36">
        <f t="shared" si="19"/>
        <v>1141779.8400000001</v>
      </c>
      <c r="H27" s="36">
        <f t="shared" si="19"/>
        <v>930528</v>
      </c>
      <c r="I27" s="36">
        <f t="shared" si="19"/>
        <v>279974.40000000002</v>
      </c>
      <c r="J27" s="36">
        <f t="shared" si="19"/>
        <v>1154284.8</v>
      </c>
      <c r="K27" s="36">
        <f t="shared" si="19"/>
        <v>1314355.2</v>
      </c>
      <c r="L27" s="36">
        <f t="shared" si="19"/>
        <v>988128</v>
      </c>
      <c r="M27" s="36">
        <f t="shared" si="19"/>
        <v>1668576</v>
      </c>
      <c r="N27" s="36">
        <f t="shared" si="19"/>
        <v>814387.19999999995</v>
      </c>
      <c r="O27" s="36">
        <f t="shared" si="19"/>
        <v>677164.8</v>
      </c>
      <c r="P27" s="36">
        <f t="shared" si="19"/>
        <v>785011.19999999995</v>
      </c>
      <c r="Q27" s="36">
        <f t="shared" si="19"/>
        <v>334272</v>
      </c>
      <c r="R27" s="36">
        <f t="shared" si="19"/>
        <v>691008</v>
      </c>
      <c r="S27" s="36">
        <f t="shared" si="19"/>
        <v>305337.59999999998</v>
      </c>
      <c r="T27" s="37">
        <f t="shared" si="19"/>
        <v>444460.79999999999</v>
      </c>
      <c r="U27" s="37">
        <f t="shared" si="19"/>
        <v>93024</v>
      </c>
      <c r="V27" s="36">
        <f t="shared" si="19"/>
        <v>57043.199999999997</v>
      </c>
      <c r="W27" s="36">
        <f t="shared" si="2"/>
        <v>13836186.24</v>
      </c>
    </row>
    <row r="28" spans="1:23" s="40" customFormat="1">
      <c r="A28" s="33" t="s">
        <v>242</v>
      </c>
      <c r="B28" s="38" t="s">
        <v>243</v>
      </c>
      <c r="C28" s="38" t="s">
        <v>244</v>
      </c>
      <c r="D28" s="39" t="s">
        <v>210</v>
      </c>
      <c r="E28" s="36">
        <f>E16*16</f>
        <v>1057612.8</v>
      </c>
      <c r="F28" s="36">
        <f t="shared" ref="F28:V28" si="20">F16*16</f>
        <v>1099238.3999999999</v>
      </c>
      <c r="G28" s="36">
        <f t="shared" si="20"/>
        <v>1141779.8400000001</v>
      </c>
      <c r="H28" s="36">
        <f t="shared" si="20"/>
        <v>930528</v>
      </c>
      <c r="I28" s="36">
        <f t="shared" si="20"/>
        <v>279974.40000000002</v>
      </c>
      <c r="J28" s="36">
        <f t="shared" si="20"/>
        <v>1154284.8</v>
      </c>
      <c r="K28" s="36">
        <f t="shared" si="20"/>
        <v>1314355.2</v>
      </c>
      <c r="L28" s="36">
        <f t="shared" si="20"/>
        <v>988128</v>
      </c>
      <c r="M28" s="36">
        <f t="shared" si="20"/>
        <v>1668576</v>
      </c>
      <c r="N28" s="36">
        <f t="shared" si="20"/>
        <v>814387.19999999995</v>
      </c>
      <c r="O28" s="36">
        <f t="shared" si="20"/>
        <v>677164.8</v>
      </c>
      <c r="P28" s="36">
        <f t="shared" si="20"/>
        <v>785011.19999999995</v>
      </c>
      <c r="Q28" s="36">
        <f t="shared" si="20"/>
        <v>334272</v>
      </c>
      <c r="R28" s="36">
        <f t="shared" si="20"/>
        <v>691008</v>
      </c>
      <c r="S28" s="36">
        <f t="shared" si="20"/>
        <v>305337.59999999998</v>
      </c>
      <c r="T28" s="37">
        <f t="shared" si="20"/>
        <v>444460.79999999999</v>
      </c>
      <c r="U28" s="37">
        <f t="shared" si="20"/>
        <v>93024</v>
      </c>
      <c r="V28" s="36">
        <f t="shared" si="20"/>
        <v>57043.199999999997</v>
      </c>
      <c r="W28" s="36">
        <f t="shared" si="2"/>
        <v>13836186.24</v>
      </c>
    </row>
    <row r="29" spans="1:23" ht="22.5">
      <c r="A29" s="33" t="s">
        <v>245</v>
      </c>
      <c r="B29" s="34" t="s">
        <v>246</v>
      </c>
      <c r="C29" s="41" t="s">
        <v>191</v>
      </c>
      <c r="D29" s="39" t="s">
        <v>247</v>
      </c>
      <c r="E29" s="36">
        <f>9600*E96</f>
        <v>643200</v>
      </c>
      <c r="F29" s="36">
        <f t="shared" ref="F29:V29" si="21">9600*F96</f>
        <v>643200</v>
      </c>
      <c r="G29" s="36">
        <f t="shared" si="21"/>
        <v>662400</v>
      </c>
      <c r="H29" s="36">
        <f t="shared" si="21"/>
        <v>633600</v>
      </c>
      <c r="I29" s="36">
        <f t="shared" si="21"/>
        <v>172800</v>
      </c>
      <c r="J29" s="36">
        <f t="shared" si="21"/>
        <v>720000</v>
      </c>
      <c r="K29" s="36">
        <f t="shared" si="21"/>
        <v>825600</v>
      </c>
      <c r="L29" s="36">
        <f t="shared" si="21"/>
        <v>643200</v>
      </c>
      <c r="M29" s="36">
        <f t="shared" si="21"/>
        <v>1123200</v>
      </c>
      <c r="N29" s="36">
        <f t="shared" si="21"/>
        <v>556800</v>
      </c>
      <c r="O29" s="36">
        <f t="shared" si="21"/>
        <v>451200</v>
      </c>
      <c r="P29" s="36">
        <f t="shared" si="21"/>
        <v>576000</v>
      </c>
      <c r="Q29" s="36">
        <f t="shared" si="21"/>
        <v>240000</v>
      </c>
      <c r="R29" s="36">
        <f t="shared" si="21"/>
        <v>489600</v>
      </c>
      <c r="S29" s="36">
        <f t="shared" si="21"/>
        <v>220800</v>
      </c>
      <c r="T29" s="37">
        <f t="shared" si="21"/>
        <v>336000</v>
      </c>
      <c r="U29" s="37">
        <f t="shared" si="21"/>
        <v>67200</v>
      </c>
      <c r="V29" s="36">
        <f t="shared" si="21"/>
        <v>38400</v>
      </c>
      <c r="W29" s="36">
        <f t="shared" si="2"/>
        <v>9043200</v>
      </c>
    </row>
    <row r="30" spans="1:23">
      <c r="A30" s="33" t="s">
        <v>248</v>
      </c>
      <c r="B30" s="34" t="s">
        <v>249</v>
      </c>
      <c r="C30" s="34" t="s">
        <v>249</v>
      </c>
      <c r="D30" s="39" t="s">
        <v>210</v>
      </c>
      <c r="E30" s="45">
        <f>E16*14</f>
        <v>925411.20000000007</v>
      </c>
      <c r="F30" s="45">
        <f t="shared" ref="F30:V30" si="22">F16*14</f>
        <v>961833.59999999986</v>
      </c>
      <c r="G30" s="45">
        <f t="shared" si="22"/>
        <v>999057.3600000001</v>
      </c>
      <c r="H30" s="45">
        <f t="shared" si="22"/>
        <v>814212</v>
      </c>
      <c r="I30" s="45">
        <f t="shared" si="22"/>
        <v>244977.60000000003</v>
      </c>
      <c r="J30" s="45">
        <f t="shared" si="22"/>
        <v>1009999.2000000001</v>
      </c>
      <c r="K30" s="45">
        <f t="shared" si="22"/>
        <v>1150060.8</v>
      </c>
      <c r="L30" s="45">
        <f t="shared" si="22"/>
        <v>864612</v>
      </c>
      <c r="M30" s="45">
        <f t="shared" si="22"/>
        <v>1460004</v>
      </c>
      <c r="N30" s="45">
        <f t="shared" si="22"/>
        <v>712588.79999999993</v>
      </c>
      <c r="O30" s="45">
        <f t="shared" si="22"/>
        <v>592519.20000000007</v>
      </c>
      <c r="P30" s="45">
        <f t="shared" si="22"/>
        <v>686884.79999999993</v>
      </c>
      <c r="Q30" s="45">
        <f t="shared" si="22"/>
        <v>292488</v>
      </c>
      <c r="R30" s="45">
        <f t="shared" si="22"/>
        <v>604632</v>
      </c>
      <c r="S30" s="45">
        <f t="shared" si="22"/>
        <v>267170.39999999997</v>
      </c>
      <c r="T30" s="43">
        <f t="shared" si="22"/>
        <v>388903.2</v>
      </c>
      <c r="U30" s="43">
        <f t="shared" si="22"/>
        <v>81396</v>
      </c>
      <c r="V30" s="45">
        <f t="shared" si="22"/>
        <v>49912.799999999996</v>
      </c>
      <c r="W30" s="36">
        <f t="shared" si="2"/>
        <v>12106662.960000001</v>
      </c>
    </row>
    <row r="31" spans="1:23">
      <c r="A31" s="33" t="s">
        <v>250</v>
      </c>
      <c r="B31" s="34" t="s">
        <v>251</v>
      </c>
      <c r="C31" s="34"/>
      <c r="D31" s="35" t="s">
        <v>185</v>
      </c>
      <c r="E31" s="36">
        <f>E32+E40+E42+E45+E47</f>
        <v>8400</v>
      </c>
      <c r="F31" s="36">
        <f t="shared" ref="F31:V31" si="23">F32+F40+F42+F45+F47</f>
        <v>12240</v>
      </c>
      <c r="G31" s="36">
        <f t="shared" si="23"/>
        <v>14760</v>
      </c>
      <c r="H31" s="36">
        <f t="shared" si="23"/>
        <v>10800</v>
      </c>
      <c r="I31" s="36">
        <f t="shared" si="23"/>
        <v>5040</v>
      </c>
      <c r="J31" s="36">
        <f t="shared" si="23"/>
        <v>7200</v>
      </c>
      <c r="K31" s="36">
        <f t="shared" si="23"/>
        <v>12360</v>
      </c>
      <c r="L31" s="36">
        <f t="shared" si="23"/>
        <v>47971.199999999997</v>
      </c>
      <c r="M31" s="36">
        <f t="shared" si="23"/>
        <v>15360</v>
      </c>
      <c r="N31" s="36">
        <f t="shared" si="23"/>
        <v>12840</v>
      </c>
      <c r="O31" s="36">
        <f t="shared" si="23"/>
        <v>9600</v>
      </c>
      <c r="P31" s="36">
        <f t="shared" si="23"/>
        <v>13200</v>
      </c>
      <c r="Q31" s="36">
        <f t="shared" si="23"/>
        <v>4320</v>
      </c>
      <c r="R31" s="36">
        <f t="shared" si="23"/>
        <v>9840</v>
      </c>
      <c r="S31" s="36">
        <f t="shared" si="23"/>
        <v>5040</v>
      </c>
      <c r="T31" s="37">
        <f t="shared" si="23"/>
        <v>8280</v>
      </c>
      <c r="U31" s="37">
        <f t="shared" si="23"/>
        <v>360</v>
      </c>
      <c r="V31" s="36">
        <f t="shared" si="23"/>
        <v>1200</v>
      </c>
      <c r="W31" s="36">
        <f t="shared" si="2"/>
        <v>198811.2</v>
      </c>
    </row>
    <row r="32" spans="1:23">
      <c r="A32" s="33" t="s">
        <v>252</v>
      </c>
      <c r="B32" s="34" t="s">
        <v>253</v>
      </c>
      <c r="C32" s="34"/>
      <c r="D32" s="35" t="s">
        <v>185</v>
      </c>
      <c r="E32" s="36">
        <f>E33+E34+E35+E36+E37+E38+E39</f>
        <v>0</v>
      </c>
      <c r="F32" s="36">
        <f t="shared" ref="F32:V32" si="24">F33+F34+F35+F36+F37+F38+F39</f>
        <v>0</v>
      </c>
      <c r="G32" s="36">
        <f t="shared" si="24"/>
        <v>0</v>
      </c>
      <c r="H32" s="36">
        <f t="shared" si="24"/>
        <v>0</v>
      </c>
      <c r="I32" s="36">
        <f t="shared" si="24"/>
        <v>0</v>
      </c>
      <c r="J32" s="36">
        <f t="shared" si="24"/>
        <v>0</v>
      </c>
      <c r="K32" s="36">
        <f t="shared" si="24"/>
        <v>0</v>
      </c>
      <c r="L32" s="36">
        <f t="shared" si="24"/>
        <v>0</v>
      </c>
      <c r="M32" s="36">
        <f t="shared" si="24"/>
        <v>0</v>
      </c>
      <c r="N32" s="36">
        <f t="shared" si="24"/>
        <v>0</v>
      </c>
      <c r="O32" s="36">
        <f t="shared" si="24"/>
        <v>0</v>
      </c>
      <c r="P32" s="36">
        <f t="shared" si="24"/>
        <v>0</v>
      </c>
      <c r="Q32" s="36">
        <f t="shared" si="24"/>
        <v>0</v>
      </c>
      <c r="R32" s="36">
        <f t="shared" si="24"/>
        <v>0</v>
      </c>
      <c r="S32" s="36">
        <f t="shared" si="24"/>
        <v>0</v>
      </c>
      <c r="T32" s="37"/>
      <c r="U32" s="37"/>
      <c r="V32" s="36">
        <f t="shared" si="24"/>
        <v>0</v>
      </c>
      <c r="W32" s="36">
        <f t="shared" si="2"/>
        <v>0</v>
      </c>
    </row>
    <row r="33" spans="1:23">
      <c r="A33" s="33" t="s">
        <v>254</v>
      </c>
      <c r="B33" s="34" t="s">
        <v>255</v>
      </c>
      <c r="C33" s="34" t="s">
        <v>256</v>
      </c>
      <c r="D33" s="42" t="s">
        <v>257</v>
      </c>
      <c r="E33" s="43"/>
      <c r="F33" s="43"/>
      <c r="G33" s="43"/>
      <c r="H33" s="43"/>
      <c r="I33" s="43"/>
      <c r="J33" s="43"/>
      <c r="K33" s="43"/>
      <c r="L33" s="43"/>
      <c r="M33" s="43"/>
      <c r="N33" s="43"/>
      <c r="O33" s="43"/>
      <c r="P33" s="43"/>
      <c r="Q33" s="43"/>
      <c r="R33" s="43"/>
      <c r="S33" s="43"/>
      <c r="T33" s="43"/>
      <c r="U33" s="43"/>
      <c r="V33" s="43"/>
      <c r="W33" s="36">
        <f t="shared" si="2"/>
        <v>0</v>
      </c>
    </row>
    <row r="34" spans="1:23">
      <c r="A34" s="33" t="s">
        <v>258</v>
      </c>
      <c r="B34" s="34" t="s">
        <v>259</v>
      </c>
      <c r="C34" s="34" t="s">
        <v>256</v>
      </c>
      <c r="D34" s="42" t="s">
        <v>257</v>
      </c>
      <c r="E34" s="43"/>
      <c r="F34" s="43"/>
      <c r="G34" s="43"/>
      <c r="H34" s="43"/>
      <c r="I34" s="43"/>
      <c r="J34" s="43"/>
      <c r="K34" s="43"/>
      <c r="L34" s="43"/>
      <c r="M34" s="43"/>
      <c r="N34" s="43"/>
      <c r="O34" s="43"/>
      <c r="P34" s="43"/>
      <c r="Q34" s="43"/>
      <c r="R34" s="43"/>
      <c r="S34" s="43"/>
      <c r="T34" s="43"/>
      <c r="U34" s="43"/>
      <c r="V34" s="43"/>
      <c r="W34" s="36">
        <f t="shared" si="2"/>
        <v>0</v>
      </c>
    </row>
    <row r="35" spans="1:23">
      <c r="A35" s="33" t="s">
        <v>260</v>
      </c>
      <c r="B35" s="34" t="s">
        <v>261</v>
      </c>
      <c r="C35" s="34" t="s">
        <v>256</v>
      </c>
      <c r="D35" s="42" t="s">
        <v>262</v>
      </c>
      <c r="E35" s="43"/>
      <c r="F35" s="43"/>
      <c r="G35" s="43"/>
      <c r="H35" s="43"/>
      <c r="I35" s="43"/>
      <c r="J35" s="43"/>
      <c r="K35" s="43"/>
      <c r="L35" s="43"/>
      <c r="M35" s="43"/>
      <c r="N35" s="43"/>
      <c r="O35" s="43"/>
      <c r="P35" s="43"/>
      <c r="Q35" s="43"/>
      <c r="R35" s="43"/>
      <c r="S35" s="43"/>
      <c r="T35" s="43"/>
      <c r="U35" s="43"/>
      <c r="V35" s="43"/>
      <c r="W35" s="36">
        <f t="shared" si="2"/>
        <v>0</v>
      </c>
    </row>
    <row r="36" spans="1:23">
      <c r="A36" s="33" t="s">
        <v>263</v>
      </c>
      <c r="B36" s="34" t="s">
        <v>264</v>
      </c>
      <c r="C36" s="34" t="s">
        <v>256</v>
      </c>
      <c r="D36" s="42" t="s">
        <v>257</v>
      </c>
      <c r="E36" s="43"/>
      <c r="F36" s="43"/>
      <c r="G36" s="43"/>
      <c r="H36" s="43"/>
      <c r="I36" s="43"/>
      <c r="J36" s="43"/>
      <c r="K36" s="43"/>
      <c r="L36" s="43"/>
      <c r="M36" s="43"/>
      <c r="N36" s="43"/>
      <c r="O36" s="43"/>
      <c r="P36" s="43"/>
      <c r="Q36" s="43"/>
      <c r="R36" s="43"/>
      <c r="S36" s="43"/>
      <c r="T36" s="43"/>
      <c r="U36" s="43"/>
      <c r="V36" s="43"/>
      <c r="W36" s="36">
        <f t="shared" si="2"/>
        <v>0</v>
      </c>
    </row>
    <row r="37" spans="1:23">
      <c r="A37" s="33" t="s">
        <v>265</v>
      </c>
      <c r="B37" s="34" t="s">
        <v>266</v>
      </c>
      <c r="C37" s="34" t="s">
        <v>256</v>
      </c>
      <c r="D37" s="42" t="s">
        <v>257</v>
      </c>
      <c r="E37" s="43"/>
      <c r="F37" s="43"/>
      <c r="G37" s="43"/>
      <c r="H37" s="43"/>
      <c r="I37" s="43"/>
      <c r="J37" s="43"/>
      <c r="K37" s="43"/>
      <c r="L37" s="43"/>
      <c r="M37" s="43"/>
      <c r="N37" s="43"/>
      <c r="O37" s="43"/>
      <c r="P37" s="43"/>
      <c r="Q37" s="43"/>
      <c r="R37" s="43"/>
      <c r="S37" s="43"/>
      <c r="T37" s="43"/>
      <c r="U37" s="43"/>
      <c r="V37" s="43"/>
      <c r="W37" s="36">
        <f t="shared" si="2"/>
        <v>0</v>
      </c>
    </row>
    <row r="38" spans="1:23">
      <c r="A38" s="33" t="s">
        <v>267</v>
      </c>
      <c r="B38" s="34" t="s">
        <v>268</v>
      </c>
      <c r="C38" s="34" t="s">
        <v>256</v>
      </c>
      <c r="D38" s="42" t="s">
        <v>257</v>
      </c>
      <c r="E38" s="43"/>
      <c r="F38" s="43"/>
      <c r="G38" s="43"/>
      <c r="H38" s="43"/>
      <c r="I38" s="43"/>
      <c r="J38" s="43"/>
      <c r="K38" s="43"/>
      <c r="L38" s="43"/>
      <c r="M38" s="43"/>
      <c r="N38" s="43"/>
      <c r="O38" s="43"/>
      <c r="P38" s="43"/>
      <c r="Q38" s="43"/>
      <c r="R38" s="43"/>
      <c r="S38" s="43"/>
      <c r="T38" s="43"/>
      <c r="U38" s="43"/>
      <c r="V38" s="43"/>
      <c r="W38" s="36">
        <f t="shared" si="2"/>
        <v>0</v>
      </c>
    </row>
    <row r="39" spans="1:23">
      <c r="A39" s="33" t="s">
        <v>269</v>
      </c>
      <c r="B39" s="34" t="s">
        <v>270</v>
      </c>
      <c r="C39" s="34" t="s">
        <v>256</v>
      </c>
      <c r="D39" s="42" t="s">
        <v>257</v>
      </c>
      <c r="E39" s="43"/>
      <c r="F39" s="43"/>
      <c r="G39" s="43"/>
      <c r="H39" s="43"/>
      <c r="I39" s="43"/>
      <c r="J39" s="43"/>
      <c r="K39" s="43"/>
      <c r="L39" s="43"/>
      <c r="M39" s="43"/>
      <c r="N39" s="43"/>
      <c r="O39" s="43"/>
      <c r="P39" s="43"/>
      <c r="Q39" s="43"/>
      <c r="R39" s="43"/>
      <c r="S39" s="43"/>
      <c r="T39" s="43"/>
      <c r="U39" s="43"/>
      <c r="V39" s="43"/>
      <c r="W39" s="36">
        <f t="shared" si="2"/>
        <v>0</v>
      </c>
    </row>
    <row r="40" spans="1:23">
      <c r="A40" s="33" t="s">
        <v>271</v>
      </c>
      <c r="B40" s="34" t="s">
        <v>272</v>
      </c>
      <c r="C40" s="34"/>
      <c r="D40" s="35" t="s">
        <v>185</v>
      </c>
      <c r="E40" s="36">
        <f>E41</f>
        <v>0</v>
      </c>
      <c r="F40" s="36">
        <f t="shared" ref="F40:V40" si="25">F41</f>
        <v>0</v>
      </c>
      <c r="G40" s="36">
        <f t="shared" si="25"/>
        <v>0</v>
      </c>
      <c r="H40" s="36">
        <f t="shared" si="25"/>
        <v>0</v>
      </c>
      <c r="I40" s="36">
        <f t="shared" si="25"/>
        <v>0</v>
      </c>
      <c r="J40" s="36">
        <f t="shared" si="25"/>
        <v>0</v>
      </c>
      <c r="K40" s="36">
        <f t="shared" si="25"/>
        <v>0</v>
      </c>
      <c r="L40" s="36">
        <f t="shared" si="25"/>
        <v>0</v>
      </c>
      <c r="M40" s="36">
        <f t="shared" si="25"/>
        <v>0</v>
      </c>
      <c r="N40" s="36">
        <f t="shared" si="25"/>
        <v>0</v>
      </c>
      <c r="O40" s="36">
        <f t="shared" si="25"/>
        <v>0</v>
      </c>
      <c r="P40" s="36">
        <f t="shared" si="25"/>
        <v>0</v>
      </c>
      <c r="Q40" s="36">
        <f t="shared" si="25"/>
        <v>0</v>
      </c>
      <c r="R40" s="36">
        <f t="shared" si="25"/>
        <v>0</v>
      </c>
      <c r="S40" s="36">
        <f t="shared" si="25"/>
        <v>0</v>
      </c>
      <c r="T40" s="37"/>
      <c r="U40" s="37"/>
      <c r="V40" s="36">
        <f t="shared" si="25"/>
        <v>0</v>
      </c>
      <c r="W40" s="36">
        <f t="shared" si="2"/>
        <v>0</v>
      </c>
    </row>
    <row r="41" spans="1:23" s="40" customFormat="1">
      <c r="A41" s="33" t="s">
        <v>273</v>
      </c>
      <c r="B41" s="38" t="s">
        <v>274</v>
      </c>
      <c r="C41" s="38" t="s">
        <v>191</v>
      </c>
      <c r="D41" s="39" t="s">
        <v>275</v>
      </c>
      <c r="E41" s="46"/>
      <c r="F41" s="46"/>
      <c r="G41" s="46"/>
      <c r="H41" s="46"/>
      <c r="I41" s="46"/>
      <c r="J41" s="46"/>
      <c r="K41" s="46"/>
      <c r="L41" s="46"/>
      <c r="M41" s="46"/>
      <c r="N41" s="46"/>
      <c r="O41" s="46"/>
      <c r="P41" s="46"/>
      <c r="Q41" s="46"/>
      <c r="R41" s="46"/>
      <c r="S41" s="46"/>
      <c r="T41" s="46"/>
      <c r="U41" s="46"/>
      <c r="V41" s="46"/>
      <c r="W41" s="36">
        <f t="shared" si="2"/>
        <v>0</v>
      </c>
    </row>
    <row r="42" spans="1:23">
      <c r="A42" s="33" t="s">
        <v>276</v>
      </c>
      <c r="B42" s="34" t="s">
        <v>277</v>
      </c>
      <c r="C42" s="34"/>
      <c r="D42" s="35" t="s">
        <v>185</v>
      </c>
      <c r="E42" s="36">
        <f>E43+E44</f>
        <v>0</v>
      </c>
      <c r="F42" s="36">
        <f t="shared" ref="F42:V42" si="26">F43+F44</f>
        <v>0</v>
      </c>
      <c r="G42" s="36">
        <f t="shared" si="26"/>
        <v>0</v>
      </c>
      <c r="H42" s="36">
        <f t="shared" si="26"/>
        <v>0</v>
      </c>
      <c r="I42" s="36">
        <f t="shared" si="26"/>
        <v>0</v>
      </c>
      <c r="J42" s="36">
        <f t="shared" si="26"/>
        <v>0</v>
      </c>
      <c r="K42" s="36">
        <f t="shared" si="26"/>
        <v>0</v>
      </c>
      <c r="L42" s="36">
        <f t="shared" si="26"/>
        <v>0</v>
      </c>
      <c r="M42" s="36">
        <f t="shared" si="26"/>
        <v>0</v>
      </c>
      <c r="N42" s="36">
        <f t="shared" si="26"/>
        <v>0</v>
      </c>
      <c r="O42" s="36">
        <f t="shared" si="26"/>
        <v>0</v>
      </c>
      <c r="P42" s="36">
        <f t="shared" si="26"/>
        <v>0</v>
      </c>
      <c r="Q42" s="36">
        <f t="shared" si="26"/>
        <v>0</v>
      </c>
      <c r="R42" s="36">
        <f t="shared" si="26"/>
        <v>0</v>
      </c>
      <c r="S42" s="36">
        <f t="shared" si="26"/>
        <v>0</v>
      </c>
      <c r="T42" s="37"/>
      <c r="U42" s="37"/>
      <c r="V42" s="36">
        <f t="shared" si="26"/>
        <v>0</v>
      </c>
      <c r="W42" s="36">
        <f t="shared" si="2"/>
        <v>0</v>
      </c>
    </row>
    <row r="43" spans="1:23" s="40" customFormat="1">
      <c r="A43" s="33" t="s">
        <v>278</v>
      </c>
      <c r="B43" s="38" t="s">
        <v>279</v>
      </c>
      <c r="C43" s="38" t="s">
        <v>191</v>
      </c>
      <c r="D43" s="39" t="s">
        <v>262</v>
      </c>
      <c r="E43" s="46"/>
      <c r="F43" s="46"/>
      <c r="G43" s="46"/>
      <c r="H43" s="46"/>
      <c r="I43" s="46"/>
      <c r="J43" s="46"/>
      <c r="K43" s="46"/>
      <c r="L43" s="46"/>
      <c r="M43" s="46"/>
      <c r="N43" s="46"/>
      <c r="O43" s="46"/>
      <c r="P43" s="46"/>
      <c r="Q43" s="46"/>
      <c r="R43" s="46"/>
      <c r="S43" s="46"/>
      <c r="T43" s="46"/>
      <c r="U43" s="46"/>
      <c r="V43" s="46"/>
      <c r="W43" s="36">
        <f t="shared" si="2"/>
        <v>0</v>
      </c>
    </row>
    <row r="44" spans="1:23" s="40" customFormat="1">
      <c r="A44" s="33" t="s">
        <v>280</v>
      </c>
      <c r="B44" s="38" t="s">
        <v>281</v>
      </c>
      <c r="C44" s="38" t="s">
        <v>191</v>
      </c>
      <c r="D44" s="39" t="s">
        <v>262</v>
      </c>
      <c r="E44" s="46"/>
      <c r="F44" s="46"/>
      <c r="G44" s="46"/>
      <c r="H44" s="46"/>
      <c r="I44" s="46"/>
      <c r="J44" s="46"/>
      <c r="K44" s="46"/>
      <c r="L44" s="46"/>
      <c r="M44" s="46"/>
      <c r="N44" s="46"/>
      <c r="O44" s="46"/>
      <c r="P44" s="46"/>
      <c r="Q44" s="46"/>
      <c r="R44" s="46"/>
      <c r="S44" s="46"/>
      <c r="T44" s="46"/>
      <c r="U44" s="46"/>
      <c r="V44" s="46"/>
      <c r="W44" s="36">
        <f t="shared" si="2"/>
        <v>0</v>
      </c>
    </row>
    <row r="45" spans="1:23">
      <c r="A45" s="33" t="s">
        <v>282</v>
      </c>
      <c r="B45" s="34" t="s">
        <v>283</v>
      </c>
      <c r="C45" s="34"/>
      <c r="D45" s="35" t="s">
        <v>185</v>
      </c>
      <c r="E45" s="36">
        <f>E46</f>
        <v>5400</v>
      </c>
      <c r="F45" s="36">
        <f t="shared" ref="F45:V45" si="27">F46</f>
        <v>5040</v>
      </c>
      <c r="G45" s="36">
        <f t="shared" si="27"/>
        <v>7560</v>
      </c>
      <c r="H45" s="36">
        <f t="shared" si="27"/>
        <v>5400</v>
      </c>
      <c r="I45" s="36">
        <f t="shared" si="27"/>
        <v>1440</v>
      </c>
      <c r="J45" s="36">
        <f t="shared" si="27"/>
        <v>1800</v>
      </c>
      <c r="K45" s="36">
        <f t="shared" si="27"/>
        <v>3960</v>
      </c>
      <c r="L45" s="36">
        <f t="shared" si="27"/>
        <v>2520</v>
      </c>
      <c r="M45" s="36">
        <f t="shared" si="27"/>
        <v>5760</v>
      </c>
      <c r="N45" s="36">
        <f t="shared" si="27"/>
        <v>6840</v>
      </c>
      <c r="O45" s="36">
        <f t="shared" si="27"/>
        <v>5400</v>
      </c>
      <c r="P45" s="36">
        <f t="shared" si="27"/>
        <v>5400</v>
      </c>
      <c r="Q45" s="36">
        <f t="shared" si="27"/>
        <v>2520</v>
      </c>
      <c r="R45" s="36">
        <f t="shared" si="27"/>
        <v>3240</v>
      </c>
      <c r="S45" s="36">
        <f t="shared" si="27"/>
        <v>3240</v>
      </c>
      <c r="T45" s="37">
        <f t="shared" si="27"/>
        <v>4680</v>
      </c>
      <c r="U45" s="37">
        <f t="shared" si="27"/>
        <v>360</v>
      </c>
      <c r="V45" s="36">
        <f t="shared" si="27"/>
        <v>0</v>
      </c>
      <c r="W45" s="36">
        <f t="shared" si="2"/>
        <v>70560</v>
      </c>
    </row>
    <row r="46" spans="1:23">
      <c r="A46" s="33" t="s">
        <v>284</v>
      </c>
      <c r="B46" s="34" t="s">
        <v>285</v>
      </c>
      <c r="C46" s="34" t="s">
        <v>191</v>
      </c>
      <c r="D46" s="35" t="s">
        <v>192</v>
      </c>
      <c r="E46" s="37">
        <v>5400</v>
      </c>
      <c r="F46" s="37">
        <v>5040</v>
      </c>
      <c r="G46" s="37">
        <v>7560</v>
      </c>
      <c r="H46" s="37">
        <v>5400</v>
      </c>
      <c r="I46" s="37">
        <v>1440</v>
      </c>
      <c r="J46" s="37">
        <v>1800</v>
      </c>
      <c r="K46" s="37">
        <v>3960</v>
      </c>
      <c r="L46" s="37">
        <v>2520</v>
      </c>
      <c r="M46" s="37">
        <v>5760</v>
      </c>
      <c r="N46" s="37">
        <v>6840</v>
      </c>
      <c r="O46" s="37">
        <v>5400</v>
      </c>
      <c r="P46" s="37">
        <v>5400</v>
      </c>
      <c r="Q46" s="37">
        <v>2520</v>
      </c>
      <c r="R46" s="37">
        <v>3240</v>
      </c>
      <c r="S46" s="37">
        <v>3240</v>
      </c>
      <c r="T46" s="37">
        <v>4680</v>
      </c>
      <c r="U46" s="37">
        <v>360</v>
      </c>
      <c r="V46" s="37"/>
      <c r="W46" s="36">
        <f t="shared" si="2"/>
        <v>70560</v>
      </c>
    </row>
    <row r="47" spans="1:23">
      <c r="A47" s="33" t="s">
        <v>286</v>
      </c>
      <c r="B47" s="34" t="s">
        <v>287</v>
      </c>
      <c r="C47" s="34"/>
      <c r="D47" s="35" t="s">
        <v>185</v>
      </c>
      <c r="E47" s="36">
        <f>SUM(E48:E51)</f>
        <v>3000</v>
      </c>
      <c r="F47" s="36">
        <f t="shared" ref="F47:V47" si="28">SUM(F48:F51)</f>
        <v>7200</v>
      </c>
      <c r="G47" s="36">
        <f t="shared" si="28"/>
        <v>7200</v>
      </c>
      <c r="H47" s="36">
        <f t="shared" si="28"/>
        <v>5400</v>
      </c>
      <c r="I47" s="36">
        <f t="shared" si="28"/>
        <v>3600</v>
      </c>
      <c r="J47" s="36">
        <f t="shared" si="28"/>
        <v>5400</v>
      </c>
      <c r="K47" s="36">
        <f t="shared" si="28"/>
        <v>8400</v>
      </c>
      <c r="L47" s="36">
        <f t="shared" si="28"/>
        <v>45451.199999999997</v>
      </c>
      <c r="M47" s="36">
        <f t="shared" si="28"/>
        <v>9600</v>
      </c>
      <c r="N47" s="36">
        <f t="shared" si="28"/>
        <v>6000</v>
      </c>
      <c r="O47" s="36">
        <f t="shared" si="28"/>
        <v>4200</v>
      </c>
      <c r="P47" s="36">
        <f t="shared" si="28"/>
        <v>7800</v>
      </c>
      <c r="Q47" s="36">
        <f t="shared" si="28"/>
        <v>1800</v>
      </c>
      <c r="R47" s="36">
        <f t="shared" si="28"/>
        <v>6600</v>
      </c>
      <c r="S47" s="36">
        <f t="shared" si="28"/>
        <v>1800</v>
      </c>
      <c r="T47" s="37">
        <f t="shared" si="28"/>
        <v>3600</v>
      </c>
      <c r="U47" s="37">
        <f t="shared" si="28"/>
        <v>0</v>
      </c>
      <c r="V47" s="36">
        <f t="shared" si="28"/>
        <v>1200</v>
      </c>
      <c r="W47" s="36">
        <f t="shared" si="2"/>
        <v>128251.2</v>
      </c>
    </row>
    <row r="48" spans="1:23">
      <c r="A48" s="33" t="s">
        <v>288</v>
      </c>
      <c r="B48" s="34" t="s">
        <v>289</v>
      </c>
      <c r="C48" s="34" t="s">
        <v>191</v>
      </c>
      <c r="D48" s="35" t="s">
        <v>290</v>
      </c>
      <c r="E48" s="37">
        <v>3000</v>
      </c>
      <c r="F48" s="37">
        <v>7200</v>
      </c>
      <c r="G48" s="37">
        <v>7200</v>
      </c>
      <c r="H48" s="37">
        <v>5400</v>
      </c>
      <c r="I48" s="37">
        <v>3600</v>
      </c>
      <c r="J48" s="37">
        <v>5400</v>
      </c>
      <c r="K48" s="37">
        <v>8400</v>
      </c>
      <c r="L48" s="37">
        <v>6600</v>
      </c>
      <c r="M48" s="37">
        <v>9600</v>
      </c>
      <c r="N48" s="37">
        <v>6000</v>
      </c>
      <c r="O48" s="37">
        <v>4200</v>
      </c>
      <c r="P48" s="37">
        <v>7800</v>
      </c>
      <c r="Q48" s="37">
        <v>1800</v>
      </c>
      <c r="R48" s="37">
        <v>6600</v>
      </c>
      <c r="S48" s="37">
        <v>1800</v>
      </c>
      <c r="T48" s="37">
        <v>3600</v>
      </c>
      <c r="U48" s="37"/>
      <c r="V48" s="37">
        <v>1200</v>
      </c>
      <c r="W48" s="36">
        <f t="shared" si="2"/>
        <v>89400</v>
      </c>
    </row>
    <row r="49" spans="1:23" s="40" customFormat="1">
      <c r="A49" s="33" t="s">
        <v>291</v>
      </c>
      <c r="B49" s="38" t="s">
        <v>292</v>
      </c>
      <c r="C49" s="38" t="s">
        <v>191</v>
      </c>
      <c r="D49" s="39" t="s">
        <v>293</v>
      </c>
      <c r="E49" s="46"/>
      <c r="F49" s="46"/>
      <c r="G49" s="46"/>
      <c r="H49" s="46"/>
      <c r="I49" s="46"/>
      <c r="J49" s="46"/>
      <c r="K49" s="46"/>
      <c r="L49" s="46"/>
      <c r="M49" s="46"/>
      <c r="N49" s="46"/>
      <c r="O49" s="46"/>
      <c r="P49" s="46"/>
      <c r="Q49" s="46"/>
      <c r="R49" s="46"/>
      <c r="S49" s="46"/>
      <c r="T49" s="46"/>
      <c r="U49" s="46"/>
      <c r="V49" s="46"/>
      <c r="W49" s="36">
        <f t="shared" si="2"/>
        <v>0</v>
      </c>
    </row>
    <row r="50" spans="1:23" s="40" customFormat="1">
      <c r="A50" s="33" t="s">
        <v>294</v>
      </c>
      <c r="B50" s="38" t="s">
        <v>295</v>
      </c>
      <c r="C50" s="38" t="s">
        <v>191</v>
      </c>
      <c r="D50" s="39" t="s">
        <v>293</v>
      </c>
      <c r="E50" s="46"/>
      <c r="F50" s="46"/>
      <c r="G50" s="46"/>
      <c r="H50" s="46"/>
      <c r="I50" s="46"/>
      <c r="J50" s="46"/>
      <c r="K50" s="46"/>
      <c r="L50" s="46"/>
      <c r="M50" s="46"/>
      <c r="N50" s="46"/>
      <c r="O50" s="46"/>
      <c r="P50" s="46"/>
      <c r="Q50" s="46"/>
      <c r="R50" s="46"/>
      <c r="S50" s="46"/>
      <c r="T50" s="46"/>
      <c r="U50" s="46"/>
      <c r="V50" s="46"/>
      <c r="W50" s="36">
        <f t="shared" si="2"/>
        <v>0</v>
      </c>
    </row>
    <row r="51" spans="1:23" ht="33.75">
      <c r="A51" s="33" t="s">
        <v>296</v>
      </c>
      <c r="B51" s="34" t="s">
        <v>297</v>
      </c>
      <c r="C51" s="34" t="s">
        <v>191</v>
      </c>
      <c r="D51" s="42" t="s">
        <v>298</v>
      </c>
      <c r="E51" s="43"/>
      <c r="F51" s="43"/>
      <c r="G51" s="43"/>
      <c r="H51" s="43"/>
      <c r="I51" s="43"/>
      <c r="J51" s="43"/>
      <c r="K51" s="43"/>
      <c r="L51" s="43">
        <v>38851.199999999997</v>
      </c>
      <c r="M51" s="43"/>
      <c r="N51" s="43"/>
      <c r="O51" s="43"/>
      <c r="P51" s="43"/>
      <c r="Q51" s="43"/>
      <c r="R51" s="43"/>
      <c r="S51" s="43"/>
      <c r="T51" s="43"/>
      <c r="U51" s="43"/>
      <c r="V51" s="43"/>
      <c r="W51" s="36">
        <f t="shared" si="2"/>
        <v>38851.199999999997</v>
      </c>
    </row>
    <row r="52" spans="1:23">
      <c r="A52" s="33" t="s">
        <v>299</v>
      </c>
      <c r="B52" s="34" t="s">
        <v>300</v>
      </c>
      <c r="C52" s="34"/>
      <c r="D52" s="35" t="s">
        <v>185</v>
      </c>
      <c r="E52" s="36">
        <f>E53+E71+E73+E75+E77+E79+E81+E83+E85+E93</f>
        <v>2850683.6500000004</v>
      </c>
      <c r="F52" s="36">
        <f t="shared" ref="F52:V52" si="29">F53+F71+F73+F75+F77+F79+F81+F83+F85+F93</f>
        <v>2867201.8000000003</v>
      </c>
      <c r="G52" s="36">
        <f t="shared" si="29"/>
        <v>2636507.96</v>
      </c>
      <c r="H52" s="36">
        <f t="shared" si="29"/>
        <v>3243435.2</v>
      </c>
      <c r="I52" s="36">
        <f t="shared" si="29"/>
        <v>2111457.6500000004</v>
      </c>
      <c r="J52" s="36">
        <f t="shared" si="29"/>
        <v>4566123.3499999996</v>
      </c>
      <c r="K52" s="36">
        <f t="shared" si="29"/>
        <v>2867368</v>
      </c>
      <c r="L52" s="36">
        <f t="shared" si="29"/>
        <v>3065513.25</v>
      </c>
      <c r="M52" s="36">
        <f t="shared" si="29"/>
        <v>5700279.7999999998</v>
      </c>
      <c r="N52" s="36">
        <f t="shared" si="29"/>
        <v>2802948.3</v>
      </c>
      <c r="O52" s="36">
        <f t="shared" si="29"/>
        <v>1975352.55</v>
      </c>
      <c r="P52" s="36">
        <f t="shared" si="29"/>
        <v>3182002.08</v>
      </c>
      <c r="Q52" s="36">
        <f t="shared" si="29"/>
        <v>1138683.2999999998</v>
      </c>
      <c r="R52" s="36">
        <f t="shared" si="29"/>
        <v>2436572.02</v>
      </c>
      <c r="S52" s="36">
        <f t="shared" si="29"/>
        <v>1125829.8499999999</v>
      </c>
      <c r="T52" s="37">
        <f t="shared" si="29"/>
        <v>1820863.9</v>
      </c>
      <c r="U52" s="37">
        <f t="shared" si="29"/>
        <v>986101.2</v>
      </c>
      <c r="V52" s="36">
        <f t="shared" si="29"/>
        <v>216740.8</v>
      </c>
      <c r="W52" s="36">
        <f t="shared" si="2"/>
        <v>45593664.659999996</v>
      </c>
    </row>
    <row r="53" spans="1:23">
      <c r="A53" s="33" t="s">
        <v>301</v>
      </c>
      <c r="B53" s="34" t="s">
        <v>302</v>
      </c>
      <c r="C53" s="34"/>
      <c r="D53" s="35" t="s">
        <v>303</v>
      </c>
      <c r="E53" s="36">
        <f>SUM(E54:E70)</f>
        <v>1714950</v>
      </c>
      <c r="F53" s="36">
        <f t="shared" ref="F53:V53" si="30">SUM(F54:F70)</f>
        <v>1856480</v>
      </c>
      <c r="G53" s="36">
        <f t="shared" si="30"/>
        <v>1700830</v>
      </c>
      <c r="H53" s="36">
        <f t="shared" si="30"/>
        <v>2337550</v>
      </c>
      <c r="I53" s="36">
        <f t="shared" si="30"/>
        <v>1614000</v>
      </c>
      <c r="J53" s="36">
        <f t="shared" si="30"/>
        <v>3239580</v>
      </c>
      <c r="K53" s="36">
        <f t="shared" si="30"/>
        <v>1614000</v>
      </c>
      <c r="L53" s="36">
        <f t="shared" si="30"/>
        <v>2185100</v>
      </c>
      <c r="M53" s="36">
        <f t="shared" si="30"/>
        <v>4167630</v>
      </c>
      <c r="N53" s="36">
        <f t="shared" si="30"/>
        <v>2000820</v>
      </c>
      <c r="O53" s="36">
        <f t="shared" si="30"/>
        <v>1415120</v>
      </c>
      <c r="P53" s="36">
        <f t="shared" si="30"/>
        <v>2425920</v>
      </c>
      <c r="Q53" s="36">
        <f t="shared" si="30"/>
        <v>798000</v>
      </c>
      <c r="R53" s="36">
        <f t="shared" si="30"/>
        <v>1779540</v>
      </c>
      <c r="S53" s="36">
        <f t="shared" si="30"/>
        <v>803820</v>
      </c>
      <c r="T53" s="37">
        <f t="shared" si="30"/>
        <v>1347460</v>
      </c>
      <c r="U53" s="37">
        <f t="shared" si="30"/>
        <v>798000</v>
      </c>
      <c r="V53" s="36">
        <f t="shared" si="30"/>
        <v>128000</v>
      </c>
      <c r="W53" s="36">
        <f t="shared" si="2"/>
        <v>31926800</v>
      </c>
    </row>
    <row r="54" spans="1:23">
      <c r="A54" s="33" t="s">
        <v>304</v>
      </c>
      <c r="B54" s="34" t="s">
        <v>305</v>
      </c>
      <c r="C54" s="34" t="s">
        <v>191</v>
      </c>
      <c r="D54" s="47"/>
      <c r="E54" s="37">
        <v>1635145.5</v>
      </c>
      <c r="F54" s="37">
        <v>1763656</v>
      </c>
      <c r="G54" s="37">
        <v>1615788.5</v>
      </c>
      <c r="H54" s="37">
        <v>2220672.5</v>
      </c>
      <c r="I54" s="37">
        <v>1597322</v>
      </c>
      <c r="J54" s="37">
        <v>3133418.5</v>
      </c>
      <c r="K54" s="37">
        <v>1540159.5</v>
      </c>
      <c r="L54" s="37">
        <v>2075845</v>
      </c>
      <c r="M54" s="37">
        <v>3959248.5</v>
      </c>
      <c r="N54" s="37">
        <v>1908094</v>
      </c>
      <c r="O54" s="37">
        <v>1344364</v>
      </c>
      <c r="P54" s="37">
        <v>2305555</v>
      </c>
      <c r="Q54" s="37">
        <v>758632</v>
      </c>
      <c r="R54" s="37">
        <v>1695617</v>
      </c>
      <c r="S54" s="37">
        <v>764161</v>
      </c>
      <c r="T54" s="37">
        <v>1299904</v>
      </c>
      <c r="U54" s="37">
        <v>784833</v>
      </c>
      <c r="V54" s="37">
        <v>121600</v>
      </c>
      <c r="W54" s="36">
        <f t="shared" si="2"/>
        <v>30524016</v>
      </c>
    </row>
    <row r="55" spans="1:23">
      <c r="A55" s="33" t="s">
        <v>306</v>
      </c>
      <c r="B55" s="34" t="s">
        <v>307</v>
      </c>
      <c r="C55" s="34" t="s">
        <v>191</v>
      </c>
      <c r="D55" s="47"/>
      <c r="E55" s="37"/>
      <c r="F55" s="37"/>
      <c r="G55" s="37"/>
      <c r="H55" s="37"/>
      <c r="I55" s="37"/>
      <c r="J55" s="37"/>
      <c r="K55" s="37"/>
      <c r="L55" s="37"/>
      <c r="M55" s="37"/>
      <c r="N55" s="37"/>
      <c r="O55" s="37"/>
      <c r="P55" s="37"/>
      <c r="Q55" s="37"/>
      <c r="R55" s="37"/>
      <c r="S55" s="37"/>
      <c r="T55" s="37"/>
      <c r="U55" s="37"/>
      <c r="V55" s="37"/>
      <c r="W55" s="36">
        <f t="shared" si="2"/>
        <v>0</v>
      </c>
    </row>
    <row r="56" spans="1:23">
      <c r="A56" s="33" t="s">
        <v>308</v>
      </c>
      <c r="B56" s="34" t="s">
        <v>309</v>
      </c>
      <c r="C56" s="34" t="s">
        <v>191</v>
      </c>
      <c r="D56" s="47"/>
      <c r="E56" s="37"/>
      <c r="F56" s="37"/>
      <c r="G56" s="37"/>
      <c r="H56" s="37"/>
      <c r="I56" s="37"/>
      <c r="J56" s="37"/>
      <c r="K56" s="37"/>
      <c r="L56" s="37"/>
      <c r="M56" s="37"/>
      <c r="N56" s="37"/>
      <c r="O56" s="37"/>
      <c r="P56" s="37"/>
      <c r="Q56" s="37"/>
      <c r="R56" s="37"/>
      <c r="S56" s="37"/>
      <c r="T56" s="37"/>
      <c r="U56" s="37"/>
      <c r="V56" s="37"/>
      <c r="W56" s="36">
        <f t="shared" si="2"/>
        <v>0</v>
      </c>
    </row>
    <row r="57" spans="1:23">
      <c r="A57" s="33" t="s">
        <v>310</v>
      </c>
      <c r="B57" s="34" t="s">
        <v>311</v>
      </c>
      <c r="C57" s="34" t="s">
        <v>191</v>
      </c>
      <c r="D57" s="47"/>
      <c r="E57" s="37"/>
      <c r="F57" s="37"/>
      <c r="G57" s="37"/>
      <c r="H57" s="37"/>
      <c r="I57" s="37"/>
      <c r="J57" s="37"/>
      <c r="K57" s="37"/>
      <c r="L57" s="37"/>
      <c r="M57" s="37"/>
      <c r="N57" s="37"/>
      <c r="O57" s="37"/>
      <c r="P57" s="37"/>
      <c r="Q57" s="37"/>
      <c r="R57" s="37"/>
      <c r="S57" s="37"/>
      <c r="T57" s="37"/>
      <c r="U57" s="37"/>
      <c r="V57" s="37"/>
      <c r="W57" s="36">
        <f t="shared" si="2"/>
        <v>0</v>
      </c>
    </row>
    <row r="58" spans="1:23">
      <c r="A58" s="33" t="s">
        <v>312</v>
      </c>
      <c r="B58" s="34" t="s">
        <v>313</v>
      </c>
      <c r="C58" s="34" t="s">
        <v>191</v>
      </c>
      <c r="D58" s="47"/>
      <c r="E58" s="37"/>
      <c r="F58" s="37"/>
      <c r="G58" s="37"/>
      <c r="H58" s="37"/>
      <c r="I58" s="37"/>
      <c r="J58" s="37"/>
      <c r="K58" s="37"/>
      <c r="L58" s="37"/>
      <c r="M58" s="37"/>
      <c r="N58" s="37"/>
      <c r="O58" s="37"/>
      <c r="P58" s="37"/>
      <c r="Q58" s="37"/>
      <c r="R58" s="37"/>
      <c r="S58" s="37"/>
      <c r="T58" s="37"/>
      <c r="U58" s="37"/>
      <c r="V58" s="37"/>
      <c r="W58" s="36">
        <f t="shared" si="2"/>
        <v>0</v>
      </c>
    </row>
    <row r="59" spans="1:23">
      <c r="A59" s="33" t="s">
        <v>314</v>
      </c>
      <c r="B59" s="34" t="s">
        <v>315</v>
      </c>
      <c r="C59" s="34" t="s">
        <v>191</v>
      </c>
      <c r="D59" s="47"/>
      <c r="E59" s="37"/>
      <c r="F59" s="37"/>
      <c r="G59" s="37"/>
      <c r="H59" s="37"/>
      <c r="I59" s="37"/>
      <c r="J59" s="37"/>
      <c r="K59" s="37"/>
      <c r="L59" s="37"/>
      <c r="M59" s="37"/>
      <c r="N59" s="37"/>
      <c r="O59" s="37"/>
      <c r="P59" s="37"/>
      <c r="Q59" s="37"/>
      <c r="R59" s="37"/>
      <c r="S59" s="37"/>
      <c r="T59" s="37"/>
      <c r="U59" s="37"/>
      <c r="V59" s="37"/>
      <c r="W59" s="36">
        <f t="shared" si="2"/>
        <v>0</v>
      </c>
    </row>
    <row r="60" spans="1:23">
      <c r="A60" s="33" t="s">
        <v>316</v>
      </c>
      <c r="B60" s="34" t="s">
        <v>317</v>
      </c>
      <c r="C60" s="34" t="s">
        <v>191</v>
      </c>
      <c r="D60" s="47"/>
      <c r="E60" s="37"/>
      <c r="F60" s="37"/>
      <c r="G60" s="37"/>
      <c r="H60" s="37"/>
      <c r="I60" s="37"/>
      <c r="J60" s="37"/>
      <c r="K60" s="37"/>
      <c r="L60" s="37"/>
      <c r="M60" s="37"/>
      <c r="N60" s="37"/>
      <c r="O60" s="37"/>
      <c r="P60" s="37"/>
      <c r="Q60" s="37"/>
      <c r="R60" s="37"/>
      <c r="S60" s="37"/>
      <c r="T60" s="37"/>
      <c r="U60" s="37"/>
      <c r="V60" s="37"/>
      <c r="W60" s="36">
        <f t="shared" si="2"/>
        <v>0</v>
      </c>
    </row>
    <row r="61" spans="1:23">
      <c r="A61" s="33" t="s">
        <v>318</v>
      </c>
      <c r="B61" s="34" t="s">
        <v>319</v>
      </c>
      <c r="C61" s="34" t="s">
        <v>191</v>
      </c>
      <c r="D61" s="47"/>
      <c r="E61" s="37"/>
      <c r="F61" s="37"/>
      <c r="G61" s="37"/>
      <c r="H61" s="37"/>
      <c r="I61" s="37"/>
      <c r="J61" s="37"/>
      <c r="K61" s="37"/>
      <c r="L61" s="37"/>
      <c r="M61" s="37"/>
      <c r="N61" s="37"/>
      <c r="O61" s="37"/>
      <c r="P61" s="37"/>
      <c r="Q61" s="37"/>
      <c r="R61" s="37"/>
      <c r="S61" s="37"/>
      <c r="T61" s="37"/>
      <c r="U61" s="37"/>
      <c r="V61" s="37"/>
      <c r="W61" s="36">
        <f t="shared" si="2"/>
        <v>0</v>
      </c>
    </row>
    <row r="62" spans="1:23">
      <c r="A62" s="33" t="s">
        <v>320</v>
      </c>
      <c r="B62" s="34" t="s">
        <v>321</v>
      </c>
      <c r="C62" s="34" t="s">
        <v>191</v>
      </c>
      <c r="D62" s="47"/>
      <c r="E62" s="37"/>
      <c r="F62" s="37"/>
      <c r="G62" s="37"/>
      <c r="H62" s="37"/>
      <c r="I62" s="37"/>
      <c r="J62" s="37"/>
      <c r="K62" s="37"/>
      <c r="L62" s="37"/>
      <c r="M62" s="37"/>
      <c r="N62" s="37"/>
      <c r="O62" s="37"/>
      <c r="P62" s="37"/>
      <c r="Q62" s="37"/>
      <c r="R62" s="37"/>
      <c r="S62" s="37"/>
      <c r="T62" s="37"/>
      <c r="U62" s="37"/>
      <c r="V62" s="37"/>
      <c r="W62" s="36">
        <f t="shared" si="2"/>
        <v>0</v>
      </c>
    </row>
    <row r="63" spans="1:23">
      <c r="A63" s="33" t="s">
        <v>322</v>
      </c>
      <c r="B63" s="34" t="s">
        <v>323</v>
      </c>
      <c r="C63" s="34" t="s">
        <v>324</v>
      </c>
      <c r="D63" s="47" t="s">
        <v>325</v>
      </c>
      <c r="E63" s="37">
        <v>79804.5</v>
      </c>
      <c r="F63" s="37">
        <v>92824</v>
      </c>
      <c r="G63" s="37">
        <v>85041.5</v>
      </c>
      <c r="H63" s="37">
        <v>116877.5</v>
      </c>
      <c r="I63" s="37">
        <v>16678</v>
      </c>
      <c r="J63" s="37">
        <v>106161.5</v>
      </c>
      <c r="K63" s="37">
        <v>73840.5</v>
      </c>
      <c r="L63" s="37">
        <v>109255</v>
      </c>
      <c r="M63" s="37">
        <v>208381.5</v>
      </c>
      <c r="N63" s="37">
        <v>92726</v>
      </c>
      <c r="O63" s="37">
        <v>70756</v>
      </c>
      <c r="P63" s="37">
        <v>120365</v>
      </c>
      <c r="Q63" s="37">
        <v>39368</v>
      </c>
      <c r="R63" s="37">
        <v>83923</v>
      </c>
      <c r="S63" s="37">
        <v>39659</v>
      </c>
      <c r="T63" s="37">
        <v>47556</v>
      </c>
      <c r="U63" s="37">
        <v>13167</v>
      </c>
      <c r="V63" s="37">
        <v>6400</v>
      </c>
      <c r="W63" s="36">
        <f t="shared" si="2"/>
        <v>1402784</v>
      </c>
    </row>
    <row r="64" spans="1:23">
      <c r="A64" s="33" t="s">
        <v>326</v>
      </c>
      <c r="B64" s="34" t="s">
        <v>327</v>
      </c>
      <c r="C64" s="34" t="s">
        <v>191</v>
      </c>
      <c r="D64" s="47"/>
      <c r="E64" s="37"/>
      <c r="F64" s="37"/>
      <c r="G64" s="37"/>
      <c r="H64" s="37"/>
      <c r="I64" s="37"/>
      <c r="J64" s="37"/>
      <c r="K64" s="37"/>
      <c r="L64" s="37"/>
      <c r="M64" s="37"/>
      <c r="N64" s="37"/>
      <c r="O64" s="37"/>
      <c r="P64" s="37"/>
      <c r="Q64" s="37"/>
      <c r="R64" s="37"/>
      <c r="S64" s="37"/>
      <c r="T64" s="37"/>
      <c r="U64" s="37"/>
      <c r="V64" s="37"/>
      <c r="W64" s="36">
        <f t="shared" si="2"/>
        <v>0</v>
      </c>
    </row>
    <row r="65" spans="1:23">
      <c r="A65" s="33" t="s">
        <v>328</v>
      </c>
      <c r="B65" s="34" t="s">
        <v>329</v>
      </c>
      <c r="C65" s="34" t="s">
        <v>191</v>
      </c>
      <c r="D65" s="47"/>
      <c r="E65" s="37"/>
      <c r="F65" s="37"/>
      <c r="G65" s="37"/>
      <c r="H65" s="37"/>
      <c r="I65" s="37"/>
      <c r="J65" s="37"/>
      <c r="K65" s="37"/>
      <c r="L65" s="37"/>
      <c r="M65" s="37"/>
      <c r="N65" s="37"/>
      <c r="O65" s="37"/>
      <c r="P65" s="37"/>
      <c r="Q65" s="37"/>
      <c r="R65" s="37"/>
      <c r="S65" s="37"/>
      <c r="T65" s="37"/>
      <c r="U65" s="37"/>
      <c r="V65" s="37"/>
      <c r="W65" s="36">
        <f t="shared" si="2"/>
        <v>0</v>
      </c>
    </row>
    <row r="66" spans="1:23">
      <c r="A66" s="33" t="s">
        <v>330</v>
      </c>
      <c r="B66" s="34" t="s">
        <v>331</v>
      </c>
      <c r="C66" s="34" t="s">
        <v>191</v>
      </c>
      <c r="D66" s="47"/>
      <c r="E66" s="37"/>
      <c r="F66" s="37"/>
      <c r="G66" s="37"/>
      <c r="H66" s="37"/>
      <c r="I66" s="37"/>
      <c r="J66" s="37"/>
      <c r="K66" s="37"/>
      <c r="L66" s="37"/>
      <c r="M66" s="37"/>
      <c r="N66" s="37"/>
      <c r="O66" s="37"/>
      <c r="P66" s="37"/>
      <c r="Q66" s="37"/>
      <c r="R66" s="37"/>
      <c r="S66" s="37"/>
      <c r="T66" s="37"/>
      <c r="U66" s="37"/>
      <c r="V66" s="37"/>
      <c r="W66" s="36">
        <f t="shared" si="2"/>
        <v>0</v>
      </c>
    </row>
    <row r="67" spans="1:23">
      <c r="A67" s="33" t="s">
        <v>332</v>
      </c>
      <c r="B67" s="34" t="s">
        <v>333</v>
      </c>
      <c r="C67" s="34" t="s">
        <v>191</v>
      </c>
      <c r="D67" s="47"/>
      <c r="E67" s="37"/>
      <c r="F67" s="37"/>
      <c r="G67" s="37"/>
      <c r="H67" s="37"/>
      <c r="I67" s="37"/>
      <c r="J67" s="37"/>
      <c r="K67" s="37"/>
      <c r="L67" s="37"/>
      <c r="M67" s="37"/>
      <c r="N67" s="37"/>
      <c r="O67" s="37"/>
      <c r="P67" s="37"/>
      <c r="Q67" s="37"/>
      <c r="R67" s="37"/>
      <c r="S67" s="37"/>
      <c r="T67" s="37"/>
      <c r="U67" s="37"/>
      <c r="V67" s="37"/>
      <c r="W67" s="36">
        <f t="shared" si="2"/>
        <v>0</v>
      </c>
    </row>
    <row r="68" spans="1:23">
      <c r="A68" s="33" t="s">
        <v>334</v>
      </c>
      <c r="B68" s="34" t="s">
        <v>335</v>
      </c>
      <c r="C68" s="34" t="s">
        <v>191</v>
      </c>
      <c r="D68" s="47"/>
      <c r="E68" s="37"/>
      <c r="F68" s="37"/>
      <c r="G68" s="37"/>
      <c r="H68" s="37"/>
      <c r="I68" s="37"/>
      <c r="J68" s="37"/>
      <c r="K68" s="37"/>
      <c r="L68" s="37"/>
      <c r="M68" s="37"/>
      <c r="N68" s="37"/>
      <c r="O68" s="37"/>
      <c r="P68" s="37"/>
      <c r="Q68" s="37"/>
      <c r="R68" s="37"/>
      <c r="S68" s="37"/>
      <c r="T68" s="37"/>
      <c r="U68" s="37"/>
      <c r="V68" s="37"/>
      <c r="W68" s="36">
        <f t="shared" ref="W68:W109" si="31">SUM(E68:V68)</f>
        <v>0</v>
      </c>
    </row>
    <row r="69" spans="1:23">
      <c r="A69" s="33" t="s">
        <v>336</v>
      </c>
      <c r="B69" s="34" t="s">
        <v>337</v>
      </c>
      <c r="C69" s="34" t="s">
        <v>191</v>
      </c>
      <c r="D69" s="47"/>
      <c r="E69" s="37"/>
      <c r="F69" s="37"/>
      <c r="G69" s="37"/>
      <c r="H69" s="37"/>
      <c r="I69" s="37"/>
      <c r="J69" s="37"/>
      <c r="K69" s="37"/>
      <c r="L69" s="37"/>
      <c r="M69" s="37"/>
      <c r="N69" s="37"/>
      <c r="O69" s="37"/>
      <c r="P69" s="37"/>
      <c r="Q69" s="37"/>
      <c r="R69" s="37"/>
      <c r="S69" s="37"/>
      <c r="T69" s="37"/>
      <c r="U69" s="37"/>
      <c r="V69" s="37"/>
      <c r="W69" s="36">
        <f t="shared" si="31"/>
        <v>0</v>
      </c>
    </row>
    <row r="70" spans="1:23">
      <c r="A70" s="33" t="s">
        <v>338</v>
      </c>
      <c r="B70" s="34" t="s">
        <v>339</v>
      </c>
      <c r="C70" s="34" t="s">
        <v>191</v>
      </c>
      <c r="D70" s="47"/>
      <c r="E70" s="37"/>
      <c r="F70" s="37"/>
      <c r="G70" s="37"/>
      <c r="H70" s="37"/>
      <c r="I70" s="37"/>
      <c r="J70" s="37"/>
      <c r="K70" s="37"/>
      <c r="L70" s="37"/>
      <c r="M70" s="37"/>
      <c r="N70" s="37"/>
      <c r="O70" s="37"/>
      <c r="P70" s="37"/>
      <c r="Q70" s="37"/>
      <c r="R70" s="37"/>
      <c r="S70" s="37"/>
      <c r="T70" s="37"/>
      <c r="U70" s="37"/>
      <c r="V70" s="37"/>
      <c r="W70" s="36">
        <f t="shared" si="31"/>
        <v>0</v>
      </c>
    </row>
    <row r="71" spans="1:23">
      <c r="A71" s="33" t="s">
        <v>340</v>
      </c>
      <c r="B71" s="34" t="s">
        <v>341</v>
      </c>
      <c r="C71" s="34"/>
      <c r="D71" s="35"/>
      <c r="E71" s="36">
        <f>E72</f>
        <v>26800</v>
      </c>
      <c r="F71" s="36">
        <f t="shared" ref="F71:V71" si="32">F72</f>
        <v>26800</v>
      </c>
      <c r="G71" s="36">
        <f t="shared" si="32"/>
        <v>27600</v>
      </c>
      <c r="H71" s="36">
        <f t="shared" si="32"/>
        <v>26400</v>
      </c>
      <c r="I71" s="36">
        <f t="shared" si="32"/>
        <v>7200</v>
      </c>
      <c r="J71" s="36">
        <f t="shared" si="32"/>
        <v>30000</v>
      </c>
      <c r="K71" s="36">
        <f t="shared" si="32"/>
        <v>34400</v>
      </c>
      <c r="L71" s="36">
        <f t="shared" si="32"/>
        <v>26800</v>
      </c>
      <c r="M71" s="36">
        <f t="shared" si="32"/>
        <v>46800</v>
      </c>
      <c r="N71" s="36">
        <f t="shared" si="32"/>
        <v>23200</v>
      </c>
      <c r="O71" s="36">
        <f t="shared" si="32"/>
        <v>18800</v>
      </c>
      <c r="P71" s="36">
        <f t="shared" si="32"/>
        <v>24000</v>
      </c>
      <c r="Q71" s="36">
        <f t="shared" si="32"/>
        <v>10000</v>
      </c>
      <c r="R71" s="36">
        <f t="shared" si="32"/>
        <v>20400</v>
      </c>
      <c r="S71" s="36">
        <f t="shared" si="32"/>
        <v>9200</v>
      </c>
      <c r="T71" s="37">
        <f t="shared" si="32"/>
        <v>14000</v>
      </c>
      <c r="U71" s="37">
        <f t="shared" si="32"/>
        <v>2800</v>
      </c>
      <c r="V71" s="36">
        <f t="shared" si="32"/>
        <v>1600</v>
      </c>
      <c r="W71" s="36">
        <f t="shared" si="31"/>
        <v>376800</v>
      </c>
    </row>
    <row r="72" spans="1:23" s="40" customFormat="1" ht="22.5">
      <c r="A72" s="33" t="s">
        <v>342</v>
      </c>
      <c r="B72" s="38" t="s">
        <v>343</v>
      </c>
      <c r="C72" s="38" t="s">
        <v>191</v>
      </c>
      <c r="D72" s="48" t="s">
        <v>344</v>
      </c>
      <c r="E72" s="36">
        <f>E96*400</f>
        <v>26800</v>
      </c>
      <c r="F72" s="36">
        <f t="shared" ref="F72:V72" si="33">F96*400</f>
        <v>26800</v>
      </c>
      <c r="G72" s="36">
        <f t="shared" si="33"/>
        <v>27600</v>
      </c>
      <c r="H72" s="36">
        <f t="shared" si="33"/>
        <v>26400</v>
      </c>
      <c r="I72" s="36">
        <f t="shared" si="33"/>
        <v>7200</v>
      </c>
      <c r="J72" s="36">
        <f t="shared" si="33"/>
        <v>30000</v>
      </c>
      <c r="K72" s="36">
        <f t="shared" si="33"/>
        <v>34400</v>
      </c>
      <c r="L72" s="36">
        <f t="shared" si="33"/>
        <v>26800</v>
      </c>
      <c r="M72" s="36">
        <f t="shared" si="33"/>
        <v>46800</v>
      </c>
      <c r="N72" s="36">
        <f t="shared" si="33"/>
        <v>23200</v>
      </c>
      <c r="O72" s="36">
        <f t="shared" si="33"/>
        <v>18800</v>
      </c>
      <c r="P72" s="36">
        <f t="shared" si="33"/>
        <v>24000</v>
      </c>
      <c r="Q72" s="36">
        <f t="shared" si="33"/>
        <v>10000</v>
      </c>
      <c r="R72" s="36">
        <f t="shared" si="33"/>
        <v>20400</v>
      </c>
      <c r="S72" s="36">
        <f t="shared" si="33"/>
        <v>9200</v>
      </c>
      <c r="T72" s="37">
        <f t="shared" si="33"/>
        <v>14000</v>
      </c>
      <c r="U72" s="37">
        <f t="shared" si="33"/>
        <v>2800</v>
      </c>
      <c r="V72" s="36">
        <f t="shared" si="33"/>
        <v>1600</v>
      </c>
      <c r="W72" s="36">
        <f t="shared" si="31"/>
        <v>376800</v>
      </c>
    </row>
    <row r="73" spans="1:23">
      <c r="A73" s="33" t="s">
        <v>345</v>
      </c>
      <c r="B73" s="34" t="s">
        <v>346</v>
      </c>
      <c r="C73" s="34"/>
      <c r="D73" s="35" t="s">
        <v>185</v>
      </c>
      <c r="E73" s="36">
        <f>E74</f>
        <v>118770.45</v>
      </c>
      <c r="F73" s="36">
        <f t="shared" ref="F73:V73" si="34">F74</f>
        <v>184792.19999999998</v>
      </c>
      <c r="G73" s="36">
        <f t="shared" si="34"/>
        <v>77265</v>
      </c>
      <c r="H73" s="36">
        <f t="shared" si="34"/>
        <v>259299.59999999998</v>
      </c>
      <c r="I73" s="36">
        <f t="shared" si="34"/>
        <v>256806.45</v>
      </c>
      <c r="J73" s="36">
        <f t="shared" si="34"/>
        <v>191508.15</v>
      </c>
      <c r="K73" s="36">
        <f t="shared" si="34"/>
        <v>164731.20000000001</v>
      </c>
      <c r="L73" s="36">
        <f t="shared" si="34"/>
        <v>98189.25</v>
      </c>
      <c r="M73" s="36">
        <f t="shared" si="34"/>
        <v>310345.80000000005</v>
      </c>
      <c r="N73" s="36">
        <f t="shared" si="34"/>
        <v>141067.5</v>
      </c>
      <c r="O73" s="36">
        <f t="shared" si="34"/>
        <v>69733.350000000006</v>
      </c>
      <c r="P73" s="36">
        <f t="shared" si="34"/>
        <v>173365.2</v>
      </c>
      <c r="Q73" s="36">
        <f t="shared" si="34"/>
        <v>88565.7</v>
      </c>
      <c r="R73" s="36">
        <f t="shared" si="34"/>
        <v>153908.1</v>
      </c>
      <c r="S73" s="36">
        <f t="shared" si="34"/>
        <v>88875.45</v>
      </c>
      <c r="T73" s="37">
        <f t="shared" si="34"/>
        <v>119667.9</v>
      </c>
      <c r="U73" s="37">
        <f t="shared" si="34"/>
        <v>84090</v>
      </c>
      <c r="V73" s="36">
        <f t="shared" si="34"/>
        <v>0</v>
      </c>
      <c r="W73" s="36">
        <f t="shared" si="31"/>
        <v>2580981.3000000003</v>
      </c>
    </row>
    <row r="74" spans="1:23" s="40" customFormat="1">
      <c r="A74" s="33" t="s">
        <v>347</v>
      </c>
      <c r="B74" s="38" t="s">
        <v>348</v>
      </c>
      <c r="C74" s="38" t="s">
        <v>191</v>
      </c>
      <c r="D74" s="48" t="s">
        <v>349</v>
      </c>
      <c r="E74" s="36">
        <f>E108*15</f>
        <v>118770.45</v>
      </c>
      <c r="F74" s="36">
        <f t="shared" ref="F74:V74" si="35">F108*15</f>
        <v>184792.19999999998</v>
      </c>
      <c r="G74" s="36">
        <f t="shared" si="35"/>
        <v>77265</v>
      </c>
      <c r="H74" s="36">
        <f t="shared" si="35"/>
        <v>259299.59999999998</v>
      </c>
      <c r="I74" s="36">
        <f t="shared" si="35"/>
        <v>256806.45</v>
      </c>
      <c r="J74" s="36">
        <f t="shared" si="35"/>
        <v>191508.15</v>
      </c>
      <c r="K74" s="36">
        <f t="shared" si="35"/>
        <v>164731.20000000001</v>
      </c>
      <c r="L74" s="36">
        <f t="shared" si="35"/>
        <v>98189.25</v>
      </c>
      <c r="M74" s="36">
        <f t="shared" si="35"/>
        <v>310345.80000000005</v>
      </c>
      <c r="N74" s="36">
        <f t="shared" si="35"/>
        <v>141067.5</v>
      </c>
      <c r="O74" s="36">
        <f t="shared" si="35"/>
        <v>69733.350000000006</v>
      </c>
      <c r="P74" s="36">
        <f t="shared" si="35"/>
        <v>173365.2</v>
      </c>
      <c r="Q74" s="36">
        <f t="shared" si="35"/>
        <v>88565.7</v>
      </c>
      <c r="R74" s="36">
        <f t="shared" si="35"/>
        <v>153908.1</v>
      </c>
      <c r="S74" s="36">
        <f t="shared" si="35"/>
        <v>88875.45</v>
      </c>
      <c r="T74" s="37">
        <f t="shared" si="35"/>
        <v>119667.9</v>
      </c>
      <c r="U74" s="37">
        <f t="shared" si="35"/>
        <v>84090</v>
      </c>
      <c r="V74" s="36">
        <f t="shared" si="35"/>
        <v>0</v>
      </c>
      <c r="W74" s="36">
        <f t="shared" si="31"/>
        <v>2580981.3000000003</v>
      </c>
    </row>
    <row r="75" spans="1:23">
      <c r="A75" s="33" t="s">
        <v>350</v>
      </c>
      <c r="B75" s="34" t="s">
        <v>351</v>
      </c>
      <c r="C75" s="34"/>
      <c r="D75" s="35" t="s">
        <v>185</v>
      </c>
      <c r="E75" s="36">
        <f>E76</f>
        <v>45600</v>
      </c>
      <c r="F75" s="36">
        <f t="shared" ref="F75:V75" si="36">F76</f>
        <v>28240</v>
      </c>
      <c r="G75" s="36">
        <f t="shared" si="36"/>
        <v>31208</v>
      </c>
      <c r="H75" s="36">
        <f t="shared" si="36"/>
        <v>70433.600000000006</v>
      </c>
      <c r="I75" s="36">
        <f t="shared" si="36"/>
        <v>53697.599999999999</v>
      </c>
      <c r="J75" s="36">
        <f t="shared" si="36"/>
        <v>60304</v>
      </c>
      <c r="K75" s="36">
        <f t="shared" si="36"/>
        <v>76688</v>
      </c>
      <c r="L75" s="36">
        <f t="shared" si="36"/>
        <v>31192</v>
      </c>
      <c r="M75" s="36">
        <f t="shared" si="36"/>
        <v>97640</v>
      </c>
      <c r="N75" s="36">
        <f t="shared" si="36"/>
        <v>33144</v>
      </c>
      <c r="O75" s="36">
        <f t="shared" si="36"/>
        <v>19888</v>
      </c>
      <c r="P75" s="36">
        <f t="shared" si="36"/>
        <v>33504.080000000002</v>
      </c>
      <c r="Q75" s="36">
        <f t="shared" si="36"/>
        <v>18549.599999999999</v>
      </c>
      <c r="R75" s="36">
        <f t="shared" si="36"/>
        <v>34051.919999999998</v>
      </c>
      <c r="S75" s="36">
        <f t="shared" si="36"/>
        <v>16240</v>
      </c>
      <c r="T75" s="37">
        <f t="shared" si="36"/>
        <v>45420.800000000003</v>
      </c>
      <c r="U75" s="37">
        <f t="shared" si="36"/>
        <v>15715.2</v>
      </c>
      <c r="V75" s="36">
        <f t="shared" si="36"/>
        <v>0</v>
      </c>
      <c r="W75" s="36">
        <f t="shared" si="31"/>
        <v>711516.79999999993</v>
      </c>
    </row>
    <row r="76" spans="1:23" s="40" customFormat="1">
      <c r="A76" s="33" t="s">
        <v>352</v>
      </c>
      <c r="B76" s="38" t="s">
        <v>353</v>
      </c>
      <c r="C76" s="38" t="s">
        <v>191</v>
      </c>
      <c r="D76" s="48" t="s">
        <v>354</v>
      </c>
      <c r="E76" s="36">
        <f>E109*8</f>
        <v>45600</v>
      </c>
      <c r="F76" s="36">
        <f t="shared" ref="F76:V76" si="37">F109*8</f>
        <v>28240</v>
      </c>
      <c r="G76" s="36">
        <f t="shared" si="37"/>
        <v>31208</v>
      </c>
      <c r="H76" s="36">
        <f t="shared" si="37"/>
        <v>70433.600000000006</v>
      </c>
      <c r="I76" s="36">
        <f t="shared" si="37"/>
        <v>53697.599999999999</v>
      </c>
      <c r="J76" s="36">
        <f t="shared" si="37"/>
        <v>60304</v>
      </c>
      <c r="K76" s="36">
        <f t="shared" si="37"/>
        <v>76688</v>
      </c>
      <c r="L76" s="36">
        <f t="shared" si="37"/>
        <v>31192</v>
      </c>
      <c r="M76" s="36">
        <f t="shared" si="37"/>
        <v>97640</v>
      </c>
      <c r="N76" s="36">
        <f t="shared" si="37"/>
        <v>33144</v>
      </c>
      <c r="O76" s="36">
        <f t="shared" si="37"/>
        <v>19888</v>
      </c>
      <c r="P76" s="36">
        <f t="shared" si="37"/>
        <v>33504.080000000002</v>
      </c>
      <c r="Q76" s="36">
        <f t="shared" si="37"/>
        <v>18549.599999999999</v>
      </c>
      <c r="R76" s="36">
        <f t="shared" si="37"/>
        <v>34051.919999999998</v>
      </c>
      <c r="S76" s="36">
        <f t="shared" si="37"/>
        <v>16240</v>
      </c>
      <c r="T76" s="37">
        <f t="shared" si="37"/>
        <v>45420.800000000003</v>
      </c>
      <c r="U76" s="37">
        <f t="shared" si="37"/>
        <v>15715.2</v>
      </c>
      <c r="V76" s="36">
        <f t="shared" si="37"/>
        <v>0</v>
      </c>
      <c r="W76" s="36">
        <f t="shared" si="31"/>
        <v>711516.79999999993</v>
      </c>
    </row>
    <row r="77" spans="1:23">
      <c r="A77" s="33" t="s">
        <v>355</v>
      </c>
      <c r="B77" s="34" t="s">
        <v>356</v>
      </c>
      <c r="C77" s="34"/>
      <c r="D77" s="35" t="s">
        <v>185</v>
      </c>
      <c r="E77" s="36">
        <f>E78</f>
        <v>0</v>
      </c>
      <c r="F77" s="36">
        <f t="shared" ref="F77:V77" si="38">F78</f>
        <v>0</v>
      </c>
      <c r="G77" s="36">
        <f t="shared" si="38"/>
        <v>0</v>
      </c>
      <c r="H77" s="36">
        <f t="shared" si="38"/>
        <v>0</v>
      </c>
      <c r="I77" s="36">
        <f t="shared" si="38"/>
        <v>0</v>
      </c>
      <c r="J77" s="36">
        <f t="shared" si="38"/>
        <v>0</v>
      </c>
      <c r="K77" s="36">
        <f t="shared" si="38"/>
        <v>0</v>
      </c>
      <c r="L77" s="36">
        <f t="shared" si="38"/>
        <v>0</v>
      </c>
      <c r="M77" s="36">
        <f t="shared" si="38"/>
        <v>0</v>
      </c>
      <c r="N77" s="36">
        <f t="shared" si="38"/>
        <v>0</v>
      </c>
      <c r="O77" s="36">
        <f t="shared" si="38"/>
        <v>0</v>
      </c>
      <c r="P77" s="36">
        <f t="shared" si="38"/>
        <v>0</v>
      </c>
      <c r="Q77" s="36">
        <f t="shared" si="38"/>
        <v>0</v>
      </c>
      <c r="R77" s="36">
        <f t="shared" si="38"/>
        <v>0</v>
      </c>
      <c r="S77" s="36">
        <f t="shared" si="38"/>
        <v>0</v>
      </c>
      <c r="T77" s="37"/>
      <c r="U77" s="37"/>
      <c r="V77" s="36">
        <f t="shared" si="38"/>
        <v>0</v>
      </c>
      <c r="W77" s="36">
        <f t="shared" si="31"/>
        <v>0</v>
      </c>
    </row>
    <row r="78" spans="1:23" s="40" customFormat="1">
      <c r="A78" s="33" t="s">
        <v>357</v>
      </c>
      <c r="B78" s="38" t="s">
        <v>358</v>
      </c>
      <c r="C78" s="38" t="s">
        <v>191</v>
      </c>
      <c r="D78" s="48" t="s">
        <v>293</v>
      </c>
      <c r="E78" s="46"/>
      <c r="F78" s="46"/>
      <c r="G78" s="46"/>
      <c r="H78" s="46"/>
      <c r="I78" s="46"/>
      <c r="J78" s="46"/>
      <c r="K78" s="46"/>
      <c r="L78" s="46"/>
      <c r="M78" s="46"/>
      <c r="N78" s="46"/>
      <c r="O78" s="46"/>
      <c r="P78" s="46"/>
      <c r="Q78" s="46"/>
      <c r="R78" s="46"/>
      <c r="S78" s="46"/>
      <c r="T78" s="46"/>
      <c r="U78" s="46"/>
      <c r="V78" s="46"/>
      <c r="W78" s="36">
        <f t="shared" si="31"/>
        <v>0</v>
      </c>
    </row>
    <row r="79" spans="1:23">
      <c r="A79" s="33" t="s">
        <v>359</v>
      </c>
      <c r="B79" s="34" t="s">
        <v>360</v>
      </c>
      <c r="C79" s="34"/>
      <c r="D79" s="35" t="s">
        <v>185</v>
      </c>
      <c r="E79" s="36">
        <f>E80</f>
        <v>289440</v>
      </c>
      <c r="F79" s="36">
        <f t="shared" ref="F79:V79" si="39">F80</f>
        <v>289440</v>
      </c>
      <c r="G79" s="36">
        <f t="shared" si="39"/>
        <v>298080</v>
      </c>
      <c r="H79" s="36">
        <f t="shared" si="39"/>
        <v>285120</v>
      </c>
      <c r="I79" s="36">
        <f t="shared" si="39"/>
        <v>77760</v>
      </c>
      <c r="J79" s="36">
        <f t="shared" si="39"/>
        <v>324000</v>
      </c>
      <c r="K79" s="36">
        <f t="shared" si="39"/>
        <v>371520</v>
      </c>
      <c r="L79" s="36">
        <f t="shared" si="39"/>
        <v>289440</v>
      </c>
      <c r="M79" s="36">
        <f t="shared" si="39"/>
        <v>505440</v>
      </c>
      <c r="N79" s="36">
        <f t="shared" si="39"/>
        <v>250560</v>
      </c>
      <c r="O79" s="36">
        <f t="shared" si="39"/>
        <v>203040</v>
      </c>
      <c r="P79" s="36">
        <f t="shared" si="39"/>
        <v>259200</v>
      </c>
      <c r="Q79" s="36">
        <f t="shared" si="39"/>
        <v>108000</v>
      </c>
      <c r="R79" s="36">
        <f t="shared" si="39"/>
        <v>220320</v>
      </c>
      <c r="S79" s="36">
        <f t="shared" si="39"/>
        <v>99360</v>
      </c>
      <c r="T79" s="37">
        <f t="shared" si="39"/>
        <v>151200</v>
      </c>
      <c r="U79" s="37">
        <f t="shared" si="39"/>
        <v>30240</v>
      </c>
      <c r="V79" s="36">
        <f t="shared" si="39"/>
        <v>17280</v>
      </c>
      <c r="W79" s="36">
        <f t="shared" si="31"/>
        <v>4069440</v>
      </c>
    </row>
    <row r="80" spans="1:23" s="40" customFormat="1" ht="22.5">
      <c r="A80" s="33" t="s">
        <v>361</v>
      </c>
      <c r="B80" s="38" t="s">
        <v>362</v>
      </c>
      <c r="C80" s="38" t="s">
        <v>191</v>
      </c>
      <c r="D80" s="48" t="s">
        <v>363</v>
      </c>
      <c r="E80" s="36">
        <f>E96*4320</f>
        <v>289440</v>
      </c>
      <c r="F80" s="36">
        <f t="shared" ref="F80:V80" si="40">F96*4320</f>
        <v>289440</v>
      </c>
      <c r="G80" s="36">
        <f t="shared" si="40"/>
        <v>298080</v>
      </c>
      <c r="H80" s="36">
        <f t="shared" si="40"/>
        <v>285120</v>
      </c>
      <c r="I80" s="36">
        <f t="shared" si="40"/>
        <v>77760</v>
      </c>
      <c r="J80" s="36">
        <f t="shared" si="40"/>
        <v>324000</v>
      </c>
      <c r="K80" s="36">
        <f t="shared" si="40"/>
        <v>371520</v>
      </c>
      <c r="L80" s="36">
        <f t="shared" si="40"/>
        <v>289440</v>
      </c>
      <c r="M80" s="36">
        <f t="shared" si="40"/>
        <v>505440</v>
      </c>
      <c r="N80" s="36">
        <f t="shared" si="40"/>
        <v>250560</v>
      </c>
      <c r="O80" s="36">
        <f t="shared" si="40"/>
        <v>203040</v>
      </c>
      <c r="P80" s="36">
        <f t="shared" si="40"/>
        <v>259200</v>
      </c>
      <c r="Q80" s="36">
        <f t="shared" si="40"/>
        <v>108000</v>
      </c>
      <c r="R80" s="36">
        <f t="shared" si="40"/>
        <v>220320</v>
      </c>
      <c r="S80" s="36">
        <f t="shared" si="40"/>
        <v>99360</v>
      </c>
      <c r="T80" s="37">
        <f t="shared" si="40"/>
        <v>151200</v>
      </c>
      <c r="U80" s="37">
        <f t="shared" si="40"/>
        <v>30240</v>
      </c>
      <c r="V80" s="36">
        <f t="shared" si="40"/>
        <v>17280</v>
      </c>
      <c r="W80" s="36">
        <f t="shared" si="31"/>
        <v>4069440</v>
      </c>
    </row>
    <row r="81" spans="1:23">
      <c r="A81" s="33" t="s">
        <v>364</v>
      </c>
      <c r="B81" s="34" t="s">
        <v>365</v>
      </c>
      <c r="C81" s="34"/>
      <c r="D81" s="35" t="s">
        <v>185</v>
      </c>
      <c r="E81" s="36">
        <f>E82</f>
        <v>264403.20000000001</v>
      </c>
      <c r="F81" s="36">
        <f t="shared" ref="F81:V81" si="41">F82</f>
        <v>274809.59999999998</v>
      </c>
      <c r="G81" s="36">
        <f t="shared" si="41"/>
        <v>285444.96000000002</v>
      </c>
      <c r="H81" s="36">
        <f t="shared" si="41"/>
        <v>232632</v>
      </c>
      <c r="I81" s="36">
        <f t="shared" si="41"/>
        <v>69993.600000000006</v>
      </c>
      <c r="J81" s="36">
        <f t="shared" si="41"/>
        <v>288571.2</v>
      </c>
      <c r="K81" s="36">
        <f t="shared" si="41"/>
        <v>328588.79999999999</v>
      </c>
      <c r="L81" s="36">
        <f t="shared" si="41"/>
        <v>247032</v>
      </c>
      <c r="M81" s="36">
        <f t="shared" si="41"/>
        <v>417144</v>
      </c>
      <c r="N81" s="36">
        <f t="shared" si="41"/>
        <v>203596.79999999999</v>
      </c>
      <c r="O81" s="36">
        <f t="shared" si="41"/>
        <v>169291.2</v>
      </c>
      <c r="P81" s="36">
        <f t="shared" si="41"/>
        <v>196252.79999999999</v>
      </c>
      <c r="Q81" s="36">
        <f t="shared" si="41"/>
        <v>83568</v>
      </c>
      <c r="R81" s="36">
        <f t="shared" si="41"/>
        <v>172752</v>
      </c>
      <c r="S81" s="36">
        <f t="shared" si="41"/>
        <v>76334.399999999994</v>
      </c>
      <c r="T81" s="37">
        <f t="shared" si="41"/>
        <v>111115.2</v>
      </c>
      <c r="U81" s="37">
        <f t="shared" si="41"/>
        <v>23256</v>
      </c>
      <c r="V81" s="36">
        <f t="shared" si="41"/>
        <v>14260.8</v>
      </c>
      <c r="W81" s="36">
        <f t="shared" si="31"/>
        <v>3459046.56</v>
      </c>
    </row>
    <row r="82" spans="1:23" s="40" customFormat="1">
      <c r="A82" s="33" t="s">
        <v>366</v>
      </c>
      <c r="B82" s="38" t="s">
        <v>367</v>
      </c>
      <c r="C82" s="38" t="s">
        <v>191</v>
      </c>
      <c r="D82" s="39" t="s">
        <v>210</v>
      </c>
      <c r="E82" s="36">
        <f>E16*4</f>
        <v>264403.20000000001</v>
      </c>
      <c r="F82" s="36">
        <f t="shared" ref="F82:V82" si="42">F16*4</f>
        <v>274809.59999999998</v>
      </c>
      <c r="G82" s="36">
        <f t="shared" si="42"/>
        <v>285444.96000000002</v>
      </c>
      <c r="H82" s="36">
        <f t="shared" si="42"/>
        <v>232632</v>
      </c>
      <c r="I82" s="36">
        <f t="shared" si="42"/>
        <v>69993.600000000006</v>
      </c>
      <c r="J82" s="36">
        <f t="shared" si="42"/>
        <v>288571.2</v>
      </c>
      <c r="K82" s="36">
        <f t="shared" si="42"/>
        <v>328588.79999999999</v>
      </c>
      <c r="L82" s="36">
        <f t="shared" si="42"/>
        <v>247032</v>
      </c>
      <c r="M82" s="36">
        <f t="shared" si="42"/>
        <v>417144</v>
      </c>
      <c r="N82" s="36">
        <f t="shared" si="42"/>
        <v>203596.79999999999</v>
      </c>
      <c r="O82" s="36">
        <f t="shared" si="42"/>
        <v>169291.2</v>
      </c>
      <c r="P82" s="36">
        <f t="shared" si="42"/>
        <v>196252.79999999999</v>
      </c>
      <c r="Q82" s="36">
        <f t="shared" si="42"/>
        <v>83568</v>
      </c>
      <c r="R82" s="36">
        <f t="shared" si="42"/>
        <v>172752</v>
      </c>
      <c r="S82" s="36">
        <f t="shared" si="42"/>
        <v>76334.399999999994</v>
      </c>
      <c r="T82" s="37">
        <f t="shared" si="42"/>
        <v>111115.2</v>
      </c>
      <c r="U82" s="37">
        <f t="shared" si="42"/>
        <v>23256</v>
      </c>
      <c r="V82" s="36">
        <f t="shared" si="42"/>
        <v>14260.8</v>
      </c>
      <c r="W82" s="36">
        <f t="shared" si="31"/>
        <v>3459046.56</v>
      </c>
    </row>
    <row r="83" spans="1:23">
      <c r="A83" s="33" t="s">
        <v>368</v>
      </c>
      <c r="B83" s="34" t="s">
        <v>369</v>
      </c>
      <c r="C83" s="34"/>
      <c r="D83" s="35" t="s">
        <v>185</v>
      </c>
      <c r="E83" s="36">
        <f>E84</f>
        <v>32000</v>
      </c>
      <c r="F83" s="36">
        <f t="shared" ref="F83:V83" si="43">F84</f>
        <v>32000</v>
      </c>
      <c r="G83" s="36">
        <f t="shared" si="43"/>
        <v>32000</v>
      </c>
      <c r="H83" s="36">
        <f t="shared" si="43"/>
        <v>0</v>
      </c>
      <c r="I83" s="36">
        <f t="shared" si="43"/>
        <v>0</v>
      </c>
      <c r="J83" s="36">
        <f t="shared" si="43"/>
        <v>64000</v>
      </c>
      <c r="K83" s="36">
        <f t="shared" si="43"/>
        <v>32000</v>
      </c>
      <c r="L83" s="36">
        <f t="shared" si="43"/>
        <v>32000</v>
      </c>
      <c r="M83" s="36">
        <f t="shared" si="43"/>
        <v>32000</v>
      </c>
      <c r="N83" s="36">
        <f t="shared" si="43"/>
        <v>32000</v>
      </c>
      <c r="O83" s="36">
        <f t="shared" si="43"/>
        <v>32000</v>
      </c>
      <c r="P83" s="36">
        <f t="shared" si="43"/>
        <v>0</v>
      </c>
      <c r="Q83" s="36">
        <f t="shared" si="43"/>
        <v>0</v>
      </c>
      <c r="R83" s="36">
        <f t="shared" si="43"/>
        <v>0</v>
      </c>
      <c r="S83" s="36">
        <f t="shared" si="43"/>
        <v>0</v>
      </c>
      <c r="T83" s="37"/>
      <c r="U83" s="37"/>
      <c r="V83" s="36">
        <f t="shared" si="43"/>
        <v>0</v>
      </c>
      <c r="W83" s="36">
        <f t="shared" si="31"/>
        <v>320000</v>
      </c>
    </row>
    <row r="84" spans="1:23" ht="33.75">
      <c r="A84" s="33" t="s">
        <v>370</v>
      </c>
      <c r="B84" s="34" t="s">
        <v>371</v>
      </c>
      <c r="C84" s="34" t="s">
        <v>191</v>
      </c>
      <c r="D84" s="47" t="s">
        <v>372</v>
      </c>
      <c r="E84" s="37">
        <v>32000</v>
      </c>
      <c r="F84" s="37">
        <v>32000</v>
      </c>
      <c r="G84" s="37">
        <v>32000</v>
      </c>
      <c r="H84" s="37"/>
      <c r="I84" s="37"/>
      <c r="J84" s="37">
        <v>64000</v>
      </c>
      <c r="K84" s="37">
        <v>32000</v>
      </c>
      <c r="L84" s="37">
        <v>32000</v>
      </c>
      <c r="M84" s="37">
        <v>32000</v>
      </c>
      <c r="N84" s="37">
        <v>32000</v>
      </c>
      <c r="O84" s="37">
        <v>32000</v>
      </c>
      <c r="P84" s="37"/>
      <c r="Q84" s="37"/>
      <c r="R84" s="37"/>
      <c r="S84" s="37"/>
      <c r="T84" s="37"/>
      <c r="U84" s="37"/>
      <c r="V84" s="37"/>
      <c r="W84" s="36">
        <f t="shared" si="31"/>
        <v>320000</v>
      </c>
    </row>
    <row r="85" spans="1:23">
      <c r="A85" s="33" t="s">
        <v>373</v>
      </c>
      <c r="B85" s="34" t="s">
        <v>374</v>
      </c>
      <c r="C85" s="34"/>
      <c r="D85" s="35" t="s">
        <v>185</v>
      </c>
      <c r="E85" s="36">
        <f>E86+E89+E92</f>
        <v>358720</v>
      </c>
      <c r="F85" s="36">
        <f t="shared" ref="F85:V85" si="44">F86+F89+F92</f>
        <v>174640</v>
      </c>
      <c r="G85" s="36">
        <f t="shared" si="44"/>
        <v>184080</v>
      </c>
      <c r="H85" s="36">
        <f t="shared" si="44"/>
        <v>0</v>
      </c>
      <c r="I85" s="36">
        <f t="shared" si="44"/>
        <v>0</v>
      </c>
      <c r="J85" s="36">
        <f t="shared" si="44"/>
        <v>368160</v>
      </c>
      <c r="K85" s="36">
        <f t="shared" si="44"/>
        <v>245440</v>
      </c>
      <c r="L85" s="36">
        <f t="shared" si="44"/>
        <v>155760</v>
      </c>
      <c r="M85" s="36">
        <f t="shared" si="44"/>
        <v>113280</v>
      </c>
      <c r="N85" s="36">
        <f t="shared" si="44"/>
        <v>108560</v>
      </c>
      <c r="O85" s="36">
        <f t="shared" si="44"/>
        <v>42480</v>
      </c>
      <c r="P85" s="36">
        <f t="shared" si="44"/>
        <v>37760</v>
      </c>
      <c r="Q85" s="36">
        <f t="shared" si="44"/>
        <v>0</v>
      </c>
      <c r="R85" s="36">
        <f t="shared" si="44"/>
        <v>23600</v>
      </c>
      <c r="S85" s="36">
        <f t="shared" si="44"/>
        <v>0</v>
      </c>
      <c r="T85" s="37"/>
      <c r="U85" s="37"/>
      <c r="V85" s="36">
        <f t="shared" si="44"/>
        <v>23600</v>
      </c>
      <c r="W85" s="36">
        <f t="shared" si="31"/>
        <v>1836080</v>
      </c>
    </row>
    <row r="86" spans="1:23">
      <c r="A86" s="33" t="s">
        <v>375</v>
      </c>
      <c r="B86" s="34" t="s">
        <v>376</v>
      </c>
      <c r="C86" s="34"/>
      <c r="D86" s="35" t="s">
        <v>185</v>
      </c>
      <c r="E86" s="36">
        <f>E87+E88</f>
        <v>0</v>
      </c>
      <c r="F86" s="36">
        <f t="shared" ref="F86:V86" si="45">F87+F88</f>
        <v>0</v>
      </c>
      <c r="G86" s="36">
        <f t="shared" si="45"/>
        <v>0</v>
      </c>
      <c r="H86" s="36">
        <f t="shared" si="45"/>
        <v>0</v>
      </c>
      <c r="I86" s="36">
        <f t="shared" si="45"/>
        <v>0</v>
      </c>
      <c r="J86" s="36">
        <f t="shared" si="45"/>
        <v>0</v>
      </c>
      <c r="K86" s="36">
        <f t="shared" si="45"/>
        <v>0</v>
      </c>
      <c r="L86" s="36">
        <f t="shared" si="45"/>
        <v>0</v>
      </c>
      <c r="M86" s="36">
        <f t="shared" si="45"/>
        <v>0</v>
      </c>
      <c r="N86" s="36">
        <f t="shared" si="45"/>
        <v>0</v>
      </c>
      <c r="O86" s="36">
        <f t="shared" si="45"/>
        <v>0</v>
      </c>
      <c r="P86" s="36">
        <f t="shared" si="45"/>
        <v>0</v>
      </c>
      <c r="Q86" s="36">
        <f t="shared" si="45"/>
        <v>0</v>
      </c>
      <c r="R86" s="36">
        <f t="shared" si="45"/>
        <v>0</v>
      </c>
      <c r="S86" s="36">
        <f t="shared" si="45"/>
        <v>0</v>
      </c>
      <c r="T86" s="37"/>
      <c r="U86" s="37"/>
      <c r="V86" s="36">
        <f t="shared" si="45"/>
        <v>0</v>
      </c>
      <c r="W86" s="36">
        <f t="shared" si="31"/>
        <v>0</v>
      </c>
    </row>
    <row r="87" spans="1:23">
      <c r="A87" s="33" t="s">
        <v>377</v>
      </c>
      <c r="B87" s="34" t="s">
        <v>378</v>
      </c>
      <c r="C87" s="34" t="s">
        <v>191</v>
      </c>
      <c r="D87" s="47" t="s">
        <v>293</v>
      </c>
      <c r="E87" s="43"/>
      <c r="F87" s="43"/>
      <c r="G87" s="43"/>
      <c r="H87" s="43"/>
      <c r="I87" s="43"/>
      <c r="J87" s="43"/>
      <c r="K87" s="43"/>
      <c r="L87" s="43"/>
      <c r="M87" s="43"/>
      <c r="N87" s="43"/>
      <c r="O87" s="43"/>
      <c r="P87" s="43"/>
      <c r="Q87" s="43"/>
      <c r="R87" s="43"/>
      <c r="S87" s="43"/>
      <c r="T87" s="43"/>
      <c r="U87" s="43"/>
      <c r="V87" s="43"/>
      <c r="W87" s="36">
        <f t="shared" si="31"/>
        <v>0</v>
      </c>
    </row>
    <row r="88" spans="1:23">
      <c r="A88" s="33" t="s">
        <v>379</v>
      </c>
      <c r="B88" s="34" t="s">
        <v>380</v>
      </c>
      <c r="C88" s="34" t="s">
        <v>191</v>
      </c>
      <c r="D88" s="35" t="s">
        <v>381</v>
      </c>
      <c r="E88" s="43"/>
      <c r="F88" s="43"/>
      <c r="G88" s="43"/>
      <c r="H88" s="43"/>
      <c r="I88" s="43"/>
      <c r="J88" s="43"/>
      <c r="K88" s="43"/>
      <c r="L88" s="43"/>
      <c r="M88" s="43"/>
      <c r="N88" s="43"/>
      <c r="O88" s="43"/>
      <c r="P88" s="43"/>
      <c r="Q88" s="43"/>
      <c r="R88" s="43"/>
      <c r="S88" s="43"/>
      <c r="T88" s="43"/>
      <c r="U88" s="43"/>
      <c r="V88" s="43"/>
      <c r="W88" s="36">
        <f t="shared" si="31"/>
        <v>0</v>
      </c>
    </row>
    <row r="89" spans="1:23">
      <c r="A89" s="33" t="s">
        <v>382</v>
      </c>
      <c r="B89" s="34" t="s">
        <v>383</v>
      </c>
      <c r="C89" s="34"/>
      <c r="D89" s="35" t="s">
        <v>185</v>
      </c>
      <c r="E89" s="36">
        <f>E90+E91</f>
        <v>358720</v>
      </c>
      <c r="F89" s="36">
        <f t="shared" ref="F89:V89" si="46">F90+F91</f>
        <v>174640</v>
      </c>
      <c r="G89" s="36">
        <f t="shared" si="46"/>
        <v>184080</v>
      </c>
      <c r="H89" s="36">
        <f t="shared" si="46"/>
        <v>0</v>
      </c>
      <c r="I89" s="36">
        <f t="shared" si="46"/>
        <v>0</v>
      </c>
      <c r="J89" s="36">
        <f t="shared" si="46"/>
        <v>368160</v>
      </c>
      <c r="K89" s="36">
        <f t="shared" si="46"/>
        <v>245440</v>
      </c>
      <c r="L89" s="36">
        <f t="shared" si="46"/>
        <v>155760</v>
      </c>
      <c r="M89" s="36">
        <f t="shared" si="46"/>
        <v>113280</v>
      </c>
      <c r="N89" s="36">
        <f t="shared" si="46"/>
        <v>108560</v>
      </c>
      <c r="O89" s="36">
        <f t="shared" si="46"/>
        <v>42480</v>
      </c>
      <c r="P89" s="36">
        <f t="shared" si="46"/>
        <v>37760</v>
      </c>
      <c r="Q89" s="36">
        <f t="shared" si="46"/>
        <v>0</v>
      </c>
      <c r="R89" s="36">
        <f t="shared" si="46"/>
        <v>23600</v>
      </c>
      <c r="S89" s="36">
        <f t="shared" si="46"/>
        <v>0</v>
      </c>
      <c r="T89" s="37">
        <f t="shared" si="46"/>
        <v>0</v>
      </c>
      <c r="U89" s="37">
        <f t="shared" si="46"/>
        <v>0</v>
      </c>
      <c r="V89" s="36">
        <f t="shared" si="46"/>
        <v>23600</v>
      </c>
      <c r="W89" s="36">
        <f t="shared" si="31"/>
        <v>1836080</v>
      </c>
    </row>
    <row r="90" spans="1:23" s="40" customFormat="1" ht="22.5">
      <c r="A90" s="33" t="s">
        <v>384</v>
      </c>
      <c r="B90" s="38" t="s">
        <v>385</v>
      </c>
      <c r="C90" s="38" t="s">
        <v>191</v>
      </c>
      <c r="D90" s="48" t="s">
        <v>386</v>
      </c>
      <c r="E90" s="36">
        <f>E107*400</f>
        <v>30400</v>
      </c>
      <c r="F90" s="36">
        <f t="shared" ref="F90:V90" si="47">F107*400</f>
        <v>14800</v>
      </c>
      <c r="G90" s="36">
        <f t="shared" si="47"/>
        <v>15600</v>
      </c>
      <c r="H90" s="36">
        <f t="shared" si="47"/>
        <v>0</v>
      </c>
      <c r="I90" s="36">
        <f t="shared" si="47"/>
        <v>0</v>
      </c>
      <c r="J90" s="36">
        <f t="shared" si="47"/>
        <v>31200</v>
      </c>
      <c r="K90" s="36">
        <f t="shared" si="47"/>
        <v>20800</v>
      </c>
      <c r="L90" s="36">
        <f t="shared" si="47"/>
        <v>13200</v>
      </c>
      <c r="M90" s="36">
        <f t="shared" si="47"/>
        <v>9600</v>
      </c>
      <c r="N90" s="36">
        <f t="shared" si="47"/>
        <v>9200</v>
      </c>
      <c r="O90" s="36">
        <f t="shared" si="47"/>
        <v>3600</v>
      </c>
      <c r="P90" s="36">
        <f t="shared" si="47"/>
        <v>3200</v>
      </c>
      <c r="Q90" s="36">
        <f t="shared" si="47"/>
        <v>0</v>
      </c>
      <c r="R90" s="36">
        <f t="shared" si="47"/>
        <v>2000</v>
      </c>
      <c r="S90" s="36">
        <f t="shared" si="47"/>
        <v>0</v>
      </c>
      <c r="T90" s="37"/>
      <c r="U90" s="37"/>
      <c r="V90" s="36">
        <f t="shared" si="47"/>
        <v>2000</v>
      </c>
      <c r="W90" s="36">
        <f t="shared" si="31"/>
        <v>155600</v>
      </c>
    </row>
    <row r="91" spans="1:23" s="40" customFormat="1" ht="22.5">
      <c r="A91" s="33" t="s">
        <v>387</v>
      </c>
      <c r="B91" s="38" t="s">
        <v>388</v>
      </c>
      <c r="C91" s="38" t="s">
        <v>191</v>
      </c>
      <c r="D91" s="48" t="s">
        <v>389</v>
      </c>
      <c r="E91" s="36">
        <f>E107*4320</f>
        <v>328320</v>
      </c>
      <c r="F91" s="36">
        <f t="shared" ref="F91:V91" si="48">F107*4320</f>
        <v>159840</v>
      </c>
      <c r="G91" s="36">
        <f t="shared" si="48"/>
        <v>168480</v>
      </c>
      <c r="H91" s="36">
        <f t="shared" si="48"/>
        <v>0</v>
      </c>
      <c r="I91" s="36">
        <f t="shared" si="48"/>
        <v>0</v>
      </c>
      <c r="J91" s="36">
        <f t="shared" si="48"/>
        <v>336960</v>
      </c>
      <c r="K91" s="36">
        <f t="shared" si="48"/>
        <v>224640</v>
      </c>
      <c r="L91" s="36">
        <f t="shared" si="48"/>
        <v>142560</v>
      </c>
      <c r="M91" s="36">
        <f t="shared" si="48"/>
        <v>103680</v>
      </c>
      <c r="N91" s="36">
        <f t="shared" si="48"/>
        <v>99360</v>
      </c>
      <c r="O91" s="36">
        <f t="shared" si="48"/>
        <v>38880</v>
      </c>
      <c r="P91" s="36">
        <f t="shared" si="48"/>
        <v>34560</v>
      </c>
      <c r="Q91" s="36">
        <f t="shared" si="48"/>
        <v>0</v>
      </c>
      <c r="R91" s="36">
        <f t="shared" si="48"/>
        <v>21600</v>
      </c>
      <c r="S91" s="36">
        <f t="shared" si="48"/>
        <v>0</v>
      </c>
      <c r="T91" s="37"/>
      <c r="U91" s="37"/>
      <c r="V91" s="36">
        <f t="shared" si="48"/>
        <v>21600</v>
      </c>
      <c r="W91" s="36">
        <f t="shared" si="31"/>
        <v>1680480</v>
      </c>
    </row>
    <row r="92" spans="1:23">
      <c r="A92" s="33" t="s">
        <v>390</v>
      </c>
      <c r="B92" s="34" t="s">
        <v>391</v>
      </c>
      <c r="C92" s="34" t="s">
        <v>191</v>
      </c>
      <c r="D92" s="47" t="s">
        <v>293</v>
      </c>
      <c r="E92" s="49"/>
      <c r="F92" s="49"/>
      <c r="G92" s="49"/>
      <c r="H92" s="49"/>
      <c r="I92" s="49"/>
      <c r="J92" s="49"/>
      <c r="K92" s="49"/>
      <c r="L92" s="49"/>
      <c r="M92" s="49"/>
      <c r="N92" s="49"/>
      <c r="O92" s="49"/>
      <c r="P92" s="49"/>
      <c r="Q92" s="49"/>
      <c r="R92" s="49"/>
      <c r="S92" s="49"/>
      <c r="T92" s="49"/>
      <c r="U92" s="49"/>
      <c r="V92" s="49"/>
      <c r="W92" s="36">
        <f t="shared" si="31"/>
        <v>0</v>
      </c>
    </row>
    <row r="93" spans="1:23">
      <c r="A93" s="33" t="s">
        <v>392</v>
      </c>
      <c r="B93" s="34" t="s">
        <v>393</v>
      </c>
      <c r="C93" s="34"/>
      <c r="D93" s="35" t="s">
        <v>185</v>
      </c>
      <c r="E93" s="36">
        <f>E94</f>
        <v>0</v>
      </c>
      <c r="F93" s="36">
        <f t="shared" ref="F93:V93" si="49">F94</f>
        <v>0</v>
      </c>
      <c r="G93" s="36">
        <f t="shared" si="49"/>
        <v>0</v>
      </c>
      <c r="H93" s="36">
        <f t="shared" si="49"/>
        <v>32000</v>
      </c>
      <c r="I93" s="36">
        <f t="shared" si="49"/>
        <v>32000</v>
      </c>
      <c r="J93" s="36">
        <f t="shared" si="49"/>
        <v>0</v>
      </c>
      <c r="K93" s="36">
        <f t="shared" si="49"/>
        <v>0</v>
      </c>
      <c r="L93" s="36">
        <f t="shared" si="49"/>
        <v>0</v>
      </c>
      <c r="M93" s="36">
        <f t="shared" si="49"/>
        <v>10000</v>
      </c>
      <c r="N93" s="36">
        <f t="shared" si="49"/>
        <v>10000</v>
      </c>
      <c r="O93" s="36">
        <f t="shared" si="49"/>
        <v>5000</v>
      </c>
      <c r="P93" s="36">
        <f t="shared" si="49"/>
        <v>32000</v>
      </c>
      <c r="Q93" s="36">
        <f t="shared" si="49"/>
        <v>32000</v>
      </c>
      <c r="R93" s="36">
        <f t="shared" si="49"/>
        <v>32000</v>
      </c>
      <c r="S93" s="36">
        <f t="shared" si="49"/>
        <v>32000</v>
      </c>
      <c r="T93" s="37">
        <f t="shared" si="49"/>
        <v>32000</v>
      </c>
      <c r="U93" s="37">
        <f t="shared" si="49"/>
        <v>32000</v>
      </c>
      <c r="V93" s="36">
        <f t="shared" si="49"/>
        <v>32000</v>
      </c>
      <c r="W93" s="36">
        <f t="shared" si="31"/>
        <v>313000</v>
      </c>
    </row>
    <row r="94" spans="1:23" ht="57" thickBot="1">
      <c r="A94" s="33" t="s">
        <v>394</v>
      </c>
      <c r="B94" s="50" t="s">
        <v>395</v>
      </c>
      <c r="C94" s="34" t="s">
        <v>191</v>
      </c>
      <c r="D94" s="51" t="s">
        <v>396</v>
      </c>
      <c r="E94" s="52"/>
      <c r="F94" s="52"/>
      <c r="G94" s="52"/>
      <c r="H94" s="52">
        <v>32000</v>
      </c>
      <c r="I94" s="52">
        <v>32000</v>
      </c>
      <c r="J94" s="52"/>
      <c r="K94" s="52"/>
      <c r="L94" s="52"/>
      <c r="M94" s="52">
        <v>10000</v>
      </c>
      <c r="N94" s="52">
        <v>10000</v>
      </c>
      <c r="O94" s="52">
        <v>5000</v>
      </c>
      <c r="P94" s="52">
        <v>32000</v>
      </c>
      <c r="Q94" s="52">
        <v>32000</v>
      </c>
      <c r="R94" s="52">
        <v>32000</v>
      </c>
      <c r="S94" s="52">
        <v>32000</v>
      </c>
      <c r="T94" s="52">
        <v>32000</v>
      </c>
      <c r="U94" s="52">
        <v>32000</v>
      </c>
      <c r="V94" s="52">
        <v>32000</v>
      </c>
      <c r="W94" s="36">
        <f t="shared" si="31"/>
        <v>313000</v>
      </c>
    </row>
    <row r="95" spans="1:23" ht="23.25" customHeight="1" thickTop="1">
      <c r="A95" s="33" t="s">
        <v>397</v>
      </c>
      <c r="B95" s="53" t="s">
        <v>398</v>
      </c>
      <c r="C95" s="53"/>
      <c r="D95" s="54"/>
      <c r="E95" s="55"/>
      <c r="F95" s="55"/>
      <c r="G95" s="55"/>
      <c r="H95" s="55"/>
      <c r="I95" s="55"/>
      <c r="J95" s="55"/>
      <c r="K95" s="55"/>
      <c r="L95" s="55"/>
      <c r="M95" s="55"/>
      <c r="N95" s="55"/>
      <c r="O95" s="55"/>
      <c r="P95" s="55"/>
      <c r="Q95" s="55"/>
      <c r="R95" s="55"/>
      <c r="S95" s="55"/>
      <c r="T95" s="55"/>
      <c r="U95" s="55"/>
      <c r="V95" s="55"/>
      <c r="W95" s="36">
        <f t="shared" si="31"/>
        <v>0</v>
      </c>
    </row>
    <row r="96" spans="1:23" ht="22.5">
      <c r="A96" s="33" t="s">
        <v>399</v>
      </c>
      <c r="B96" s="34" t="s">
        <v>400</v>
      </c>
      <c r="C96" s="34"/>
      <c r="D96" s="35" t="s">
        <v>401</v>
      </c>
      <c r="E96" s="36">
        <f>E97+E98+E99+E100</f>
        <v>67</v>
      </c>
      <c r="F96" s="36">
        <f t="shared" ref="F96:V96" si="50">F97+F98+F99+F100</f>
        <v>67</v>
      </c>
      <c r="G96" s="36">
        <f t="shared" si="50"/>
        <v>69</v>
      </c>
      <c r="H96" s="36">
        <f t="shared" si="50"/>
        <v>66</v>
      </c>
      <c r="I96" s="36">
        <f t="shared" si="50"/>
        <v>18</v>
      </c>
      <c r="J96" s="36">
        <f t="shared" si="50"/>
        <v>75</v>
      </c>
      <c r="K96" s="36">
        <f t="shared" si="50"/>
        <v>86</v>
      </c>
      <c r="L96" s="36">
        <f t="shared" si="50"/>
        <v>67</v>
      </c>
      <c r="M96" s="36">
        <f t="shared" si="50"/>
        <v>117</v>
      </c>
      <c r="N96" s="36">
        <f t="shared" si="50"/>
        <v>58</v>
      </c>
      <c r="O96" s="36">
        <f t="shared" si="50"/>
        <v>47</v>
      </c>
      <c r="P96" s="36">
        <f t="shared" si="50"/>
        <v>60</v>
      </c>
      <c r="Q96" s="36">
        <f t="shared" si="50"/>
        <v>25</v>
      </c>
      <c r="R96" s="36">
        <f t="shared" si="50"/>
        <v>51</v>
      </c>
      <c r="S96" s="36">
        <f t="shared" si="50"/>
        <v>23</v>
      </c>
      <c r="T96" s="37">
        <f t="shared" si="50"/>
        <v>35</v>
      </c>
      <c r="U96" s="37">
        <f t="shared" si="50"/>
        <v>7</v>
      </c>
      <c r="V96" s="36">
        <f t="shared" si="50"/>
        <v>4</v>
      </c>
      <c r="W96" s="36">
        <f t="shared" si="31"/>
        <v>942</v>
      </c>
    </row>
    <row r="97" spans="1:23">
      <c r="A97" s="33" t="s">
        <v>402</v>
      </c>
      <c r="B97" s="56" t="s">
        <v>403</v>
      </c>
      <c r="C97" s="56"/>
      <c r="D97" s="42"/>
      <c r="E97" s="43">
        <v>67</v>
      </c>
      <c r="F97" s="43">
        <v>67</v>
      </c>
      <c r="G97" s="43">
        <v>69</v>
      </c>
      <c r="H97" s="43">
        <v>66</v>
      </c>
      <c r="I97" s="43"/>
      <c r="J97" s="43"/>
      <c r="K97" s="43"/>
      <c r="L97" s="43"/>
      <c r="M97" s="43"/>
      <c r="N97" s="43"/>
      <c r="O97" s="43"/>
      <c r="P97" s="43"/>
      <c r="Q97" s="43"/>
      <c r="R97" s="43"/>
      <c r="S97" s="43"/>
      <c r="T97" s="43"/>
      <c r="U97" s="43"/>
      <c r="V97" s="43"/>
      <c r="W97" s="36">
        <f t="shared" si="31"/>
        <v>269</v>
      </c>
    </row>
    <row r="98" spans="1:23">
      <c r="A98" s="33" t="s">
        <v>404</v>
      </c>
      <c r="B98" s="56" t="s">
        <v>405</v>
      </c>
      <c r="C98" s="56"/>
      <c r="D98" s="35"/>
      <c r="E98" s="37"/>
      <c r="F98" s="37"/>
      <c r="G98" s="37"/>
      <c r="H98" s="37"/>
      <c r="I98" s="37">
        <v>18</v>
      </c>
      <c r="J98" s="37">
        <v>75</v>
      </c>
      <c r="K98" s="37">
        <v>86</v>
      </c>
      <c r="L98" s="37">
        <v>67</v>
      </c>
      <c r="M98" s="37">
        <v>117</v>
      </c>
      <c r="N98" s="37"/>
      <c r="O98" s="37"/>
      <c r="P98" s="37"/>
      <c r="Q98" s="37"/>
      <c r="R98" s="37"/>
      <c r="S98" s="37"/>
      <c r="T98" s="37"/>
      <c r="U98" s="37"/>
      <c r="V98" s="37"/>
      <c r="W98" s="36">
        <f t="shared" si="31"/>
        <v>363</v>
      </c>
    </row>
    <row r="99" spans="1:23">
      <c r="A99" s="33" t="s">
        <v>406</v>
      </c>
      <c r="B99" s="56" t="s">
        <v>407</v>
      </c>
      <c r="C99" s="56"/>
      <c r="D99" s="42"/>
      <c r="E99" s="43"/>
      <c r="F99" s="43"/>
      <c r="G99" s="43"/>
      <c r="H99" s="43"/>
      <c r="I99" s="43"/>
      <c r="J99" s="43"/>
      <c r="K99" s="43"/>
      <c r="L99" s="43"/>
      <c r="M99" s="43"/>
      <c r="N99" s="43">
        <v>58</v>
      </c>
      <c r="O99" s="43">
        <v>47</v>
      </c>
      <c r="P99" s="43">
        <v>60</v>
      </c>
      <c r="Q99" s="43">
        <v>25</v>
      </c>
      <c r="R99" s="43">
        <v>51</v>
      </c>
      <c r="S99" s="43">
        <v>23</v>
      </c>
      <c r="T99" s="43">
        <v>35</v>
      </c>
      <c r="U99" s="43">
        <v>7</v>
      </c>
      <c r="V99" s="43"/>
      <c r="W99" s="36">
        <f t="shared" si="31"/>
        <v>306</v>
      </c>
    </row>
    <row r="100" spans="1:23">
      <c r="A100" s="33" t="s">
        <v>408</v>
      </c>
      <c r="B100" s="56" t="s">
        <v>409</v>
      </c>
      <c r="C100" s="56"/>
      <c r="D100" s="42"/>
      <c r="E100" s="43"/>
      <c r="F100" s="43"/>
      <c r="G100" s="43"/>
      <c r="H100" s="43"/>
      <c r="I100" s="43"/>
      <c r="J100" s="43"/>
      <c r="K100" s="43"/>
      <c r="L100" s="43"/>
      <c r="M100" s="43"/>
      <c r="N100" s="43"/>
      <c r="O100" s="43"/>
      <c r="P100" s="43"/>
      <c r="Q100" s="43"/>
      <c r="R100" s="43"/>
      <c r="S100" s="43"/>
      <c r="T100" s="43"/>
      <c r="U100" s="43"/>
      <c r="V100" s="43">
        <v>4</v>
      </c>
      <c r="W100" s="36">
        <f t="shared" si="31"/>
        <v>4</v>
      </c>
    </row>
    <row r="101" spans="1:23" ht="33.75">
      <c r="A101" s="33" t="s">
        <v>410</v>
      </c>
      <c r="B101" s="34" t="s">
        <v>411</v>
      </c>
      <c r="C101" s="34"/>
      <c r="D101" s="35" t="s">
        <v>412</v>
      </c>
      <c r="E101" s="36">
        <f>E102+E103+E104+E105</f>
        <v>558</v>
      </c>
      <c r="F101" s="36">
        <f t="shared" ref="F101:V101" si="51">F102+F103+F104+F105</f>
        <v>656</v>
      </c>
      <c r="G101" s="36">
        <f t="shared" si="51"/>
        <v>601</v>
      </c>
      <c r="H101" s="36">
        <f t="shared" si="51"/>
        <v>820</v>
      </c>
      <c r="I101" s="36">
        <f t="shared" si="51"/>
        <v>124</v>
      </c>
      <c r="J101" s="36">
        <f t="shared" si="51"/>
        <v>785</v>
      </c>
      <c r="K101" s="36">
        <f t="shared" si="51"/>
        <v>549</v>
      </c>
      <c r="L101" s="36">
        <f t="shared" si="51"/>
        <v>808</v>
      </c>
      <c r="M101" s="36">
        <f t="shared" si="51"/>
        <v>1545</v>
      </c>
      <c r="N101" s="36">
        <f t="shared" si="51"/>
        <v>695</v>
      </c>
      <c r="O101" s="36">
        <f t="shared" si="51"/>
        <v>532</v>
      </c>
      <c r="P101" s="36">
        <f t="shared" si="51"/>
        <v>905</v>
      </c>
      <c r="Q101" s="36">
        <f t="shared" si="51"/>
        <v>296</v>
      </c>
      <c r="R101" s="36">
        <f t="shared" si="51"/>
        <v>631</v>
      </c>
      <c r="S101" s="36">
        <f t="shared" si="51"/>
        <v>296</v>
      </c>
      <c r="T101" s="37">
        <f t="shared" si="51"/>
        <v>351</v>
      </c>
      <c r="U101" s="37">
        <f t="shared" si="51"/>
        <v>99</v>
      </c>
      <c r="V101" s="36">
        <f t="shared" si="51"/>
        <v>0</v>
      </c>
      <c r="W101" s="36">
        <f t="shared" si="31"/>
        <v>10251</v>
      </c>
    </row>
    <row r="102" spans="1:23">
      <c r="A102" s="33" t="s">
        <v>413</v>
      </c>
      <c r="B102" s="56" t="s">
        <v>403</v>
      </c>
      <c r="C102" s="56"/>
      <c r="D102" s="42"/>
      <c r="E102" s="43">
        <v>558</v>
      </c>
      <c r="F102" s="43">
        <v>656</v>
      </c>
      <c r="G102" s="43">
        <v>601</v>
      </c>
      <c r="H102" s="43">
        <v>820</v>
      </c>
      <c r="I102" s="43"/>
      <c r="J102" s="43"/>
      <c r="K102" s="43"/>
      <c r="L102" s="43"/>
      <c r="M102" s="43"/>
      <c r="N102" s="43"/>
      <c r="O102" s="43"/>
      <c r="P102" s="43"/>
      <c r="Q102" s="43"/>
      <c r="R102" s="43"/>
      <c r="S102" s="43"/>
      <c r="T102" s="43"/>
      <c r="U102" s="43"/>
      <c r="V102" s="43"/>
      <c r="W102" s="36">
        <f t="shared" si="31"/>
        <v>2635</v>
      </c>
    </row>
    <row r="103" spans="1:23">
      <c r="A103" s="33" t="s">
        <v>414</v>
      </c>
      <c r="B103" s="56" t="s">
        <v>405</v>
      </c>
      <c r="C103" s="56"/>
      <c r="D103" s="35"/>
      <c r="E103" s="37"/>
      <c r="F103" s="37"/>
      <c r="G103" s="37"/>
      <c r="H103" s="37"/>
      <c r="I103" s="37">
        <v>124</v>
      </c>
      <c r="J103" s="37">
        <v>785</v>
      </c>
      <c r="K103" s="37">
        <v>549</v>
      </c>
      <c r="L103" s="37">
        <v>808</v>
      </c>
      <c r="M103" s="37">
        <v>1545</v>
      </c>
      <c r="N103" s="37"/>
      <c r="O103" s="37"/>
      <c r="P103" s="37"/>
      <c r="Q103" s="37"/>
      <c r="R103" s="37"/>
      <c r="S103" s="37"/>
      <c r="T103" s="37"/>
      <c r="U103" s="37"/>
      <c r="V103" s="37"/>
      <c r="W103" s="36">
        <f t="shared" si="31"/>
        <v>3811</v>
      </c>
    </row>
    <row r="104" spans="1:23">
      <c r="A104" s="33" t="s">
        <v>415</v>
      </c>
      <c r="B104" s="56" t="s">
        <v>407</v>
      </c>
      <c r="C104" s="56"/>
      <c r="D104" s="42"/>
      <c r="E104" s="43"/>
      <c r="F104" s="43"/>
      <c r="G104" s="43"/>
      <c r="H104" s="43"/>
      <c r="I104" s="43"/>
      <c r="J104" s="43"/>
      <c r="K104" s="43"/>
      <c r="L104" s="43"/>
      <c r="M104" s="43"/>
      <c r="N104" s="43">
        <v>695</v>
      </c>
      <c r="O104" s="43">
        <v>532</v>
      </c>
      <c r="P104" s="43">
        <v>905</v>
      </c>
      <c r="Q104" s="43">
        <v>296</v>
      </c>
      <c r="R104" s="43">
        <v>631</v>
      </c>
      <c r="S104" s="43">
        <v>296</v>
      </c>
      <c r="T104" s="43">
        <v>351</v>
      </c>
      <c r="U104" s="43">
        <v>99</v>
      </c>
      <c r="V104" s="43"/>
      <c r="W104" s="36">
        <f t="shared" si="31"/>
        <v>3805</v>
      </c>
    </row>
    <row r="105" spans="1:23">
      <c r="A105" s="33" t="s">
        <v>416</v>
      </c>
      <c r="B105" s="56" t="s">
        <v>409</v>
      </c>
      <c r="C105" s="56"/>
      <c r="D105" s="42"/>
      <c r="E105" s="43"/>
      <c r="F105" s="43"/>
      <c r="G105" s="43"/>
      <c r="H105" s="43"/>
      <c r="I105" s="43"/>
      <c r="J105" s="43"/>
      <c r="K105" s="43"/>
      <c r="L105" s="43"/>
      <c r="M105" s="43"/>
      <c r="N105" s="43"/>
      <c r="O105" s="43"/>
      <c r="P105" s="43"/>
      <c r="Q105" s="43"/>
      <c r="R105" s="43"/>
      <c r="S105" s="43"/>
      <c r="T105" s="43"/>
      <c r="U105" s="43"/>
      <c r="V105" s="43"/>
      <c r="W105" s="36">
        <f t="shared" si="31"/>
        <v>0</v>
      </c>
    </row>
    <row r="106" spans="1:23">
      <c r="A106" s="33" t="s">
        <v>417</v>
      </c>
      <c r="B106" s="34" t="s">
        <v>418</v>
      </c>
      <c r="C106" s="34"/>
      <c r="D106" s="47"/>
      <c r="E106" s="57"/>
      <c r="F106" s="57"/>
      <c r="G106" s="57"/>
      <c r="H106" s="57"/>
      <c r="I106" s="57"/>
      <c r="J106" s="57"/>
      <c r="K106" s="57"/>
      <c r="L106" s="57"/>
      <c r="M106" s="57"/>
      <c r="N106" s="57"/>
      <c r="O106" s="57"/>
      <c r="P106" s="57"/>
      <c r="Q106" s="57"/>
      <c r="R106" s="57"/>
      <c r="S106" s="57"/>
      <c r="T106" s="57"/>
      <c r="U106" s="57"/>
      <c r="V106" s="57"/>
      <c r="W106" s="36">
        <f t="shared" si="31"/>
        <v>0</v>
      </c>
    </row>
    <row r="107" spans="1:23">
      <c r="A107" s="33" t="s">
        <v>419</v>
      </c>
      <c r="B107" s="34" t="s">
        <v>420</v>
      </c>
      <c r="C107" s="34"/>
      <c r="D107" s="35"/>
      <c r="E107" s="37">
        <v>76</v>
      </c>
      <c r="F107" s="37">
        <v>37</v>
      </c>
      <c r="G107" s="37">
        <v>39</v>
      </c>
      <c r="H107" s="37"/>
      <c r="I107" s="37"/>
      <c r="J107" s="37">
        <v>78</v>
      </c>
      <c r="K107" s="37">
        <v>52</v>
      </c>
      <c r="L107" s="37">
        <v>33</v>
      </c>
      <c r="M107" s="37">
        <v>24</v>
      </c>
      <c r="N107" s="37">
        <v>23</v>
      </c>
      <c r="O107" s="37">
        <v>9</v>
      </c>
      <c r="P107" s="37">
        <v>8</v>
      </c>
      <c r="Q107" s="37"/>
      <c r="R107" s="37">
        <v>5</v>
      </c>
      <c r="S107" s="37"/>
      <c r="T107" s="37"/>
      <c r="U107" s="37"/>
      <c r="V107" s="37">
        <v>5</v>
      </c>
      <c r="W107" s="36">
        <f t="shared" si="31"/>
        <v>389</v>
      </c>
    </row>
    <row r="108" spans="1:23">
      <c r="A108" s="33" t="s">
        <v>421</v>
      </c>
      <c r="B108" s="56" t="s">
        <v>422</v>
      </c>
      <c r="C108" s="56"/>
      <c r="D108" s="47"/>
      <c r="E108" s="37">
        <v>7918.03</v>
      </c>
      <c r="F108" s="37">
        <v>12319.48</v>
      </c>
      <c r="G108" s="37">
        <v>5151</v>
      </c>
      <c r="H108" s="37">
        <v>17286.64</v>
      </c>
      <c r="I108" s="37">
        <v>17120.43</v>
      </c>
      <c r="J108" s="37">
        <v>12767.21</v>
      </c>
      <c r="K108" s="37">
        <v>10982.08</v>
      </c>
      <c r="L108" s="37">
        <v>6545.95</v>
      </c>
      <c r="M108" s="37">
        <v>20689.72</v>
      </c>
      <c r="N108" s="37">
        <v>9404.5</v>
      </c>
      <c r="O108" s="37">
        <v>4648.8900000000003</v>
      </c>
      <c r="P108" s="37">
        <v>11557.68</v>
      </c>
      <c r="Q108" s="37">
        <v>5904.38</v>
      </c>
      <c r="R108" s="37">
        <v>10260.540000000001</v>
      </c>
      <c r="S108" s="37">
        <v>5925.03</v>
      </c>
      <c r="T108" s="37">
        <v>7977.86</v>
      </c>
      <c r="U108" s="37">
        <v>5606</v>
      </c>
      <c r="V108" s="37"/>
      <c r="W108" s="36">
        <f t="shared" si="31"/>
        <v>172065.41999999998</v>
      </c>
    </row>
    <row r="109" spans="1:23">
      <c r="A109" s="33" t="s">
        <v>423</v>
      </c>
      <c r="B109" s="56" t="s">
        <v>424</v>
      </c>
      <c r="C109" s="56"/>
      <c r="D109" s="47"/>
      <c r="E109" s="37">
        <v>5700</v>
      </c>
      <c r="F109" s="37">
        <v>3530</v>
      </c>
      <c r="G109" s="37">
        <v>3901</v>
      </c>
      <c r="H109" s="37">
        <v>8804.2000000000007</v>
      </c>
      <c r="I109" s="37">
        <v>6712.2</v>
      </c>
      <c r="J109" s="37">
        <v>7538</v>
      </c>
      <c r="K109" s="37">
        <v>9586</v>
      </c>
      <c r="L109" s="37">
        <v>3899</v>
      </c>
      <c r="M109" s="37">
        <v>12205</v>
      </c>
      <c r="N109" s="37">
        <v>4143</v>
      </c>
      <c r="O109" s="37">
        <v>2486</v>
      </c>
      <c r="P109" s="37">
        <v>4188.01</v>
      </c>
      <c r="Q109" s="37">
        <v>2318.6999999999998</v>
      </c>
      <c r="R109" s="37">
        <v>4256.49</v>
      </c>
      <c r="S109" s="37">
        <v>2030</v>
      </c>
      <c r="T109" s="37">
        <v>5677.6</v>
      </c>
      <c r="U109" s="37">
        <v>1964.4</v>
      </c>
      <c r="V109" s="37"/>
      <c r="W109" s="36">
        <f t="shared" si="31"/>
        <v>88939.599999999991</v>
      </c>
    </row>
  </sheetData>
  <protectedRanges>
    <protectedRange password="E9C1" sqref="B31:D109 A4:D12 A2:W3 B13:D28 A13:A109 W4:W109" name="区域1_1_2"/>
    <protectedRange password="E9C1" sqref="B29:C30" name="区域1_1_1_1"/>
    <protectedRange password="E9C1" sqref="D29" name="区域1_3"/>
    <protectedRange password="E9C1" sqref="D30" name="区域1_2_1"/>
  </protectedRanges>
  <mergeCells count="1">
    <mergeCell ref="A1:W1"/>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9"/>
  <sheetViews>
    <sheetView topLeftCell="K1" workbookViewId="0">
      <selection activeCell="Q3" sqref="Q3:Q109"/>
    </sheetView>
  </sheetViews>
  <sheetFormatPr defaultColWidth="15.625" defaultRowHeight="11.25"/>
  <cols>
    <col min="1" max="1" width="4.625" style="145" customWidth="1"/>
    <col min="2" max="2" width="29.25" style="145" customWidth="1"/>
    <col min="3" max="3" width="13" style="145" customWidth="1"/>
    <col min="4" max="4" width="20" style="175" customWidth="1"/>
    <col min="5" max="17" width="15.625" style="145"/>
    <col min="18" max="18" width="20" style="145" bestFit="1" customWidth="1"/>
    <col min="19" max="256" width="15.625" style="145"/>
    <col min="257" max="257" width="4.625" style="145" customWidth="1"/>
    <col min="258" max="258" width="29.25" style="145" customWidth="1"/>
    <col min="259" max="259" width="13" style="145" customWidth="1"/>
    <col min="260" max="260" width="20" style="145" customWidth="1"/>
    <col min="261" max="273" width="15.625" style="145"/>
    <col min="274" max="274" width="20" style="145" bestFit="1" customWidth="1"/>
    <col min="275" max="512" width="15.625" style="145"/>
    <col min="513" max="513" width="4.625" style="145" customWidth="1"/>
    <col min="514" max="514" width="29.25" style="145" customWidth="1"/>
    <col min="515" max="515" width="13" style="145" customWidth="1"/>
    <col min="516" max="516" width="20" style="145" customWidth="1"/>
    <col min="517" max="529" width="15.625" style="145"/>
    <col min="530" max="530" width="20" style="145" bestFit="1" customWidth="1"/>
    <col min="531" max="768" width="15.625" style="145"/>
    <col min="769" max="769" width="4.625" style="145" customWidth="1"/>
    <col min="770" max="770" width="29.25" style="145" customWidth="1"/>
    <col min="771" max="771" width="13" style="145" customWidth="1"/>
    <col min="772" max="772" width="20" style="145" customWidth="1"/>
    <col min="773" max="785" width="15.625" style="145"/>
    <col min="786" max="786" width="20" style="145" bestFit="1" customWidth="1"/>
    <col min="787" max="1024" width="15.625" style="145"/>
    <col min="1025" max="1025" width="4.625" style="145" customWidth="1"/>
    <col min="1026" max="1026" width="29.25" style="145" customWidth="1"/>
    <col min="1027" max="1027" width="13" style="145" customWidth="1"/>
    <col min="1028" max="1028" width="20" style="145" customWidth="1"/>
    <col min="1029" max="1041" width="15.625" style="145"/>
    <col min="1042" max="1042" width="20" style="145" bestFit="1" customWidth="1"/>
    <col min="1043" max="1280" width="15.625" style="145"/>
    <col min="1281" max="1281" width="4.625" style="145" customWidth="1"/>
    <col min="1282" max="1282" width="29.25" style="145" customWidth="1"/>
    <col min="1283" max="1283" width="13" style="145" customWidth="1"/>
    <col min="1284" max="1284" width="20" style="145" customWidth="1"/>
    <col min="1285" max="1297" width="15.625" style="145"/>
    <col min="1298" max="1298" width="20" style="145" bestFit="1" customWidth="1"/>
    <col min="1299" max="1536" width="15.625" style="145"/>
    <col min="1537" max="1537" width="4.625" style="145" customWidth="1"/>
    <col min="1538" max="1538" width="29.25" style="145" customWidth="1"/>
    <col min="1539" max="1539" width="13" style="145" customWidth="1"/>
    <col min="1540" max="1540" width="20" style="145" customWidth="1"/>
    <col min="1541" max="1553" width="15.625" style="145"/>
    <col min="1554" max="1554" width="20" style="145" bestFit="1" customWidth="1"/>
    <col min="1555" max="1792" width="15.625" style="145"/>
    <col min="1793" max="1793" width="4.625" style="145" customWidth="1"/>
    <col min="1794" max="1794" width="29.25" style="145" customWidth="1"/>
    <col min="1795" max="1795" width="13" style="145" customWidth="1"/>
    <col min="1796" max="1796" width="20" style="145" customWidth="1"/>
    <col min="1797" max="1809" width="15.625" style="145"/>
    <col min="1810" max="1810" width="20" style="145" bestFit="1" customWidth="1"/>
    <col min="1811" max="2048" width="15.625" style="145"/>
    <col min="2049" max="2049" width="4.625" style="145" customWidth="1"/>
    <col min="2050" max="2050" width="29.25" style="145" customWidth="1"/>
    <col min="2051" max="2051" width="13" style="145" customWidth="1"/>
    <col min="2052" max="2052" width="20" style="145" customWidth="1"/>
    <col min="2053" max="2065" width="15.625" style="145"/>
    <col min="2066" max="2066" width="20" style="145" bestFit="1" customWidth="1"/>
    <col min="2067" max="2304" width="15.625" style="145"/>
    <col min="2305" max="2305" width="4.625" style="145" customWidth="1"/>
    <col min="2306" max="2306" width="29.25" style="145" customWidth="1"/>
    <col min="2307" max="2307" width="13" style="145" customWidth="1"/>
    <col min="2308" max="2308" width="20" style="145" customWidth="1"/>
    <col min="2309" max="2321" width="15.625" style="145"/>
    <col min="2322" max="2322" width="20" style="145" bestFit="1" customWidth="1"/>
    <col min="2323" max="2560" width="15.625" style="145"/>
    <col min="2561" max="2561" width="4.625" style="145" customWidth="1"/>
    <col min="2562" max="2562" width="29.25" style="145" customWidth="1"/>
    <col min="2563" max="2563" width="13" style="145" customWidth="1"/>
    <col min="2564" max="2564" width="20" style="145" customWidth="1"/>
    <col min="2565" max="2577" width="15.625" style="145"/>
    <col min="2578" max="2578" width="20" style="145" bestFit="1" customWidth="1"/>
    <col min="2579" max="2816" width="15.625" style="145"/>
    <col min="2817" max="2817" width="4.625" style="145" customWidth="1"/>
    <col min="2818" max="2818" width="29.25" style="145" customWidth="1"/>
    <col min="2819" max="2819" width="13" style="145" customWidth="1"/>
    <col min="2820" max="2820" width="20" style="145" customWidth="1"/>
    <col min="2821" max="2833" width="15.625" style="145"/>
    <col min="2834" max="2834" width="20" style="145" bestFit="1" customWidth="1"/>
    <col min="2835" max="3072" width="15.625" style="145"/>
    <col min="3073" max="3073" width="4.625" style="145" customWidth="1"/>
    <col min="3074" max="3074" width="29.25" style="145" customWidth="1"/>
    <col min="3075" max="3075" width="13" style="145" customWidth="1"/>
    <col min="3076" max="3076" width="20" style="145" customWidth="1"/>
    <col min="3077" max="3089" width="15.625" style="145"/>
    <col min="3090" max="3090" width="20" style="145" bestFit="1" customWidth="1"/>
    <col min="3091" max="3328" width="15.625" style="145"/>
    <col min="3329" max="3329" width="4.625" style="145" customWidth="1"/>
    <col min="3330" max="3330" width="29.25" style="145" customWidth="1"/>
    <col min="3331" max="3331" width="13" style="145" customWidth="1"/>
    <col min="3332" max="3332" width="20" style="145" customWidth="1"/>
    <col min="3333" max="3345" width="15.625" style="145"/>
    <col min="3346" max="3346" width="20" style="145" bestFit="1" customWidth="1"/>
    <col min="3347" max="3584" width="15.625" style="145"/>
    <col min="3585" max="3585" width="4.625" style="145" customWidth="1"/>
    <col min="3586" max="3586" width="29.25" style="145" customWidth="1"/>
    <col min="3587" max="3587" width="13" style="145" customWidth="1"/>
    <col min="3588" max="3588" width="20" style="145" customWidth="1"/>
    <col min="3589" max="3601" width="15.625" style="145"/>
    <col min="3602" max="3602" width="20" style="145" bestFit="1" customWidth="1"/>
    <col min="3603" max="3840" width="15.625" style="145"/>
    <col min="3841" max="3841" width="4.625" style="145" customWidth="1"/>
    <col min="3842" max="3842" width="29.25" style="145" customWidth="1"/>
    <col min="3843" max="3843" width="13" style="145" customWidth="1"/>
    <col min="3844" max="3844" width="20" style="145" customWidth="1"/>
    <col min="3845" max="3857" width="15.625" style="145"/>
    <col min="3858" max="3858" width="20" style="145" bestFit="1" customWidth="1"/>
    <col min="3859" max="4096" width="15.625" style="145"/>
    <col min="4097" max="4097" width="4.625" style="145" customWidth="1"/>
    <col min="4098" max="4098" width="29.25" style="145" customWidth="1"/>
    <col min="4099" max="4099" width="13" style="145" customWidth="1"/>
    <col min="4100" max="4100" width="20" style="145" customWidth="1"/>
    <col min="4101" max="4113" width="15.625" style="145"/>
    <col min="4114" max="4114" width="20" style="145" bestFit="1" customWidth="1"/>
    <col min="4115" max="4352" width="15.625" style="145"/>
    <col min="4353" max="4353" width="4.625" style="145" customWidth="1"/>
    <col min="4354" max="4354" width="29.25" style="145" customWidth="1"/>
    <col min="4355" max="4355" width="13" style="145" customWidth="1"/>
    <col min="4356" max="4356" width="20" style="145" customWidth="1"/>
    <col min="4357" max="4369" width="15.625" style="145"/>
    <col min="4370" max="4370" width="20" style="145" bestFit="1" customWidth="1"/>
    <col min="4371" max="4608" width="15.625" style="145"/>
    <col min="4609" max="4609" width="4.625" style="145" customWidth="1"/>
    <col min="4610" max="4610" width="29.25" style="145" customWidth="1"/>
    <col min="4611" max="4611" width="13" style="145" customWidth="1"/>
    <col min="4612" max="4612" width="20" style="145" customWidth="1"/>
    <col min="4613" max="4625" width="15.625" style="145"/>
    <col min="4626" max="4626" width="20" style="145" bestFit="1" customWidth="1"/>
    <col min="4627" max="4864" width="15.625" style="145"/>
    <col min="4865" max="4865" width="4.625" style="145" customWidth="1"/>
    <col min="4866" max="4866" width="29.25" style="145" customWidth="1"/>
    <col min="4867" max="4867" width="13" style="145" customWidth="1"/>
    <col min="4868" max="4868" width="20" style="145" customWidth="1"/>
    <col min="4869" max="4881" width="15.625" style="145"/>
    <col min="4882" max="4882" width="20" style="145" bestFit="1" customWidth="1"/>
    <col min="4883" max="5120" width="15.625" style="145"/>
    <col min="5121" max="5121" width="4.625" style="145" customWidth="1"/>
    <col min="5122" max="5122" width="29.25" style="145" customWidth="1"/>
    <col min="5123" max="5123" width="13" style="145" customWidth="1"/>
    <col min="5124" max="5124" width="20" style="145" customWidth="1"/>
    <col min="5125" max="5137" width="15.625" style="145"/>
    <col min="5138" max="5138" width="20" style="145" bestFit="1" customWidth="1"/>
    <col min="5139" max="5376" width="15.625" style="145"/>
    <col min="5377" max="5377" width="4.625" style="145" customWidth="1"/>
    <col min="5378" max="5378" width="29.25" style="145" customWidth="1"/>
    <col min="5379" max="5379" width="13" style="145" customWidth="1"/>
    <col min="5380" max="5380" width="20" style="145" customWidth="1"/>
    <col min="5381" max="5393" width="15.625" style="145"/>
    <col min="5394" max="5394" width="20" style="145" bestFit="1" customWidth="1"/>
    <col min="5395" max="5632" width="15.625" style="145"/>
    <col min="5633" max="5633" width="4.625" style="145" customWidth="1"/>
    <col min="5634" max="5634" width="29.25" style="145" customWidth="1"/>
    <col min="5635" max="5635" width="13" style="145" customWidth="1"/>
    <col min="5636" max="5636" width="20" style="145" customWidth="1"/>
    <col min="5637" max="5649" width="15.625" style="145"/>
    <col min="5650" max="5650" width="20" style="145" bestFit="1" customWidth="1"/>
    <col min="5651" max="5888" width="15.625" style="145"/>
    <col min="5889" max="5889" width="4.625" style="145" customWidth="1"/>
    <col min="5890" max="5890" width="29.25" style="145" customWidth="1"/>
    <col min="5891" max="5891" width="13" style="145" customWidth="1"/>
    <col min="5892" max="5892" width="20" style="145" customWidth="1"/>
    <col min="5893" max="5905" width="15.625" style="145"/>
    <col min="5906" max="5906" width="20" style="145" bestFit="1" customWidth="1"/>
    <col min="5907" max="6144" width="15.625" style="145"/>
    <col min="6145" max="6145" width="4.625" style="145" customWidth="1"/>
    <col min="6146" max="6146" width="29.25" style="145" customWidth="1"/>
    <col min="6147" max="6147" width="13" style="145" customWidth="1"/>
    <col min="6148" max="6148" width="20" style="145" customWidth="1"/>
    <col min="6149" max="6161" width="15.625" style="145"/>
    <col min="6162" max="6162" width="20" style="145" bestFit="1" customWidth="1"/>
    <col min="6163" max="6400" width="15.625" style="145"/>
    <col min="6401" max="6401" width="4.625" style="145" customWidth="1"/>
    <col min="6402" max="6402" width="29.25" style="145" customWidth="1"/>
    <col min="6403" max="6403" width="13" style="145" customWidth="1"/>
    <col min="6404" max="6404" width="20" style="145" customWidth="1"/>
    <col min="6405" max="6417" width="15.625" style="145"/>
    <col min="6418" max="6418" width="20" style="145" bestFit="1" customWidth="1"/>
    <col min="6419" max="6656" width="15.625" style="145"/>
    <col min="6657" max="6657" width="4.625" style="145" customWidth="1"/>
    <col min="6658" max="6658" width="29.25" style="145" customWidth="1"/>
    <col min="6659" max="6659" width="13" style="145" customWidth="1"/>
    <col min="6660" max="6660" width="20" style="145" customWidth="1"/>
    <col min="6661" max="6673" width="15.625" style="145"/>
    <col min="6674" max="6674" width="20" style="145" bestFit="1" customWidth="1"/>
    <col min="6675" max="6912" width="15.625" style="145"/>
    <col min="6913" max="6913" width="4.625" style="145" customWidth="1"/>
    <col min="6914" max="6914" width="29.25" style="145" customWidth="1"/>
    <col min="6915" max="6915" width="13" style="145" customWidth="1"/>
    <col min="6916" max="6916" width="20" style="145" customWidth="1"/>
    <col min="6917" max="6929" width="15.625" style="145"/>
    <col min="6930" max="6930" width="20" style="145" bestFit="1" customWidth="1"/>
    <col min="6931" max="7168" width="15.625" style="145"/>
    <col min="7169" max="7169" width="4.625" style="145" customWidth="1"/>
    <col min="7170" max="7170" width="29.25" style="145" customWidth="1"/>
    <col min="7171" max="7171" width="13" style="145" customWidth="1"/>
    <col min="7172" max="7172" width="20" style="145" customWidth="1"/>
    <col min="7173" max="7185" width="15.625" style="145"/>
    <col min="7186" max="7186" width="20" style="145" bestFit="1" customWidth="1"/>
    <col min="7187" max="7424" width="15.625" style="145"/>
    <col min="7425" max="7425" width="4.625" style="145" customWidth="1"/>
    <col min="7426" max="7426" width="29.25" style="145" customWidth="1"/>
    <col min="7427" max="7427" width="13" style="145" customWidth="1"/>
    <col min="7428" max="7428" width="20" style="145" customWidth="1"/>
    <col min="7429" max="7441" width="15.625" style="145"/>
    <col min="7442" max="7442" width="20" style="145" bestFit="1" customWidth="1"/>
    <col min="7443" max="7680" width="15.625" style="145"/>
    <col min="7681" max="7681" width="4.625" style="145" customWidth="1"/>
    <col min="7682" max="7682" width="29.25" style="145" customWidth="1"/>
    <col min="7683" max="7683" width="13" style="145" customWidth="1"/>
    <col min="7684" max="7684" width="20" style="145" customWidth="1"/>
    <col min="7685" max="7697" width="15.625" style="145"/>
    <col min="7698" max="7698" width="20" style="145" bestFit="1" customWidth="1"/>
    <col min="7699" max="7936" width="15.625" style="145"/>
    <col min="7937" max="7937" width="4.625" style="145" customWidth="1"/>
    <col min="7938" max="7938" width="29.25" style="145" customWidth="1"/>
    <col min="7939" max="7939" width="13" style="145" customWidth="1"/>
    <col min="7940" max="7940" width="20" style="145" customWidth="1"/>
    <col min="7941" max="7953" width="15.625" style="145"/>
    <col min="7954" max="7954" width="20" style="145" bestFit="1" customWidth="1"/>
    <col min="7955" max="8192" width="15.625" style="145"/>
    <col min="8193" max="8193" width="4.625" style="145" customWidth="1"/>
    <col min="8194" max="8194" width="29.25" style="145" customWidth="1"/>
    <col min="8195" max="8195" width="13" style="145" customWidth="1"/>
    <col min="8196" max="8196" width="20" style="145" customWidth="1"/>
    <col min="8197" max="8209" width="15.625" style="145"/>
    <col min="8210" max="8210" width="20" style="145" bestFit="1" customWidth="1"/>
    <col min="8211" max="8448" width="15.625" style="145"/>
    <col min="8449" max="8449" width="4.625" style="145" customWidth="1"/>
    <col min="8450" max="8450" width="29.25" style="145" customWidth="1"/>
    <col min="8451" max="8451" width="13" style="145" customWidth="1"/>
    <col min="8452" max="8452" width="20" style="145" customWidth="1"/>
    <col min="8453" max="8465" width="15.625" style="145"/>
    <col min="8466" max="8466" width="20" style="145" bestFit="1" customWidth="1"/>
    <col min="8467" max="8704" width="15.625" style="145"/>
    <col min="8705" max="8705" width="4.625" style="145" customWidth="1"/>
    <col min="8706" max="8706" width="29.25" style="145" customWidth="1"/>
    <col min="8707" max="8707" width="13" style="145" customWidth="1"/>
    <col min="8708" max="8708" width="20" style="145" customWidth="1"/>
    <col min="8709" max="8721" width="15.625" style="145"/>
    <col min="8722" max="8722" width="20" style="145" bestFit="1" customWidth="1"/>
    <col min="8723" max="8960" width="15.625" style="145"/>
    <col min="8961" max="8961" width="4.625" style="145" customWidth="1"/>
    <col min="8962" max="8962" width="29.25" style="145" customWidth="1"/>
    <col min="8963" max="8963" width="13" style="145" customWidth="1"/>
    <col min="8964" max="8964" width="20" style="145" customWidth="1"/>
    <col min="8965" max="8977" width="15.625" style="145"/>
    <col min="8978" max="8978" width="20" style="145" bestFit="1" customWidth="1"/>
    <col min="8979" max="9216" width="15.625" style="145"/>
    <col min="9217" max="9217" width="4.625" style="145" customWidth="1"/>
    <col min="9218" max="9218" width="29.25" style="145" customWidth="1"/>
    <col min="9219" max="9219" width="13" style="145" customWidth="1"/>
    <col min="9220" max="9220" width="20" style="145" customWidth="1"/>
    <col min="9221" max="9233" width="15.625" style="145"/>
    <col min="9234" max="9234" width="20" style="145" bestFit="1" customWidth="1"/>
    <col min="9235" max="9472" width="15.625" style="145"/>
    <col min="9473" max="9473" width="4.625" style="145" customWidth="1"/>
    <col min="9474" max="9474" width="29.25" style="145" customWidth="1"/>
    <col min="9475" max="9475" width="13" style="145" customWidth="1"/>
    <col min="9476" max="9476" width="20" style="145" customWidth="1"/>
    <col min="9477" max="9489" width="15.625" style="145"/>
    <col min="9490" max="9490" width="20" style="145" bestFit="1" customWidth="1"/>
    <col min="9491" max="9728" width="15.625" style="145"/>
    <col min="9729" max="9729" width="4.625" style="145" customWidth="1"/>
    <col min="9730" max="9730" width="29.25" style="145" customWidth="1"/>
    <col min="9731" max="9731" width="13" style="145" customWidth="1"/>
    <col min="9732" max="9732" width="20" style="145" customWidth="1"/>
    <col min="9733" max="9745" width="15.625" style="145"/>
    <col min="9746" max="9746" width="20" style="145" bestFit="1" customWidth="1"/>
    <col min="9747" max="9984" width="15.625" style="145"/>
    <col min="9985" max="9985" width="4.625" style="145" customWidth="1"/>
    <col min="9986" max="9986" width="29.25" style="145" customWidth="1"/>
    <col min="9987" max="9987" width="13" style="145" customWidth="1"/>
    <col min="9988" max="9988" width="20" style="145" customWidth="1"/>
    <col min="9989" max="10001" width="15.625" style="145"/>
    <col min="10002" max="10002" width="20" style="145" bestFit="1" customWidth="1"/>
    <col min="10003" max="10240" width="15.625" style="145"/>
    <col min="10241" max="10241" width="4.625" style="145" customWidth="1"/>
    <col min="10242" max="10242" width="29.25" style="145" customWidth="1"/>
    <col min="10243" max="10243" width="13" style="145" customWidth="1"/>
    <col min="10244" max="10244" width="20" style="145" customWidth="1"/>
    <col min="10245" max="10257" width="15.625" style="145"/>
    <col min="10258" max="10258" width="20" style="145" bestFit="1" customWidth="1"/>
    <col min="10259" max="10496" width="15.625" style="145"/>
    <col min="10497" max="10497" width="4.625" style="145" customWidth="1"/>
    <col min="10498" max="10498" width="29.25" style="145" customWidth="1"/>
    <col min="10499" max="10499" width="13" style="145" customWidth="1"/>
    <col min="10500" max="10500" width="20" style="145" customWidth="1"/>
    <col min="10501" max="10513" width="15.625" style="145"/>
    <col min="10514" max="10514" width="20" style="145" bestFit="1" customWidth="1"/>
    <col min="10515" max="10752" width="15.625" style="145"/>
    <col min="10753" max="10753" width="4.625" style="145" customWidth="1"/>
    <col min="10754" max="10754" width="29.25" style="145" customWidth="1"/>
    <col min="10755" max="10755" width="13" style="145" customWidth="1"/>
    <col min="10756" max="10756" width="20" style="145" customWidth="1"/>
    <col min="10757" max="10769" width="15.625" style="145"/>
    <col min="10770" max="10770" width="20" style="145" bestFit="1" customWidth="1"/>
    <col min="10771" max="11008" width="15.625" style="145"/>
    <col min="11009" max="11009" width="4.625" style="145" customWidth="1"/>
    <col min="11010" max="11010" width="29.25" style="145" customWidth="1"/>
    <col min="11011" max="11011" width="13" style="145" customWidth="1"/>
    <col min="11012" max="11012" width="20" style="145" customWidth="1"/>
    <col min="11013" max="11025" width="15.625" style="145"/>
    <col min="11026" max="11026" width="20" style="145" bestFit="1" customWidth="1"/>
    <col min="11027" max="11264" width="15.625" style="145"/>
    <col min="11265" max="11265" width="4.625" style="145" customWidth="1"/>
    <col min="11266" max="11266" width="29.25" style="145" customWidth="1"/>
    <col min="11267" max="11267" width="13" style="145" customWidth="1"/>
    <col min="11268" max="11268" width="20" style="145" customWidth="1"/>
    <col min="11269" max="11281" width="15.625" style="145"/>
    <col min="11282" max="11282" width="20" style="145" bestFit="1" customWidth="1"/>
    <col min="11283" max="11520" width="15.625" style="145"/>
    <col min="11521" max="11521" width="4.625" style="145" customWidth="1"/>
    <col min="11522" max="11522" width="29.25" style="145" customWidth="1"/>
    <col min="11523" max="11523" width="13" style="145" customWidth="1"/>
    <col min="11524" max="11524" width="20" style="145" customWidth="1"/>
    <col min="11525" max="11537" width="15.625" style="145"/>
    <col min="11538" max="11538" width="20" style="145" bestFit="1" customWidth="1"/>
    <col min="11539" max="11776" width="15.625" style="145"/>
    <col min="11777" max="11777" width="4.625" style="145" customWidth="1"/>
    <col min="11778" max="11778" width="29.25" style="145" customWidth="1"/>
    <col min="11779" max="11779" width="13" style="145" customWidth="1"/>
    <col min="11780" max="11780" width="20" style="145" customWidth="1"/>
    <col min="11781" max="11793" width="15.625" style="145"/>
    <col min="11794" max="11794" width="20" style="145" bestFit="1" customWidth="1"/>
    <col min="11795" max="12032" width="15.625" style="145"/>
    <col min="12033" max="12033" width="4.625" style="145" customWidth="1"/>
    <col min="12034" max="12034" width="29.25" style="145" customWidth="1"/>
    <col min="12035" max="12035" width="13" style="145" customWidth="1"/>
    <col min="12036" max="12036" width="20" style="145" customWidth="1"/>
    <col min="12037" max="12049" width="15.625" style="145"/>
    <col min="12050" max="12050" width="20" style="145" bestFit="1" customWidth="1"/>
    <col min="12051" max="12288" width="15.625" style="145"/>
    <col min="12289" max="12289" width="4.625" style="145" customWidth="1"/>
    <col min="12290" max="12290" width="29.25" style="145" customWidth="1"/>
    <col min="12291" max="12291" width="13" style="145" customWidth="1"/>
    <col min="12292" max="12292" width="20" style="145" customWidth="1"/>
    <col min="12293" max="12305" width="15.625" style="145"/>
    <col min="12306" max="12306" width="20" style="145" bestFit="1" customWidth="1"/>
    <col min="12307" max="12544" width="15.625" style="145"/>
    <col min="12545" max="12545" width="4.625" style="145" customWidth="1"/>
    <col min="12546" max="12546" width="29.25" style="145" customWidth="1"/>
    <col min="12547" max="12547" width="13" style="145" customWidth="1"/>
    <col min="12548" max="12548" width="20" style="145" customWidth="1"/>
    <col min="12549" max="12561" width="15.625" style="145"/>
    <col min="12562" max="12562" width="20" style="145" bestFit="1" customWidth="1"/>
    <col min="12563" max="12800" width="15.625" style="145"/>
    <col min="12801" max="12801" width="4.625" style="145" customWidth="1"/>
    <col min="12802" max="12802" width="29.25" style="145" customWidth="1"/>
    <col min="12803" max="12803" width="13" style="145" customWidth="1"/>
    <col min="12804" max="12804" width="20" style="145" customWidth="1"/>
    <col min="12805" max="12817" width="15.625" style="145"/>
    <col min="12818" max="12818" width="20" style="145" bestFit="1" customWidth="1"/>
    <col min="12819" max="13056" width="15.625" style="145"/>
    <col min="13057" max="13057" width="4.625" style="145" customWidth="1"/>
    <col min="13058" max="13058" width="29.25" style="145" customWidth="1"/>
    <col min="13059" max="13059" width="13" style="145" customWidth="1"/>
    <col min="13060" max="13060" width="20" style="145" customWidth="1"/>
    <col min="13061" max="13073" width="15.625" style="145"/>
    <col min="13074" max="13074" width="20" style="145" bestFit="1" customWidth="1"/>
    <col min="13075" max="13312" width="15.625" style="145"/>
    <col min="13313" max="13313" width="4.625" style="145" customWidth="1"/>
    <col min="13314" max="13314" width="29.25" style="145" customWidth="1"/>
    <col min="13315" max="13315" width="13" style="145" customWidth="1"/>
    <col min="13316" max="13316" width="20" style="145" customWidth="1"/>
    <col min="13317" max="13329" width="15.625" style="145"/>
    <col min="13330" max="13330" width="20" style="145" bestFit="1" customWidth="1"/>
    <col min="13331" max="13568" width="15.625" style="145"/>
    <col min="13569" max="13569" width="4.625" style="145" customWidth="1"/>
    <col min="13570" max="13570" width="29.25" style="145" customWidth="1"/>
    <col min="13571" max="13571" width="13" style="145" customWidth="1"/>
    <col min="13572" max="13572" width="20" style="145" customWidth="1"/>
    <col min="13573" max="13585" width="15.625" style="145"/>
    <col min="13586" max="13586" width="20" style="145" bestFit="1" customWidth="1"/>
    <col min="13587" max="13824" width="15.625" style="145"/>
    <col min="13825" max="13825" width="4.625" style="145" customWidth="1"/>
    <col min="13826" max="13826" width="29.25" style="145" customWidth="1"/>
    <col min="13827" max="13827" width="13" style="145" customWidth="1"/>
    <col min="13828" max="13828" width="20" style="145" customWidth="1"/>
    <col min="13829" max="13841" width="15.625" style="145"/>
    <col min="13842" max="13842" width="20" style="145" bestFit="1" customWidth="1"/>
    <col min="13843" max="14080" width="15.625" style="145"/>
    <col min="14081" max="14081" width="4.625" style="145" customWidth="1"/>
    <col min="14082" max="14082" width="29.25" style="145" customWidth="1"/>
    <col min="14083" max="14083" width="13" style="145" customWidth="1"/>
    <col min="14084" max="14084" width="20" style="145" customWidth="1"/>
    <col min="14085" max="14097" width="15.625" style="145"/>
    <col min="14098" max="14098" width="20" style="145" bestFit="1" customWidth="1"/>
    <col min="14099" max="14336" width="15.625" style="145"/>
    <col min="14337" max="14337" width="4.625" style="145" customWidth="1"/>
    <col min="14338" max="14338" width="29.25" style="145" customWidth="1"/>
    <col min="14339" max="14339" width="13" style="145" customWidth="1"/>
    <col min="14340" max="14340" width="20" style="145" customWidth="1"/>
    <col min="14341" max="14353" width="15.625" style="145"/>
    <col min="14354" max="14354" width="20" style="145" bestFit="1" customWidth="1"/>
    <col min="14355" max="14592" width="15.625" style="145"/>
    <col min="14593" max="14593" width="4.625" style="145" customWidth="1"/>
    <col min="14594" max="14594" width="29.25" style="145" customWidth="1"/>
    <col min="14595" max="14595" width="13" style="145" customWidth="1"/>
    <col min="14596" max="14596" width="20" style="145" customWidth="1"/>
    <col min="14597" max="14609" width="15.625" style="145"/>
    <col min="14610" max="14610" width="20" style="145" bestFit="1" customWidth="1"/>
    <col min="14611" max="14848" width="15.625" style="145"/>
    <col min="14849" max="14849" width="4.625" style="145" customWidth="1"/>
    <col min="14850" max="14850" width="29.25" style="145" customWidth="1"/>
    <col min="14851" max="14851" width="13" style="145" customWidth="1"/>
    <col min="14852" max="14852" width="20" style="145" customWidth="1"/>
    <col min="14853" max="14865" width="15.625" style="145"/>
    <col min="14866" max="14866" width="20" style="145" bestFit="1" customWidth="1"/>
    <col min="14867" max="15104" width="15.625" style="145"/>
    <col min="15105" max="15105" width="4.625" style="145" customWidth="1"/>
    <col min="15106" max="15106" width="29.25" style="145" customWidth="1"/>
    <col min="15107" max="15107" width="13" style="145" customWidth="1"/>
    <col min="15108" max="15108" width="20" style="145" customWidth="1"/>
    <col min="15109" max="15121" width="15.625" style="145"/>
    <col min="15122" max="15122" width="20" style="145" bestFit="1" customWidth="1"/>
    <col min="15123" max="15360" width="15.625" style="145"/>
    <col min="15361" max="15361" width="4.625" style="145" customWidth="1"/>
    <col min="15362" max="15362" width="29.25" style="145" customWidth="1"/>
    <col min="15363" max="15363" width="13" style="145" customWidth="1"/>
    <col min="15364" max="15364" width="20" style="145" customWidth="1"/>
    <col min="15365" max="15377" width="15.625" style="145"/>
    <col min="15378" max="15378" width="20" style="145" bestFit="1" customWidth="1"/>
    <col min="15379" max="15616" width="15.625" style="145"/>
    <col min="15617" max="15617" width="4.625" style="145" customWidth="1"/>
    <col min="15618" max="15618" width="29.25" style="145" customWidth="1"/>
    <col min="15619" max="15619" width="13" style="145" customWidth="1"/>
    <col min="15620" max="15620" width="20" style="145" customWidth="1"/>
    <col min="15621" max="15633" width="15.625" style="145"/>
    <col min="15634" max="15634" width="20" style="145" bestFit="1" customWidth="1"/>
    <col min="15635" max="15872" width="15.625" style="145"/>
    <col min="15873" max="15873" width="4.625" style="145" customWidth="1"/>
    <col min="15874" max="15874" width="29.25" style="145" customWidth="1"/>
    <col min="15875" max="15875" width="13" style="145" customWidth="1"/>
    <col min="15876" max="15876" width="20" style="145" customWidth="1"/>
    <col min="15877" max="15889" width="15.625" style="145"/>
    <col min="15890" max="15890" width="20" style="145" bestFit="1" customWidth="1"/>
    <col min="15891" max="16128" width="15.625" style="145"/>
    <col min="16129" max="16129" width="4.625" style="145" customWidth="1"/>
    <col min="16130" max="16130" width="29.25" style="145" customWidth="1"/>
    <col min="16131" max="16131" width="13" style="145" customWidth="1"/>
    <col min="16132" max="16132" width="20" style="145" customWidth="1"/>
    <col min="16133" max="16145" width="15.625" style="145"/>
    <col min="16146" max="16146" width="20" style="145" bestFit="1" customWidth="1"/>
    <col min="16147" max="16384" width="15.625" style="145"/>
  </cols>
  <sheetData>
    <row r="1" spans="1:19" ht="25.5">
      <c r="A1" s="1332" t="s">
        <v>545</v>
      </c>
      <c r="B1" s="1347"/>
      <c r="C1" s="1347"/>
      <c r="D1" s="1347"/>
      <c r="E1" s="1347"/>
      <c r="F1" s="1347"/>
      <c r="G1" s="1347"/>
      <c r="H1" s="1347"/>
      <c r="I1" s="1347"/>
      <c r="J1" s="1347"/>
      <c r="K1" s="1347"/>
      <c r="L1" s="1347"/>
      <c r="M1" s="1347"/>
      <c r="N1" s="1347"/>
      <c r="O1" s="1347"/>
      <c r="P1" s="1347"/>
      <c r="Q1" s="1347"/>
    </row>
    <row r="2" spans="1:19">
      <c r="A2" s="146" t="s">
        <v>0</v>
      </c>
      <c r="B2" s="146" t="s">
        <v>180</v>
      </c>
      <c r="C2" s="146" t="s">
        <v>181</v>
      </c>
      <c r="D2" s="147" t="s">
        <v>182</v>
      </c>
      <c r="E2" s="147" t="s">
        <v>546</v>
      </c>
      <c r="F2" s="147" t="s">
        <v>547</v>
      </c>
      <c r="G2" s="147" t="s">
        <v>548</v>
      </c>
      <c r="H2" s="147" t="s">
        <v>549</v>
      </c>
      <c r="I2" s="147" t="s">
        <v>550</v>
      </c>
      <c r="J2" s="147" t="s">
        <v>551</v>
      </c>
      <c r="K2" s="147" t="s">
        <v>552</v>
      </c>
      <c r="L2" s="147" t="s">
        <v>553</v>
      </c>
      <c r="M2" s="147" t="s">
        <v>554</v>
      </c>
      <c r="N2" s="147" t="s">
        <v>555</v>
      </c>
      <c r="O2" s="147" t="s">
        <v>556</v>
      </c>
      <c r="P2" s="147" t="s">
        <v>557</v>
      </c>
      <c r="Q2" s="147" t="s">
        <v>25</v>
      </c>
      <c r="R2" s="148"/>
    </row>
    <row r="3" spans="1:19">
      <c r="A3" s="149" t="s">
        <v>183</v>
      </c>
      <c r="B3" s="150" t="s">
        <v>184</v>
      </c>
      <c r="C3" s="150"/>
      <c r="D3" s="151" t="s">
        <v>185</v>
      </c>
      <c r="E3" s="152">
        <f>E4+E31+E52</f>
        <v>3306073.6</v>
      </c>
      <c r="F3" s="152">
        <f t="shared" ref="F3:P3" si="0">F4+F31+F52</f>
        <v>62927525</v>
      </c>
      <c r="G3" s="152">
        <f t="shared" si="0"/>
        <v>25426189.550000001</v>
      </c>
      <c r="H3" s="152">
        <f t="shared" si="0"/>
        <v>26410477.600000001</v>
      </c>
      <c r="I3" s="152">
        <f t="shared" si="0"/>
        <v>32511102.600000001</v>
      </c>
      <c r="J3" s="152">
        <f t="shared" si="0"/>
        <v>9822050.5999999996</v>
      </c>
      <c r="K3" s="152">
        <f t="shared" si="0"/>
        <v>7668188.7000000002</v>
      </c>
      <c r="L3" s="152">
        <f t="shared" si="0"/>
        <v>8720129</v>
      </c>
      <c r="M3" s="152">
        <f t="shared" si="0"/>
        <v>8385542.0499999998</v>
      </c>
      <c r="N3" s="152">
        <f t="shared" si="0"/>
        <v>15847271</v>
      </c>
      <c r="O3" s="152">
        <f t="shared" si="0"/>
        <v>5420378</v>
      </c>
      <c r="P3" s="152">
        <f t="shared" si="0"/>
        <v>2334319.2000000002</v>
      </c>
      <c r="Q3" s="152">
        <f t="shared" ref="Q3:Q66" si="1">SUM(E3:P3)</f>
        <v>208779246.89999998</v>
      </c>
      <c r="R3" s="148"/>
      <c r="S3" s="153"/>
    </row>
    <row r="4" spans="1:19">
      <c r="A4" s="149" t="s">
        <v>186</v>
      </c>
      <c r="B4" s="150" t="s">
        <v>128</v>
      </c>
      <c r="C4" s="150"/>
      <c r="D4" s="151" t="s">
        <v>185</v>
      </c>
      <c r="E4" s="152">
        <f t="shared" ref="E4:P4" si="2">E5+E8+E13+E17+E20+E22+E25+E27+E29+E30</f>
        <v>2831883</v>
      </c>
      <c r="F4" s="152">
        <f t="shared" si="2"/>
        <v>55983847</v>
      </c>
      <c r="G4" s="152">
        <f t="shared" si="2"/>
        <v>22168371</v>
      </c>
      <c r="H4" s="152">
        <f t="shared" si="2"/>
        <v>22597389</v>
      </c>
      <c r="I4" s="152">
        <f t="shared" si="2"/>
        <v>27433036</v>
      </c>
      <c r="J4" s="152">
        <f t="shared" si="2"/>
        <v>8533910</v>
      </c>
      <c r="K4" s="152">
        <f t="shared" si="2"/>
        <v>6544010</v>
      </c>
      <c r="L4" s="152">
        <f t="shared" si="2"/>
        <v>7507464</v>
      </c>
      <c r="M4" s="152">
        <f t="shared" si="2"/>
        <v>6793770</v>
      </c>
      <c r="N4" s="152">
        <f t="shared" si="2"/>
        <v>13345032</v>
      </c>
      <c r="O4" s="152">
        <f t="shared" si="2"/>
        <v>4322447</v>
      </c>
      <c r="P4" s="152">
        <f t="shared" si="2"/>
        <v>1327154</v>
      </c>
      <c r="Q4" s="152">
        <f t="shared" si="1"/>
        <v>179388313</v>
      </c>
    </row>
    <row r="5" spans="1:19">
      <c r="A5" s="149" t="s">
        <v>187</v>
      </c>
      <c r="B5" s="150" t="s">
        <v>188</v>
      </c>
      <c r="C5" s="150"/>
      <c r="D5" s="151" t="s">
        <v>185</v>
      </c>
      <c r="E5" s="152">
        <f>E6+E7</f>
        <v>446544</v>
      </c>
      <c r="F5" s="152">
        <f t="shared" ref="F5:P5" si="3">F6+F7</f>
        <v>8900676</v>
      </c>
      <c r="G5" s="152">
        <f t="shared" si="3"/>
        <v>2528784</v>
      </c>
      <c r="H5" s="152">
        <f t="shared" si="3"/>
        <v>2598744</v>
      </c>
      <c r="I5" s="152">
        <f t="shared" si="3"/>
        <v>3194124</v>
      </c>
      <c r="J5" s="152">
        <f t="shared" si="3"/>
        <v>1279728</v>
      </c>
      <c r="K5" s="152">
        <f t="shared" si="3"/>
        <v>854256</v>
      </c>
      <c r="L5" s="152">
        <f t="shared" si="3"/>
        <v>942006</v>
      </c>
      <c r="M5" s="152">
        <f t="shared" si="3"/>
        <v>832992</v>
      </c>
      <c r="N5" s="152">
        <f t="shared" si="3"/>
        <v>1547628</v>
      </c>
      <c r="O5" s="152">
        <f t="shared" si="3"/>
        <v>517956</v>
      </c>
      <c r="P5" s="152">
        <f t="shared" si="3"/>
        <v>164028</v>
      </c>
      <c r="Q5" s="152">
        <f t="shared" si="1"/>
        <v>23807466</v>
      </c>
    </row>
    <row r="6" spans="1:19">
      <c r="A6" s="149" t="s">
        <v>189</v>
      </c>
      <c r="B6" s="150" t="s">
        <v>190</v>
      </c>
      <c r="C6" s="150" t="s">
        <v>191</v>
      </c>
      <c r="D6" s="151" t="s">
        <v>192</v>
      </c>
      <c r="E6" s="154">
        <v>227244</v>
      </c>
      <c r="F6" s="154">
        <f>376577*12</f>
        <v>4518924</v>
      </c>
      <c r="G6" s="154">
        <v>1812216</v>
      </c>
      <c r="H6" s="154">
        <v>1727808</v>
      </c>
      <c r="I6" s="154">
        <v>2155800</v>
      </c>
      <c r="J6" s="154">
        <v>708708</v>
      </c>
      <c r="K6" s="154">
        <v>546648</v>
      </c>
      <c r="L6" s="154">
        <v>637302</v>
      </c>
      <c r="M6" s="154">
        <v>543180</v>
      </c>
      <c r="N6" s="154">
        <v>1051488</v>
      </c>
      <c r="O6" s="154">
        <v>366492</v>
      </c>
      <c r="P6" s="154">
        <v>118140</v>
      </c>
      <c r="Q6" s="152">
        <f t="shared" si="1"/>
        <v>14413950</v>
      </c>
    </row>
    <row r="7" spans="1:19">
      <c r="A7" s="149" t="s">
        <v>193</v>
      </c>
      <c r="B7" s="150" t="s">
        <v>194</v>
      </c>
      <c r="C7" s="150" t="s">
        <v>191</v>
      </c>
      <c r="D7" s="151" t="s">
        <v>192</v>
      </c>
      <c r="E7" s="154">
        <v>219300</v>
      </c>
      <c r="F7" s="154">
        <f>365146*12</f>
        <v>4381752</v>
      </c>
      <c r="G7" s="154">
        <v>716568</v>
      </c>
      <c r="H7" s="154">
        <v>870936</v>
      </c>
      <c r="I7" s="154">
        <v>1038324</v>
      </c>
      <c r="J7" s="154">
        <v>571020</v>
      </c>
      <c r="K7" s="154">
        <v>307608</v>
      </c>
      <c r="L7" s="154">
        <v>304704</v>
      </c>
      <c r="M7" s="154">
        <v>289812</v>
      </c>
      <c r="N7" s="154">
        <v>496140</v>
      </c>
      <c r="O7" s="154">
        <v>151464</v>
      </c>
      <c r="P7" s="154">
        <v>45888</v>
      </c>
      <c r="Q7" s="152">
        <f t="shared" si="1"/>
        <v>9393516</v>
      </c>
    </row>
    <row r="8" spans="1:19">
      <c r="A8" s="149" t="s">
        <v>195</v>
      </c>
      <c r="B8" s="150" t="s">
        <v>196</v>
      </c>
      <c r="C8" s="150"/>
      <c r="D8" s="151" t="s">
        <v>185</v>
      </c>
      <c r="E8" s="152">
        <f>E9+E10</f>
        <v>48840</v>
      </c>
      <c r="F8" s="152">
        <f t="shared" ref="F8:P8" si="4">F9+F10</f>
        <v>952896</v>
      </c>
      <c r="G8" s="152">
        <f t="shared" si="4"/>
        <v>403608</v>
      </c>
      <c r="H8" s="152">
        <f t="shared" si="4"/>
        <v>402996</v>
      </c>
      <c r="I8" s="152">
        <f t="shared" si="4"/>
        <v>505956</v>
      </c>
      <c r="J8" s="152">
        <f t="shared" si="4"/>
        <v>157944</v>
      </c>
      <c r="K8" s="152">
        <f t="shared" si="4"/>
        <v>124584</v>
      </c>
      <c r="L8" s="152">
        <f t="shared" si="4"/>
        <v>145788</v>
      </c>
      <c r="M8" s="152">
        <f t="shared" si="4"/>
        <v>129600</v>
      </c>
      <c r="N8" s="152">
        <f t="shared" si="4"/>
        <v>258624</v>
      </c>
      <c r="O8" s="152">
        <f t="shared" si="4"/>
        <v>86196</v>
      </c>
      <c r="P8" s="152">
        <f t="shared" si="4"/>
        <v>27000</v>
      </c>
      <c r="Q8" s="152">
        <f t="shared" si="1"/>
        <v>3244032</v>
      </c>
    </row>
    <row r="9" spans="1:19">
      <c r="A9" s="149" t="s">
        <v>197</v>
      </c>
      <c r="B9" s="150" t="s">
        <v>198</v>
      </c>
      <c r="C9" s="150" t="s">
        <v>191</v>
      </c>
      <c r="D9" s="151" t="s">
        <v>192</v>
      </c>
      <c r="E9" s="154">
        <v>672</v>
      </c>
      <c r="F9" s="154">
        <f>1358*12</f>
        <v>16296</v>
      </c>
      <c r="G9" s="154">
        <v>2208</v>
      </c>
      <c r="H9" s="154">
        <v>1596</v>
      </c>
      <c r="I9" s="154">
        <v>2868</v>
      </c>
      <c r="J9" s="154">
        <v>2736</v>
      </c>
      <c r="K9" s="154">
        <v>1488</v>
      </c>
      <c r="L9" s="154">
        <v>1284</v>
      </c>
      <c r="M9" s="154">
        <v>1152</v>
      </c>
      <c r="N9" s="154">
        <v>1728</v>
      </c>
      <c r="O9" s="154">
        <v>564</v>
      </c>
      <c r="P9" s="154">
        <v>240</v>
      </c>
      <c r="Q9" s="152">
        <f t="shared" si="1"/>
        <v>32832</v>
      </c>
    </row>
    <row r="10" spans="1:19">
      <c r="A10" s="149" t="s">
        <v>199</v>
      </c>
      <c r="B10" s="150" t="s">
        <v>200</v>
      </c>
      <c r="C10" s="150"/>
      <c r="D10" s="151" t="s">
        <v>185</v>
      </c>
      <c r="E10" s="152">
        <f>E11+E12</f>
        <v>48168</v>
      </c>
      <c r="F10" s="152">
        <f t="shared" ref="F10:P10" si="5">F11+F12</f>
        <v>936600</v>
      </c>
      <c r="G10" s="152">
        <f t="shared" si="5"/>
        <v>401400</v>
      </c>
      <c r="H10" s="152">
        <f t="shared" si="5"/>
        <v>401400</v>
      </c>
      <c r="I10" s="152">
        <f t="shared" si="5"/>
        <v>503088</v>
      </c>
      <c r="J10" s="152">
        <f t="shared" si="5"/>
        <v>155208</v>
      </c>
      <c r="K10" s="152">
        <f t="shared" si="5"/>
        <v>123096</v>
      </c>
      <c r="L10" s="152">
        <f t="shared" si="5"/>
        <v>144504</v>
      </c>
      <c r="M10" s="152">
        <f t="shared" si="5"/>
        <v>128448</v>
      </c>
      <c r="N10" s="152">
        <f t="shared" si="5"/>
        <v>256896</v>
      </c>
      <c r="O10" s="152">
        <f t="shared" si="5"/>
        <v>85632</v>
      </c>
      <c r="P10" s="152">
        <f t="shared" si="5"/>
        <v>26760</v>
      </c>
      <c r="Q10" s="152">
        <f t="shared" si="1"/>
        <v>3211200</v>
      </c>
    </row>
    <row r="11" spans="1:19" s="157" customFormat="1">
      <c r="A11" s="149" t="s">
        <v>201</v>
      </c>
      <c r="B11" s="155" t="s">
        <v>202</v>
      </c>
      <c r="C11" s="155" t="s">
        <v>191</v>
      </c>
      <c r="D11" s="156" t="s">
        <v>185</v>
      </c>
      <c r="E11" s="152">
        <f>72*E96</f>
        <v>648</v>
      </c>
      <c r="F11" s="152">
        <f t="shared" ref="F11:P11" si="6">72*F96</f>
        <v>12600</v>
      </c>
      <c r="G11" s="152">
        <f t="shared" si="6"/>
        <v>5400</v>
      </c>
      <c r="H11" s="152">
        <f t="shared" si="6"/>
        <v>5400</v>
      </c>
      <c r="I11" s="152">
        <f t="shared" si="6"/>
        <v>6768</v>
      </c>
      <c r="J11" s="152">
        <f t="shared" si="6"/>
        <v>2088</v>
      </c>
      <c r="K11" s="152">
        <f t="shared" si="6"/>
        <v>1656</v>
      </c>
      <c r="L11" s="152">
        <f t="shared" si="6"/>
        <v>1944</v>
      </c>
      <c r="M11" s="152">
        <f t="shared" si="6"/>
        <v>1728</v>
      </c>
      <c r="N11" s="152">
        <f t="shared" si="6"/>
        <v>3456</v>
      </c>
      <c r="O11" s="152">
        <f t="shared" si="6"/>
        <v>1152</v>
      </c>
      <c r="P11" s="152">
        <f t="shared" si="6"/>
        <v>360</v>
      </c>
      <c r="Q11" s="152">
        <f t="shared" si="1"/>
        <v>43200</v>
      </c>
    </row>
    <row r="12" spans="1:19" s="157" customFormat="1">
      <c r="A12" s="149" t="s">
        <v>203</v>
      </c>
      <c r="B12" s="155" t="s">
        <v>204</v>
      </c>
      <c r="C12" s="155" t="s">
        <v>191</v>
      </c>
      <c r="D12" s="156" t="s">
        <v>185</v>
      </c>
      <c r="E12" s="152">
        <f>440*12*E96</f>
        <v>47520</v>
      </c>
      <c r="F12" s="152">
        <f t="shared" ref="F12:P12" si="7">440*12*F96</f>
        <v>924000</v>
      </c>
      <c r="G12" s="152">
        <f t="shared" si="7"/>
        <v>396000</v>
      </c>
      <c r="H12" s="152">
        <f t="shared" si="7"/>
        <v>396000</v>
      </c>
      <c r="I12" s="152">
        <f t="shared" si="7"/>
        <v>496320</v>
      </c>
      <c r="J12" s="152">
        <f t="shared" si="7"/>
        <v>153120</v>
      </c>
      <c r="K12" s="152">
        <f t="shared" si="7"/>
        <v>121440</v>
      </c>
      <c r="L12" s="152">
        <f t="shared" si="7"/>
        <v>142560</v>
      </c>
      <c r="M12" s="152">
        <f t="shared" si="7"/>
        <v>126720</v>
      </c>
      <c r="N12" s="152">
        <f t="shared" si="7"/>
        <v>253440</v>
      </c>
      <c r="O12" s="152">
        <f t="shared" si="7"/>
        <v>84480</v>
      </c>
      <c r="P12" s="152">
        <f t="shared" si="7"/>
        <v>26400</v>
      </c>
      <c r="Q12" s="152">
        <f t="shared" si="1"/>
        <v>3168000</v>
      </c>
    </row>
    <row r="13" spans="1:19">
      <c r="A13" s="149" t="s">
        <v>205</v>
      </c>
      <c r="B13" s="150" t="s">
        <v>206</v>
      </c>
      <c r="C13" s="150"/>
      <c r="D13" s="151" t="s">
        <v>207</v>
      </c>
      <c r="E13" s="152">
        <f>E14+E15+E16</f>
        <v>48582</v>
      </c>
      <c r="F13" s="152">
        <f t="shared" ref="F13:P13" si="8">F14+F15+F16</f>
        <v>863400</v>
      </c>
      <c r="G13" s="152">
        <f t="shared" si="8"/>
        <v>341916</v>
      </c>
      <c r="H13" s="152">
        <f t="shared" si="8"/>
        <v>360846</v>
      </c>
      <c r="I13" s="152">
        <f t="shared" si="8"/>
        <v>408738</v>
      </c>
      <c r="J13" s="152">
        <f t="shared" si="8"/>
        <v>131382</v>
      </c>
      <c r="K13" s="152">
        <f t="shared" si="8"/>
        <v>100890</v>
      </c>
      <c r="L13" s="152">
        <f t="shared" si="8"/>
        <v>112470</v>
      </c>
      <c r="M13" s="152">
        <f t="shared" si="8"/>
        <v>106542</v>
      </c>
      <c r="N13" s="152">
        <f t="shared" si="8"/>
        <v>206580</v>
      </c>
      <c r="O13" s="152">
        <f t="shared" si="8"/>
        <v>62125</v>
      </c>
      <c r="P13" s="152">
        <f t="shared" si="8"/>
        <v>18054</v>
      </c>
      <c r="Q13" s="152">
        <f t="shared" si="1"/>
        <v>2761525</v>
      </c>
    </row>
    <row r="14" spans="1:19" s="157" customFormat="1">
      <c r="A14" s="149" t="s">
        <v>208</v>
      </c>
      <c r="B14" s="155" t="s">
        <v>558</v>
      </c>
      <c r="C14" s="155" t="s">
        <v>191</v>
      </c>
      <c r="D14" s="156" t="s">
        <v>210</v>
      </c>
      <c r="E14" s="152">
        <f>E16*3</f>
        <v>29149.199999999997</v>
      </c>
      <c r="F14" s="152">
        <f t="shared" ref="F14:P14" si="9">F16*3</f>
        <v>518040</v>
      </c>
      <c r="G14" s="152">
        <f t="shared" si="9"/>
        <v>205149.59999999998</v>
      </c>
      <c r="H14" s="152">
        <f t="shared" si="9"/>
        <v>216507.59999999998</v>
      </c>
      <c r="I14" s="152">
        <f t="shared" si="9"/>
        <v>245242.80000000002</v>
      </c>
      <c r="J14" s="152">
        <f t="shared" si="9"/>
        <v>78829.200000000012</v>
      </c>
      <c r="K14" s="152">
        <f t="shared" si="9"/>
        <v>60534</v>
      </c>
      <c r="L14" s="152">
        <f t="shared" si="9"/>
        <v>67482</v>
      </c>
      <c r="M14" s="152">
        <f t="shared" si="9"/>
        <v>63925.200000000004</v>
      </c>
      <c r="N14" s="152">
        <f t="shared" si="9"/>
        <v>123948</v>
      </c>
      <c r="O14" s="152">
        <f t="shared" si="9"/>
        <v>37275</v>
      </c>
      <c r="P14" s="152">
        <f t="shared" si="9"/>
        <v>10832.400000000001</v>
      </c>
      <c r="Q14" s="152">
        <f t="shared" si="1"/>
        <v>1656914.9999999998</v>
      </c>
    </row>
    <row r="15" spans="1:19" s="157" customFormat="1">
      <c r="A15" s="149" t="s">
        <v>211</v>
      </c>
      <c r="B15" s="155" t="s">
        <v>559</v>
      </c>
      <c r="C15" s="155" t="s">
        <v>191</v>
      </c>
      <c r="D15" s="156" t="s">
        <v>210</v>
      </c>
      <c r="E15" s="152">
        <f>E16</f>
        <v>9716.4</v>
      </c>
      <c r="F15" s="152">
        <f t="shared" ref="F15:P15" si="10">F16</f>
        <v>172680</v>
      </c>
      <c r="G15" s="152">
        <f t="shared" si="10"/>
        <v>68383.199999999997</v>
      </c>
      <c r="H15" s="152">
        <f t="shared" si="10"/>
        <v>72169.2</v>
      </c>
      <c r="I15" s="152">
        <f t="shared" si="10"/>
        <v>81747.600000000006</v>
      </c>
      <c r="J15" s="152">
        <f t="shared" si="10"/>
        <v>26276.400000000001</v>
      </c>
      <c r="K15" s="152">
        <f t="shared" si="10"/>
        <v>20178</v>
      </c>
      <c r="L15" s="152">
        <f t="shared" si="10"/>
        <v>22494</v>
      </c>
      <c r="M15" s="152">
        <f t="shared" si="10"/>
        <v>21308.400000000001</v>
      </c>
      <c r="N15" s="152">
        <f t="shared" si="10"/>
        <v>41316</v>
      </c>
      <c r="O15" s="152">
        <f t="shared" si="10"/>
        <v>12425</v>
      </c>
      <c r="P15" s="152">
        <f t="shared" si="10"/>
        <v>3610.8</v>
      </c>
      <c r="Q15" s="152">
        <f t="shared" si="1"/>
        <v>552305.00000000012</v>
      </c>
    </row>
    <row r="16" spans="1:19" s="157" customFormat="1">
      <c r="A16" s="149" t="s">
        <v>213</v>
      </c>
      <c r="B16" s="155" t="s">
        <v>560</v>
      </c>
      <c r="C16" s="155" t="s">
        <v>191</v>
      </c>
      <c r="D16" s="156" t="s">
        <v>210</v>
      </c>
      <c r="E16" s="154">
        <v>9716.4</v>
      </c>
      <c r="F16" s="154">
        <f>14390*12</f>
        <v>172680</v>
      </c>
      <c r="G16" s="154">
        <v>68383.199999999997</v>
      </c>
      <c r="H16" s="154">
        <v>72169.2</v>
      </c>
      <c r="I16" s="154">
        <v>81747.600000000006</v>
      </c>
      <c r="J16" s="154">
        <v>26276.400000000001</v>
      </c>
      <c r="K16" s="154">
        <v>20178</v>
      </c>
      <c r="L16" s="154">
        <v>22494</v>
      </c>
      <c r="M16" s="154">
        <v>21308.400000000001</v>
      </c>
      <c r="N16" s="154">
        <v>41316</v>
      </c>
      <c r="O16" s="154">
        <v>12425</v>
      </c>
      <c r="P16" s="154">
        <v>3610.8</v>
      </c>
      <c r="Q16" s="152">
        <f t="shared" si="1"/>
        <v>552305.00000000012</v>
      </c>
    </row>
    <row r="17" spans="1:17">
      <c r="A17" s="149" t="s">
        <v>215</v>
      </c>
      <c r="B17" s="150" t="s">
        <v>216</v>
      </c>
      <c r="C17" s="150"/>
      <c r="D17" s="151" t="s">
        <v>185</v>
      </c>
      <c r="E17" s="152">
        <v>1327041</v>
      </c>
      <c r="F17" s="152">
        <v>28045675</v>
      </c>
      <c r="G17" s="152">
        <v>12019575</v>
      </c>
      <c r="H17" s="152">
        <v>12019575</v>
      </c>
      <c r="I17" s="152">
        <v>15064534</v>
      </c>
      <c r="J17" s="152">
        <v>4321580</v>
      </c>
      <c r="K17" s="152">
        <v>3427460</v>
      </c>
      <c r="L17" s="152">
        <v>4023540</v>
      </c>
      <c r="M17" s="152">
        <v>3576480</v>
      </c>
      <c r="N17" s="152">
        <v>7152960</v>
      </c>
      <c r="O17" s="152">
        <v>2384320</v>
      </c>
      <c r="P17" s="152">
        <v>745100</v>
      </c>
      <c r="Q17" s="152">
        <f t="shared" si="1"/>
        <v>94107840</v>
      </c>
    </row>
    <row r="18" spans="1:17" ht="22.5">
      <c r="A18" s="149" t="s">
        <v>217</v>
      </c>
      <c r="B18" s="158" t="s">
        <v>218</v>
      </c>
      <c r="C18" s="158" t="s">
        <v>191</v>
      </c>
      <c r="D18" s="159" t="s">
        <v>219</v>
      </c>
      <c r="E18" s="160">
        <f>E17-E19</f>
        <v>1327041</v>
      </c>
      <c r="F18" s="160">
        <f t="shared" ref="F18:P18" si="11">F17-F19</f>
        <v>27858395</v>
      </c>
      <c r="G18" s="160">
        <f t="shared" si="11"/>
        <v>11859443</v>
      </c>
      <c r="H18" s="160">
        <f t="shared" si="11"/>
        <v>11849411</v>
      </c>
      <c r="I18" s="160">
        <f t="shared" si="11"/>
        <v>14878278</v>
      </c>
      <c r="J18" s="160">
        <f t="shared" si="11"/>
        <v>4173524</v>
      </c>
      <c r="K18" s="160">
        <f t="shared" si="11"/>
        <v>3268376</v>
      </c>
      <c r="L18" s="160">
        <f t="shared" si="11"/>
        <v>3869964</v>
      </c>
      <c r="M18" s="160">
        <f t="shared" si="11"/>
        <v>3448576</v>
      </c>
      <c r="N18" s="160">
        <f t="shared" si="11"/>
        <v>6989544</v>
      </c>
      <c r="O18" s="160">
        <f t="shared" si="11"/>
        <v>2237464</v>
      </c>
      <c r="P18" s="160">
        <f t="shared" si="11"/>
        <v>625324</v>
      </c>
      <c r="Q18" s="152">
        <f t="shared" si="1"/>
        <v>92385340</v>
      </c>
    </row>
    <row r="19" spans="1:17">
      <c r="A19" s="149" t="s">
        <v>220</v>
      </c>
      <c r="B19" s="158" t="s">
        <v>221</v>
      </c>
      <c r="C19" s="158" t="s">
        <v>191</v>
      </c>
      <c r="D19" s="159" t="s">
        <v>222</v>
      </c>
      <c r="E19" s="160"/>
      <c r="F19" s="161">
        <v>187280</v>
      </c>
      <c r="G19" s="160">
        <v>160132</v>
      </c>
      <c r="H19" s="160">
        <v>170164</v>
      </c>
      <c r="I19" s="160">
        <v>186256</v>
      </c>
      <c r="J19" s="160">
        <v>148056</v>
      </c>
      <c r="K19" s="160">
        <v>159084</v>
      </c>
      <c r="L19" s="160">
        <v>153576</v>
      </c>
      <c r="M19" s="160">
        <v>127904</v>
      </c>
      <c r="N19" s="160">
        <v>163416</v>
      </c>
      <c r="O19" s="160">
        <v>146856</v>
      </c>
      <c r="P19" s="160">
        <v>119776</v>
      </c>
      <c r="Q19" s="152">
        <f t="shared" si="1"/>
        <v>1722500</v>
      </c>
    </row>
    <row r="20" spans="1:17">
      <c r="A20" s="149" t="s">
        <v>223</v>
      </c>
      <c r="B20" s="150" t="s">
        <v>224</v>
      </c>
      <c r="C20" s="150"/>
      <c r="D20" s="159" t="s">
        <v>185</v>
      </c>
      <c r="E20" s="162">
        <f>E21</f>
        <v>194328</v>
      </c>
      <c r="F20" s="162">
        <f t="shared" ref="F20:P20" si="12">F21</f>
        <v>3453600</v>
      </c>
      <c r="G20" s="162">
        <f t="shared" si="12"/>
        <v>1367664</v>
      </c>
      <c r="H20" s="162">
        <f t="shared" si="12"/>
        <v>1443384</v>
      </c>
      <c r="I20" s="162">
        <f t="shared" si="12"/>
        <v>1634952</v>
      </c>
      <c r="J20" s="162">
        <f t="shared" si="12"/>
        <v>525528</v>
      </c>
      <c r="K20" s="162">
        <f t="shared" si="12"/>
        <v>403560</v>
      </c>
      <c r="L20" s="162">
        <f t="shared" si="12"/>
        <v>449880</v>
      </c>
      <c r="M20" s="162">
        <f t="shared" si="12"/>
        <v>426168</v>
      </c>
      <c r="N20" s="162">
        <f t="shared" si="12"/>
        <v>826320</v>
      </c>
      <c r="O20" s="162">
        <f t="shared" si="12"/>
        <v>248500</v>
      </c>
      <c r="P20" s="162">
        <f t="shared" si="12"/>
        <v>72216</v>
      </c>
      <c r="Q20" s="152">
        <f t="shared" si="1"/>
        <v>11046100</v>
      </c>
    </row>
    <row r="21" spans="1:17">
      <c r="A21" s="149" t="s">
        <v>225</v>
      </c>
      <c r="B21" s="150" t="s">
        <v>561</v>
      </c>
      <c r="C21" s="150" t="s">
        <v>227</v>
      </c>
      <c r="D21" s="159" t="s">
        <v>185</v>
      </c>
      <c r="E21" s="162">
        <f>E16*20</f>
        <v>194328</v>
      </c>
      <c r="F21" s="162">
        <f t="shared" ref="F21:P21" si="13">F16*20</f>
        <v>3453600</v>
      </c>
      <c r="G21" s="162">
        <f t="shared" si="13"/>
        <v>1367664</v>
      </c>
      <c r="H21" s="162">
        <f t="shared" si="13"/>
        <v>1443384</v>
      </c>
      <c r="I21" s="162">
        <f t="shared" si="13"/>
        <v>1634952</v>
      </c>
      <c r="J21" s="162">
        <f t="shared" si="13"/>
        <v>525528</v>
      </c>
      <c r="K21" s="162">
        <f t="shared" si="13"/>
        <v>403560</v>
      </c>
      <c r="L21" s="162">
        <f t="shared" si="13"/>
        <v>449880</v>
      </c>
      <c r="M21" s="162">
        <f t="shared" si="13"/>
        <v>426168</v>
      </c>
      <c r="N21" s="162">
        <f t="shared" si="13"/>
        <v>826320</v>
      </c>
      <c r="O21" s="162">
        <f t="shared" si="13"/>
        <v>248500</v>
      </c>
      <c r="P21" s="162">
        <f t="shared" si="13"/>
        <v>72216</v>
      </c>
      <c r="Q21" s="152">
        <f t="shared" si="1"/>
        <v>11046100</v>
      </c>
    </row>
    <row r="22" spans="1:17">
      <c r="A22" s="149" t="s">
        <v>228</v>
      </c>
      <c r="B22" s="150" t="s">
        <v>229</v>
      </c>
      <c r="C22" s="150"/>
      <c r="D22" s="159" t="s">
        <v>210</v>
      </c>
      <c r="E22" s="162">
        <f>E23+E24</f>
        <v>77731.199999999997</v>
      </c>
      <c r="F22" s="162">
        <f t="shared" ref="F22:P22" si="14">F23+F24</f>
        <v>1381440</v>
      </c>
      <c r="G22" s="162">
        <f t="shared" si="14"/>
        <v>547065.59999999998</v>
      </c>
      <c r="H22" s="162">
        <f t="shared" si="14"/>
        <v>577353.6</v>
      </c>
      <c r="I22" s="162">
        <f t="shared" si="14"/>
        <v>653980.80000000005</v>
      </c>
      <c r="J22" s="162">
        <f t="shared" si="14"/>
        <v>210211.20000000001</v>
      </c>
      <c r="K22" s="162">
        <f t="shared" si="14"/>
        <v>161424</v>
      </c>
      <c r="L22" s="162">
        <f t="shared" si="14"/>
        <v>179952</v>
      </c>
      <c r="M22" s="162">
        <f t="shared" si="14"/>
        <v>170467.20000000001</v>
      </c>
      <c r="N22" s="162">
        <f t="shared" si="14"/>
        <v>330528</v>
      </c>
      <c r="O22" s="162">
        <f t="shared" si="14"/>
        <v>99400</v>
      </c>
      <c r="P22" s="162">
        <f t="shared" si="14"/>
        <v>28886.400000000001</v>
      </c>
      <c r="Q22" s="152">
        <f t="shared" si="1"/>
        <v>4418440.0000000009</v>
      </c>
    </row>
    <row r="23" spans="1:17">
      <c r="A23" s="149" t="s">
        <v>230</v>
      </c>
      <c r="B23" s="150" t="s">
        <v>562</v>
      </c>
      <c r="C23" s="150" t="s">
        <v>232</v>
      </c>
      <c r="D23" s="159" t="s">
        <v>210</v>
      </c>
      <c r="E23" s="162">
        <f>E16*4</f>
        <v>38865.599999999999</v>
      </c>
      <c r="F23" s="162">
        <f t="shared" ref="F23:P23" si="15">F16*4</f>
        <v>690720</v>
      </c>
      <c r="G23" s="162">
        <f t="shared" si="15"/>
        <v>273532.79999999999</v>
      </c>
      <c r="H23" s="162">
        <f t="shared" si="15"/>
        <v>288676.8</v>
      </c>
      <c r="I23" s="162">
        <f t="shared" si="15"/>
        <v>326990.40000000002</v>
      </c>
      <c r="J23" s="162">
        <f t="shared" si="15"/>
        <v>105105.60000000001</v>
      </c>
      <c r="K23" s="162">
        <f t="shared" si="15"/>
        <v>80712</v>
      </c>
      <c r="L23" s="162">
        <f t="shared" si="15"/>
        <v>89976</v>
      </c>
      <c r="M23" s="162">
        <f t="shared" si="15"/>
        <v>85233.600000000006</v>
      </c>
      <c r="N23" s="162">
        <f t="shared" si="15"/>
        <v>165264</v>
      </c>
      <c r="O23" s="162">
        <f t="shared" si="15"/>
        <v>49700</v>
      </c>
      <c r="P23" s="162">
        <f t="shared" si="15"/>
        <v>14443.2</v>
      </c>
      <c r="Q23" s="152">
        <f t="shared" si="1"/>
        <v>2209220.0000000005</v>
      </c>
    </row>
    <row r="24" spans="1:17">
      <c r="A24" s="149" t="s">
        <v>233</v>
      </c>
      <c r="B24" s="150" t="s">
        <v>563</v>
      </c>
      <c r="C24" s="150" t="s">
        <v>232</v>
      </c>
      <c r="D24" s="159" t="s">
        <v>210</v>
      </c>
      <c r="E24" s="162">
        <f>E16*4</f>
        <v>38865.599999999999</v>
      </c>
      <c r="F24" s="162">
        <f t="shared" ref="F24:P24" si="16">F16*4</f>
        <v>690720</v>
      </c>
      <c r="G24" s="162">
        <f t="shared" si="16"/>
        <v>273532.79999999999</v>
      </c>
      <c r="H24" s="162">
        <f t="shared" si="16"/>
        <v>288676.8</v>
      </c>
      <c r="I24" s="162">
        <f t="shared" si="16"/>
        <v>326990.40000000002</v>
      </c>
      <c r="J24" s="162">
        <f t="shared" si="16"/>
        <v>105105.60000000001</v>
      </c>
      <c r="K24" s="162">
        <f t="shared" si="16"/>
        <v>80712</v>
      </c>
      <c r="L24" s="162">
        <f t="shared" si="16"/>
        <v>89976</v>
      </c>
      <c r="M24" s="162">
        <f t="shared" si="16"/>
        <v>85233.600000000006</v>
      </c>
      <c r="N24" s="162">
        <f t="shared" si="16"/>
        <v>165264</v>
      </c>
      <c r="O24" s="162">
        <f t="shared" si="16"/>
        <v>49700</v>
      </c>
      <c r="P24" s="162">
        <f t="shared" si="16"/>
        <v>14443.2</v>
      </c>
      <c r="Q24" s="152">
        <f t="shared" si="1"/>
        <v>2209220.0000000005</v>
      </c>
    </row>
    <row r="25" spans="1:17">
      <c r="A25" s="149" t="s">
        <v>235</v>
      </c>
      <c r="B25" s="150" t="s">
        <v>236</v>
      </c>
      <c r="C25" s="150"/>
      <c r="D25" s="151" t="s">
        <v>185</v>
      </c>
      <c r="E25" s="152">
        <f>E26</f>
        <v>310924.79999999999</v>
      </c>
      <c r="F25" s="152">
        <f t="shared" ref="F25:P25" si="17">F26</f>
        <v>5525760</v>
      </c>
      <c r="G25" s="152">
        <f t="shared" si="17"/>
        <v>2188262.3999999999</v>
      </c>
      <c r="H25" s="152">
        <f t="shared" si="17"/>
        <v>2309414.4</v>
      </c>
      <c r="I25" s="152">
        <f t="shared" si="17"/>
        <v>2615923.2000000002</v>
      </c>
      <c r="J25" s="152">
        <f t="shared" si="17"/>
        <v>840844.80000000005</v>
      </c>
      <c r="K25" s="152">
        <f t="shared" si="17"/>
        <v>645696</v>
      </c>
      <c r="L25" s="152">
        <f t="shared" si="17"/>
        <v>719808</v>
      </c>
      <c r="M25" s="152">
        <f t="shared" si="17"/>
        <v>681868.80000000005</v>
      </c>
      <c r="N25" s="152">
        <f t="shared" si="17"/>
        <v>1322112</v>
      </c>
      <c r="O25" s="152">
        <f t="shared" si="17"/>
        <v>397600</v>
      </c>
      <c r="P25" s="152">
        <f t="shared" si="17"/>
        <v>115545.60000000001</v>
      </c>
      <c r="Q25" s="152">
        <f t="shared" si="1"/>
        <v>17673760.000000004</v>
      </c>
    </row>
    <row r="26" spans="1:17" s="157" customFormat="1">
      <c r="A26" s="149" t="s">
        <v>237</v>
      </c>
      <c r="B26" s="155" t="s">
        <v>564</v>
      </c>
      <c r="C26" s="155" t="s">
        <v>239</v>
      </c>
      <c r="D26" s="156" t="s">
        <v>210</v>
      </c>
      <c r="E26" s="152">
        <f>E16*32</f>
        <v>310924.79999999999</v>
      </c>
      <c r="F26" s="152">
        <f t="shared" ref="F26:P26" si="18">F16*32</f>
        <v>5525760</v>
      </c>
      <c r="G26" s="152">
        <f t="shared" si="18"/>
        <v>2188262.3999999999</v>
      </c>
      <c r="H26" s="152">
        <f t="shared" si="18"/>
        <v>2309414.4</v>
      </c>
      <c r="I26" s="152">
        <f t="shared" si="18"/>
        <v>2615923.2000000002</v>
      </c>
      <c r="J26" s="152">
        <f t="shared" si="18"/>
        <v>840844.80000000005</v>
      </c>
      <c r="K26" s="152">
        <f t="shared" si="18"/>
        <v>645696</v>
      </c>
      <c r="L26" s="152">
        <f t="shared" si="18"/>
        <v>719808</v>
      </c>
      <c r="M26" s="152">
        <f t="shared" si="18"/>
        <v>681868.80000000005</v>
      </c>
      <c r="N26" s="152">
        <f t="shared" si="18"/>
        <v>1322112</v>
      </c>
      <c r="O26" s="152">
        <f t="shared" si="18"/>
        <v>397600</v>
      </c>
      <c r="P26" s="152">
        <f t="shared" si="18"/>
        <v>115545.60000000001</v>
      </c>
      <c r="Q26" s="152">
        <f t="shared" si="1"/>
        <v>17673760.000000004</v>
      </c>
    </row>
    <row r="27" spans="1:17">
      <c r="A27" s="149" t="s">
        <v>240</v>
      </c>
      <c r="B27" s="150" t="s">
        <v>241</v>
      </c>
      <c r="C27" s="150"/>
      <c r="D27" s="151" t="s">
        <v>185</v>
      </c>
      <c r="E27" s="152">
        <f>E28</f>
        <v>155462.39999999999</v>
      </c>
      <c r="F27" s="152">
        <f t="shared" ref="F27:P27" si="19">F28</f>
        <v>2762880</v>
      </c>
      <c r="G27" s="152">
        <f t="shared" si="19"/>
        <v>1094131.2</v>
      </c>
      <c r="H27" s="152">
        <f t="shared" si="19"/>
        <v>1154707.2</v>
      </c>
      <c r="I27" s="152">
        <f t="shared" si="19"/>
        <v>1307961.6000000001</v>
      </c>
      <c r="J27" s="152">
        <f t="shared" si="19"/>
        <v>420422.40000000002</v>
      </c>
      <c r="K27" s="152">
        <f t="shared" si="19"/>
        <v>322848</v>
      </c>
      <c r="L27" s="152">
        <f t="shared" si="19"/>
        <v>359904</v>
      </c>
      <c r="M27" s="152">
        <f t="shared" si="19"/>
        <v>340934.40000000002</v>
      </c>
      <c r="N27" s="152">
        <f t="shared" si="19"/>
        <v>661056</v>
      </c>
      <c r="O27" s="152">
        <f t="shared" si="19"/>
        <v>198800</v>
      </c>
      <c r="P27" s="152">
        <f t="shared" si="19"/>
        <v>57772.800000000003</v>
      </c>
      <c r="Q27" s="152">
        <f t="shared" si="1"/>
        <v>8836880.0000000019</v>
      </c>
    </row>
    <row r="28" spans="1:17" s="157" customFormat="1">
      <c r="A28" s="149" t="s">
        <v>242</v>
      </c>
      <c r="B28" s="155" t="s">
        <v>243</v>
      </c>
      <c r="C28" s="155" t="s">
        <v>244</v>
      </c>
      <c r="D28" s="156" t="s">
        <v>210</v>
      </c>
      <c r="E28" s="152">
        <f>E16*16</f>
        <v>155462.39999999999</v>
      </c>
      <c r="F28" s="152">
        <f t="shared" ref="F28:P28" si="20">F16*16</f>
        <v>2762880</v>
      </c>
      <c r="G28" s="152">
        <f t="shared" si="20"/>
        <v>1094131.2</v>
      </c>
      <c r="H28" s="152">
        <f t="shared" si="20"/>
        <v>1154707.2</v>
      </c>
      <c r="I28" s="152">
        <f t="shared" si="20"/>
        <v>1307961.6000000001</v>
      </c>
      <c r="J28" s="152">
        <f t="shared" si="20"/>
        <v>420422.40000000002</v>
      </c>
      <c r="K28" s="152">
        <f t="shared" si="20"/>
        <v>322848</v>
      </c>
      <c r="L28" s="152">
        <f t="shared" si="20"/>
        <v>359904</v>
      </c>
      <c r="M28" s="152">
        <f t="shared" si="20"/>
        <v>340934.40000000002</v>
      </c>
      <c r="N28" s="152">
        <f t="shared" si="20"/>
        <v>661056</v>
      </c>
      <c r="O28" s="152">
        <f t="shared" si="20"/>
        <v>198800</v>
      </c>
      <c r="P28" s="152">
        <f t="shared" si="20"/>
        <v>57772.800000000003</v>
      </c>
      <c r="Q28" s="152">
        <f t="shared" si="1"/>
        <v>8836880.0000000019</v>
      </c>
    </row>
    <row r="29" spans="1:17" ht="22.5">
      <c r="A29" s="149" t="s">
        <v>245</v>
      </c>
      <c r="B29" s="150" t="s">
        <v>246</v>
      </c>
      <c r="C29" s="158" t="s">
        <v>191</v>
      </c>
      <c r="D29" s="156" t="s">
        <v>247</v>
      </c>
      <c r="E29" s="152">
        <f>9600*E96</f>
        <v>86400</v>
      </c>
      <c r="F29" s="152">
        <f t="shared" ref="F29:P29" si="21">9600*F96</f>
        <v>1680000</v>
      </c>
      <c r="G29" s="152">
        <f t="shared" si="21"/>
        <v>720000</v>
      </c>
      <c r="H29" s="152">
        <f t="shared" si="21"/>
        <v>720000</v>
      </c>
      <c r="I29" s="152">
        <f t="shared" si="21"/>
        <v>902400</v>
      </c>
      <c r="J29" s="152">
        <f t="shared" si="21"/>
        <v>278400</v>
      </c>
      <c r="K29" s="152">
        <f t="shared" si="21"/>
        <v>220800</v>
      </c>
      <c r="L29" s="152">
        <f t="shared" si="21"/>
        <v>259200</v>
      </c>
      <c r="M29" s="152">
        <f t="shared" si="21"/>
        <v>230400</v>
      </c>
      <c r="N29" s="152">
        <f t="shared" si="21"/>
        <v>460800</v>
      </c>
      <c r="O29" s="152">
        <f t="shared" si="21"/>
        <v>153600</v>
      </c>
      <c r="P29" s="152">
        <f t="shared" si="21"/>
        <v>48000</v>
      </c>
      <c r="Q29" s="152">
        <f t="shared" si="1"/>
        <v>5760000</v>
      </c>
    </row>
    <row r="30" spans="1:17">
      <c r="A30" s="149" t="s">
        <v>248</v>
      </c>
      <c r="B30" s="150" t="s">
        <v>249</v>
      </c>
      <c r="C30" s="150" t="s">
        <v>249</v>
      </c>
      <c r="D30" s="156" t="s">
        <v>210</v>
      </c>
      <c r="E30" s="162">
        <f>E16*14</f>
        <v>136029.6</v>
      </c>
      <c r="F30" s="162">
        <f t="shared" ref="F30:P30" si="22">F16*14</f>
        <v>2417520</v>
      </c>
      <c r="G30" s="162">
        <f t="shared" si="22"/>
        <v>957364.79999999993</v>
      </c>
      <c r="H30" s="162">
        <f t="shared" si="22"/>
        <v>1010368.7999999999</v>
      </c>
      <c r="I30" s="162">
        <f t="shared" si="22"/>
        <v>1144466.4000000001</v>
      </c>
      <c r="J30" s="162">
        <f t="shared" si="22"/>
        <v>367869.60000000003</v>
      </c>
      <c r="K30" s="162">
        <f t="shared" si="22"/>
        <v>282492</v>
      </c>
      <c r="L30" s="162">
        <f t="shared" si="22"/>
        <v>314916</v>
      </c>
      <c r="M30" s="162">
        <f t="shared" si="22"/>
        <v>298317.60000000003</v>
      </c>
      <c r="N30" s="162">
        <f t="shared" si="22"/>
        <v>578424</v>
      </c>
      <c r="O30" s="162">
        <f t="shared" si="22"/>
        <v>173950</v>
      </c>
      <c r="P30" s="162">
        <f t="shared" si="22"/>
        <v>50551.200000000004</v>
      </c>
      <c r="Q30" s="152">
        <f t="shared" si="1"/>
        <v>7732270</v>
      </c>
    </row>
    <row r="31" spans="1:17">
      <c r="A31" s="149" t="s">
        <v>250</v>
      </c>
      <c r="B31" s="150" t="s">
        <v>251</v>
      </c>
      <c r="C31" s="150"/>
      <c r="D31" s="151" t="s">
        <v>185</v>
      </c>
      <c r="E31" s="152">
        <f>E32+E40+E42+E45+E47</f>
        <v>360</v>
      </c>
      <c r="F31" s="152">
        <f t="shared" ref="F31:P31" si="23">F32+F40+F42+F45+F47</f>
        <v>8480</v>
      </c>
      <c r="G31" s="152">
        <f t="shared" si="23"/>
        <v>4160</v>
      </c>
      <c r="H31" s="152">
        <f t="shared" si="23"/>
        <v>6120</v>
      </c>
      <c r="I31" s="152">
        <f t="shared" si="23"/>
        <v>15400</v>
      </c>
      <c r="J31" s="152">
        <f t="shared" si="23"/>
        <v>4590</v>
      </c>
      <c r="K31" s="152">
        <f t="shared" si="23"/>
        <v>5380</v>
      </c>
      <c r="L31" s="152">
        <f t="shared" si="23"/>
        <v>5960</v>
      </c>
      <c r="M31" s="152">
        <f t="shared" si="23"/>
        <v>9000</v>
      </c>
      <c r="N31" s="152">
        <f t="shared" si="23"/>
        <v>10400</v>
      </c>
      <c r="O31" s="152">
        <f t="shared" si="23"/>
        <v>6380</v>
      </c>
      <c r="P31" s="152">
        <f t="shared" si="23"/>
        <v>3080</v>
      </c>
      <c r="Q31" s="152">
        <f t="shared" si="1"/>
        <v>79310</v>
      </c>
    </row>
    <row r="32" spans="1:17">
      <c r="A32" s="149" t="s">
        <v>252</v>
      </c>
      <c r="B32" s="150" t="s">
        <v>253</v>
      </c>
      <c r="C32" s="150"/>
      <c r="D32" s="151" t="s">
        <v>185</v>
      </c>
      <c r="E32" s="152">
        <f>E33+E34+E35+E36+E37+E38+E39</f>
        <v>0</v>
      </c>
      <c r="F32" s="152">
        <f t="shared" ref="F32:P32" si="24">F33+F34+F35+F36+F37+F38+F39</f>
        <v>0</v>
      </c>
      <c r="G32" s="152">
        <f t="shared" si="24"/>
        <v>0</v>
      </c>
      <c r="H32" s="152">
        <f t="shared" si="24"/>
        <v>0</v>
      </c>
      <c r="I32" s="152">
        <f t="shared" si="24"/>
        <v>0</v>
      </c>
      <c r="J32" s="152">
        <f t="shared" si="24"/>
        <v>0</v>
      </c>
      <c r="K32" s="152">
        <f t="shared" si="24"/>
        <v>0</v>
      </c>
      <c r="L32" s="152">
        <f t="shared" si="24"/>
        <v>0</v>
      </c>
      <c r="M32" s="152">
        <f t="shared" si="24"/>
        <v>0</v>
      </c>
      <c r="N32" s="152">
        <f t="shared" si="24"/>
        <v>0</v>
      </c>
      <c r="O32" s="152">
        <f t="shared" si="24"/>
        <v>0</v>
      </c>
      <c r="P32" s="152">
        <f t="shared" si="24"/>
        <v>0</v>
      </c>
      <c r="Q32" s="152">
        <f t="shared" si="1"/>
        <v>0</v>
      </c>
    </row>
    <row r="33" spans="1:17">
      <c r="A33" s="149" t="s">
        <v>254</v>
      </c>
      <c r="B33" s="150" t="s">
        <v>255</v>
      </c>
      <c r="C33" s="150" t="s">
        <v>256</v>
      </c>
      <c r="D33" s="159" t="s">
        <v>257</v>
      </c>
      <c r="E33" s="160"/>
      <c r="F33" s="160"/>
      <c r="G33" s="160"/>
      <c r="H33" s="160"/>
      <c r="I33" s="160"/>
      <c r="J33" s="160"/>
      <c r="K33" s="160"/>
      <c r="L33" s="160"/>
      <c r="M33" s="160"/>
      <c r="N33" s="160"/>
      <c r="O33" s="160"/>
      <c r="P33" s="160"/>
      <c r="Q33" s="152">
        <f t="shared" si="1"/>
        <v>0</v>
      </c>
    </row>
    <row r="34" spans="1:17">
      <c r="A34" s="149" t="s">
        <v>258</v>
      </c>
      <c r="B34" s="150" t="s">
        <v>259</v>
      </c>
      <c r="C34" s="150" t="s">
        <v>256</v>
      </c>
      <c r="D34" s="159" t="s">
        <v>257</v>
      </c>
      <c r="E34" s="160"/>
      <c r="F34" s="160"/>
      <c r="G34" s="160"/>
      <c r="H34" s="160"/>
      <c r="I34" s="160"/>
      <c r="J34" s="160"/>
      <c r="K34" s="160"/>
      <c r="L34" s="160"/>
      <c r="M34" s="160"/>
      <c r="N34" s="160"/>
      <c r="O34" s="160"/>
      <c r="P34" s="160"/>
      <c r="Q34" s="152">
        <f t="shared" si="1"/>
        <v>0</v>
      </c>
    </row>
    <row r="35" spans="1:17">
      <c r="A35" s="149" t="s">
        <v>260</v>
      </c>
      <c r="B35" s="150" t="s">
        <v>261</v>
      </c>
      <c r="C35" s="150" t="s">
        <v>256</v>
      </c>
      <c r="D35" s="159" t="s">
        <v>262</v>
      </c>
      <c r="E35" s="160"/>
      <c r="F35" s="160"/>
      <c r="G35" s="160"/>
      <c r="H35" s="160"/>
      <c r="I35" s="160"/>
      <c r="J35" s="160"/>
      <c r="K35" s="160"/>
      <c r="L35" s="160"/>
      <c r="M35" s="160"/>
      <c r="N35" s="160"/>
      <c r="O35" s="160"/>
      <c r="P35" s="160"/>
      <c r="Q35" s="152">
        <f t="shared" si="1"/>
        <v>0</v>
      </c>
    </row>
    <row r="36" spans="1:17">
      <c r="A36" s="149" t="s">
        <v>263</v>
      </c>
      <c r="B36" s="150" t="s">
        <v>264</v>
      </c>
      <c r="C36" s="150" t="s">
        <v>256</v>
      </c>
      <c r="D36" s="159" t="s">
        <v>257</v>
      </c>
      <c r="E36" s="160"/>
      <c r="F36" s="160"/>
      <c r="G36" s="160"/>
      <c r="H36" s="160"/>
      <c r="I36" s="160"/>
      <c r="J36" s="160"/>
      <c r="K36" s="160"/>
      <c r="L36" s="160"/>
      <c r="M36" s="160"/>
      <c r="N36" s="160"/>
      <c r="O36" s="160"/>
      <c r="P36" s="160"/>
      <c r="Q36" s="152">
        <f t="shared" si="1"/>
        <v>0</v>
      </c>
    </row>
    <row r="37" spans="1:17">
      <c r="A37" s="149" t="s">
        <v>265</v>
      </c>
      <c r="B37" s="150" t="s">
        <v>266</v>
      </c>
      <c r="C37" s="150" t="s">
        <v>256</v>
      </c>
      <c r="D37" s="159" t="s">
        <v>257</v>
      </c>
      <c r="E37" s="160"/>
      <c r="F37" s="160"/>
      <c r="G37" s="160"/>
      <c r="H37" s="160"/>
      <c r="I37" s="160"/>
      <c r="J37" s="160"/>
      <c r="K37" s="160"/>
      <c r="L37" s="160"/>
      <c r="M37" s="160"/>
      <c r="N37" s="160"/>
      <c r="O37" s="160"/>
      <c r="P37" s="160"/>
      <c r="Q37" s="152">
        <f t="shared" si="1"/>
        <v>0</v>
      </c>
    </row>
    <row r="38" spans="1:17">
      <c r="A38" s="149" t="s">
        <v>267</v>
      </c>
      <c r="B38" s="150" t="s">
        <v>268</v>
      </c>
      <c r="C38" s="150" t="s">
        <v>256</v>
      </c>
      <c r="D38" s="159" t="s">
        <v>257</v>
      </c>
      <c r="E38" s="160"/>
      <c r="F38" s="160"/>
      <c r="G38" s="160"/>
      <c r="H38" s="160"/>
      <c r="I38" s="160"/>
      <c r="J38" s="160"/>
      <c r="K38" s="160"/>
      <c r="L38" s="160"/>
      <c r="M38" s="160"/>
      <c r="N38" s="160"/>
      <c r="O38" s="160"/>
      <c r="P38" s="160"/>
      <c r="Q38" s="152">
        <f t="shared" si="1"/>
        <v>0</v>
      </c>
    </row>
    <row r="39" spans="1:17">
      <c r="A39" s="149" t="s">
        <v>269</v>
      </c>
      <c r="B39" s="150" t="s">
        <v>270</v>
      </c>
      <c r="C39" s="150" t="s">
        <v>256</v>
      </c>
      <c r="D39" s="159" t="s">
        <v>257</v>
      </c>
      <c r="E39" s="160"/>
      <c r="F39" s="160"/>
      <c r="G39" s="160"/>
      <c r="H39" s="160"/>
      <c r="I39" s="160"/>
      <c r="J39" s="160"/>
      <c r="K39" s="160"/>
      <c r="L39" s="160"/>
      <c r="M39" s="160"/>
      <c r="N39" s="160"/>
      <c r="O39" s="160"/>
      <c r="P39" s="160"/>
      <c r="Q39" s="152">
        <f t="shared" si="1"/>
        <v>0</v>
      </c>
    </row>
    <row r="40" spans="1:17">
      <c r="A40" s="149" t="s">
        <v>271</v>
      </c>
      <c r="B40" s="150" t="s">
        <v>272</v>
      </c>
      <c r="C40" s="150"/>
      <c r="D40" s="151" t="s">
        <v>185</v>
      </c>
      <c r="E40" s="152">
        <f>E41</f>
        <v>0</v>
      </c>
      <c r="F40" s="152">
        <f t="shared" ref="F40:P40" si="25">F41</f>
        <v>0</v>
      </c>
      <c r="G40" s="152">
        <f t="shared" si="25"/>
        <v>0</v>
      </c>
      <c r="H40" s="152">
        <f t="shared" si="25"/>
        <v>0</v>
      </c>
      <c r="I40" s="152">
        <f t="shared" si="25"/>
        <v>0</v>
      </c>
      <c r="J40" s="152">
        <f t="shared" si="25"/>
        <v>0</v>
      </c>
      <c r="K40" s="152">
        <f t="shared" si="25"/>
        <v>0</v>
      </c>
      <c r="L40" s="152">
        <f t="shared" si="25"/>
        <v>0</v>
      </c>
      <c r="M40" s="152">
        <f t="shared" si="25"/>
        <v>0</v>
      </c>
      <c r="N40" s="152">
        <f t="shared" si="25"/>
        <v>0</v>
      </c>
      <c r="O40" s="152">
        <f t="shared" si="25"/>
        <v>0</v>
      </c>
      <c r="P40" s="152">
        <f t="shared" si="25"/>
        <v>0</v>
      </c>
      <c r="Q40" s="152">
        <f t="shared" si="1"/>
        <v>0</v>
      </c>
    </row>
    <row r="41" spans="1:17" s="157" customFormat="1">
      <c r="A41" s="149" t="s">
        <v>273</v>
      </c>
      <c r="B41" s="155" t="s">
        <v>274</v>
      </c>
      <c r="C41" s="155" t="s">
        <v>191</v>
      </c>
      <c r="D41" s="156" t="s">
        <v>275</v>
      </c>
      <c r="E41" s="163"/>
      <c r="F41" s="163"/>
      <c r="G41" s="163"/>
      <c r="H41" s="163"/>
      <c r="I41" s="163"/>
      <c r="J41" s="163"/>
      <c r="K41" s="163"/>
      <c r="L41" s="163"/>
      <c r="M41" s="163"/>
      <c r="N41" s="163"/>
      <c r="O41" s="163"/>
      <c r="P41" s="163"/>
      <c r="Q41" s="152">
        <f t="shared" si="1"/>
        <v>0</v>
      </c>
    </row>
    <row r="42" spans="1:17">
      <c r="A42" s="149" t="s">
        <v>276</v>
      </c>
      <c r="B42" s="150" t="s">
        <v>277</v>
      </c>
      <c r="C42" s="150"/>
      <c r="D42" s="151" t="s">
        <v>185</v>
      </c>
      <c r="E42" s="152">
        <f>E43+E44</f>
        <v>0</v>
      </c>
      <c r="F42" s="152">
        <f t="shared" ref="F42:P42" si="26">F43+F44</f>
        <v>0</v>
      </c>
      <c r="G42" s="152">
        <f t="shared" si="26"/>
        <v>0</v>
      </c>
      <c r="H42" s="152">
        <f t="shared" si="26"/>
        <v>0</v>
      </c>
      <c r="I42" s="152">
        <f t="shared" si="26"/>
        <v>0</v>
      </c>
      <c r="J42" s="152">
        <f t="shared" si="26"/>
        <v>0</v>
      </c>
      <c r="K42" s="152">
        <f t="shared" si="26"/>
        <v>0</v>
      </c>
      <c r="L42" s="152">
        <f t="shared" si="26"/>
        <v>0</v>
      </c>
      <c r="M42" s="152">
        <f t="shared" si="26"/>
        <v>0</v>
      </c>
      <c r="N42" s="152">
        <f t="shared" si="26"/>
        <v>0</v>
      </c>
      <c r="O42" s="152">
        <f t="shared" si="26"/>
        <v>0</v>
      </c>
      <c r="P42" s="152">
        <f t="shared" si="26"/>
        <v>0</v>
      </c>
      <c r="Q42" s="152">
        <f t="shared" si="1"/>
        <v>0</v>
      </c>
    </row>
    <row r="43" spans="1:17" s="157" customFormat="1">
      <c r="A43" s="149" t="s">
        <v>278</v>
      </c>
      <c r="B43" s="155" t="s">
        <v>279</v>
      </c>
      <c r="C43" s="155" t="s">
        <v>191</v>
      </c>
      <c r="D43" s="156" t="s">
        <v>262</v>
      </c>
      <c r="E43" s="163"/>
      <c r="F43" s="163"/>
      <c r="G43" s="163"/>
      <c r="H43" s="163"/>
      <c r="I43" s="163"/>
      <c r="J43" s="163"/>
      <c r="K43" s="163"/>
      <c r="L43" s="163"/>
      <c r="M43" s="163"/>
      <c r="N43" s="163"/>
      <c r="O43" s="163"/>
      <c r="P43" s="163"/>
      <c r="Q43" s="152">
        <f t="shared" si="1"/>
        <v>0</v>
      </c>
    </row>
    <row r="44" spans="1:17" s="157" customFormat="1">
      <c r="A44" s="149" t="s">
        <v>280</v>
      </c>
      <c r="B44" s="155" t="s">
        <v>281</v>
      </c>
      <c r="C44" s="155" t="s">
        <v>191</v>
      </c>
      <c r="D44" s="156" t="s">
        <v>262</v>
      </c>
      <c r="E44" s="163"/>
      <c r="F44" s="163"/>
      <c r="G44" s="163"/>
      <c r="H44" s="163"/>
      <c r="I44" s="163"/>
      <c r="J44" s="163"/>
      <c r="K44" s="163"/>
      <c r="L44" s="163"/>
      <c r="M44" s="163"/>
      <c r="N44" s="163"/>
      <c r="O44" s="163"/>
      <c r="P44" s="163"/>
      <c r="Q44" s="152">
        <f t="shared" si="1"/>
        <v>0</v>
      </c>
    </row>
    <row r="45" spans="1:17">
      <c r="A45" s="149" t="s">
        <v>282</v>
      </c>
      <c r="B45" s="150" t="s">
        <v>283</v>
      </c>
      <c r="C45" s="150"/>
      <c r="D45" s="151" t="s">
        <v>185</v>
      </c>
      <c r="E45" s="152">
        <f>E46</f>
        <v>360</v>
      </c>
      <c r="F45" s="152">
        <f t="shared" ref="F45:P45" si="27">F46</f>
        <v>6480</v>
      </c>
      <c r="G45" s="152">
        <f t="shared" si="27"/>
        <v>2160</v>
      </c>
      <c r="H45" s="152">
        <f t="shared" si="27"/>
        <v>720</v>
      </c>
      <c r="I45" s="152">
        <f t="shared" si="27"/>
        <v>5400</v>
      </c>
      <c r="J45" s="152">
        <f t="shared" si="27"/>
        <v>3240</v>
      </c>
      <c r="K45" s="152">
        <f t="shared" si="27"/>
        <v>2880</v>
      </c>
      <c r="L45" s="152">
        <f t="shared" si="27"/>
        <v>2160</v>
      </c>
      <c r="M45" s="152">
        <f t="shared" si="27"/>
        <v>5400</v>
      </c>
      <c r="N45" s="152">
        <f t="shared" si="27"/>
        <v>5400</v>
      </c>
      <c r="O45" s="152">
        <f t="shared" si="27"/>
        <v>2880</v>
      </c>
      <c r="P45" s="152">
        <f t="shared" si="27"/>
        <v>1080</v>
      </c>
      <c r="Q45" s="152">
        <f t="shared" si="1"/>
        <v>38160</v>
      </c>
    </row>
    <row r="46" spans="1:17">
      <c r="A46" s="149" t="s">
        <v>284</v>
      </c>
      <c r="B46" s="150" t="s">
        <v>285</v>
      </c>
      <c r="C46" s="150" t="s">
        <v>191</v>
      </c>
      <c r="D46" s="151" t="s">
        <v>192</v>
      </c>
      <c r="E46" s="154">
        <v>360</v>
      </c>
      <c r="F46" s="154">
        <f>(540+30)*12-30*12</f>
        <v>6480</v>
      </c>
      <c r="G46" s="154">
        <v>2160</v>
      </c>
      <c r="H46" s="154">
        <v>720</v>
      </c>
      <c r="I46" s="154">
        <v>5400</v>
      </c>
      <c r="J46" s="154">
        <v>3240</v>
      </c>
      <c r="K46" s="154">
        <v>2880</v>
      </c>
      <c r="L46" s="154">
        <v>2160</v>
      </c>
      <c r="M46" s="154">
        <v>5400</v>
      </c>
      <c r="N46" s="154">
        <v>5400</v>
      </c>
      <c r="O46" s="154">
        <v>2880</v>
      </c>
      <c r="P46" s="154">
        <v>1080</v>
      </c>
      <c r="Q46" s="152">
        <f t="shared" si="1"/>
        <v>38160</v>
      </c>
    </row>
    <row r="47" spans="1:17">
      <c r="A47" s="149" t="s">
        <v>286</v>
      </c>
      <c r="B47" s="150" t="s">
        <v>287</v>
      </c>
      <c r="C47" s="150"/>
      <c r="D47" s="151" t="s">
        <v>185</v>
      </c>
      <c r="E47" s="152">
        <f>SUM(E48:E51)</f>
        <v>0</v>
      </c>
      <c r="F47" s="152">
        <f t="shared" ref="F47:P47" si="28">SUM(F48:F51)</f>
        <v>2000</v>
      </c>
      <c r="G47" s="152">
        <f t="shared" si="28"/>
        <v>2000</v>
      </c>
      <c r="H47" s="152">
        <f t="shared" si="28"/>
        <v>5400</v>
      </c>
      <c r="I47" s="152">
        <f t="shared" si="28"/>
        <v>10000</v>
      </c>
      <c r="J47" s="152">
        <f t="shared" si="28"/>
        <v>1350</v>
      </c>
      <c r="K47" s="152">
        <f t="shared" si="28"/>
        <v>2500</v>
      </c>
      <c r="L47" s="152">
        <f t="shared" si="28"/>
        <v>3800</v>
      </c>
      <c r="M47" s="152">
        <f t="shared" si="28"/>
        <v>3600</v>
      </c>
      <c r="N47" s="152">
        <f t="shared" si="28"/>
        <v>5000</v>
      </c>
      <c r="O47" s="152">
        <f t="shared" si="28"/>
        <v>3500</v>
      </c>
      <c r="P47" s="152">
        <f t="shared" si="28"/>
        <v>2000</v>
      </c>
      <c r="Q47" s="152">
        <f t="shared" si="1"/>
        <v>41150</v>
      </c>
    </row>
    <row r="48" spans="1:17">
      <c r="A48" s="149" t="s">
        <v>288</v>
      </c>
      <c r="B48" s="150" t="s">
        <v>289</v>
      </c>
      <c r="C48" s="150" t="s">
        <v>191</v>
      </c>
      <c r="D48" s="151" t="s">
        <v>290</v>
      </c>
      <c r="E48" s="154">
        <v>0</v>
      </c>
      <c r="F48" s="154">
        <v>2000</v>
      </c>
      <c r="G48" s="154">
        <v>2000</v>
      </c>
      <c r="H48" s="154">
        <v>5400</v>
      </c>
      <c r="I48" s="154">
        <v>10000</v>
      </c>
      <c r="J48" s="154">
        <v>1350</v>
      </c>
      <c r="K48" s="154">
        <v>2500</v>
      </c>
      <c r="L48" s="154">
        <v>3800</v>
      </c>
      <c r="M48" s="154">
        <v>3600</v>
      </c>
      <c r="N48" s="154">
        <v>5000</v>
      </c>
      <c r="O48" s="154">
        <v>3500</v>
      </c>
      <c r="P48" s="154">
        <v>2000</v>
      </c>
      <c r="Q48" s="152">
        <f t="shared" si="1"/>
        <v>41150</v>
      </c>
    </row>
    <row r="49" spans="1:17" s="157" customFormat="1">
      <c r="A49" s="149" t="s">
        <v>291</v>
      </c>
      <c r="B49" s="155" t="s">
        <v>292</v>
      </c>
      <c r="C49" s="155" t="s">
        <v>191</v>
      </c>
      <c r="D49" s="156" t="s">
        <v>293</v>
      </c>
      <c r="E49" s="163"/>
      <c r="F49" s="163"/>
      <c r="G49" s="163"/>
      <c r="H49" s="163"/>
      <c r="I49" s="163"/>
      <c r="J49" s="163"/>
      <c r="K49" s="163"/>
      <c r="L49" s="163"/>
      <c r="M49" s="163"/>
      <c r="N49" s="163"/>
      <c r="O49" s="163"/>
      <c r="P49" s="163"/>
      <c r="Q49" s="152">
        <f t="shared" si="1"/>
        <v>0</v>
      </c>
    </row>
    <row r="50" spans="1:17" s="157" customFormat="1">
      <c r="A50" s="149" t="s">
        <v>294</v>
      </c>
      <c r="B50" s="155" t="s">
        <v>295</v>
      </c>
      <c r="C50" s="155" t="s">
        <v>191</v>
      </c>
      <c r="D50" s="156" t="s">
        <v>293</v>
      </c>
      <c r="E50" s="163"/>
      <c r="F50" s="163"/>
      <c r="G50" s="163"/>
      <c r="H50" s="163"/>
      <c r="I50" s="163"/>
      <c r="J50" s="163"/>
      <c r="K50" s="163"/>
      <c r="L50" s="163"/>
      <c r="M50" s="163"/>
      <c r="N50" s="163"/>
      <c r="O50" s="163"/>
      <c r="P50" s="163"/>
      <c r="Q50" s="152">
        <f t="shared" si="1"/>
        <v>0</v>
      </c>
    </row>
    <row r="51" spans="1:17" ht="33.75">
      <c r="A51" s="149" t="s">
        <v>296</v>
      </c>
      <c r="B51" s="150" t="s">
        <v>297</v>
      </c>
      <c r="C51" s="150" t="s">
        <v>191</v>
      </c>
      <c r="D51" s="159" t="s">
        <v>298</v>
      </c>
      <c r="E51" s="160"/>
      <c r="F51" s="160"/>
      <c r="G51" s="160"/>
      <c r="H51" s="160"/>
      <c r="I51" s="160"/>
      <c r="J51" s="160"/>
      <c r="K51" s="160"/>
      <c r="L51" s="160"/>
      <c r="M51" s="160"/>
      <c r="N51" s="160"/>
      <c r="O51" s="160"/>
      <c r="P51" s="160"/>
      <c r="Q51" s="152">
        <f t="shared" si="1"/>
        <v>0</v>
      </c>
    </row>
    <row r="52" spans="1:17">
      <c r="A52" s="149" t="s">
        <v>299</v>
      </c>
      <c r="B52" s="150" t="s">
        <v>300</v>
      </c>
      <c r="C52" s="150"/>
      <c r="D52" s="151" t="s">
        <v>185</v>
      </c>
      <c r="E52" s="152">
        <f>E53+E71+E73+E75+E77+E79+E81+E83+E85+E93</f>
        <v>473830.6</v>
      </c>
      <c r="F52" s="152">
        <f t="shared" ref="F52:P52" si="29">F53+F71+F73+F75+F77+F79+F81+F83+F85+F93</f>
        <v>6935198</v>
      </c>
      <c r="G52" s="152">
        <f t="shared" si="29"/>
        <v>3253658.55</v>
      </c>
      <c r="H52" s="152">
        <f t="shared" si="29"/>
        <v>3806968.5999999996</v>
      </c>
      <c r="I52" s="152">
        <f t="shared" si="29"/>
        <v>5062666.6000000006</v>
      </c>
      <c r="J52" s="152">
        <f t="shared" si="29"/>
        <v>1283550.6000000001</v>
      </c>
      <c r="K52" s="152">
        <f t="shared" si="29"/>
        <v>1118798.7</v>
      </c>
      <c r="L52" s="152">
        <f t="shared" si="29"/>
        <v>1206705</v>
      </c>
      <c r="M52" s="152">
        <f t="shared" si="29"/>
        <v>1582772.05</v>
      </c>
      <c r="N52" s="152">
        <f t="shared" si="29"/>
        <v>2491839</v>
      </c>
      <c r="O52" s="152">
        <f t="shared" si="29"/>
        <v>1091551</v>
      </c>
      <c r="P52" s="152">
        <f t="shared" si="29"/>
        <v>1004085.2</v>
      </c>
      <c r="Q52" s="152">
        <f t="shared" si="1"/>
        <v>29311623.899999999</v>
      </c>
    </row>
    <row r="53" spans="1:17">
      <c r="A53" s="149" t="s">
        <v>301</v>
      </c>
      <c r="B53" s="150" t="s">
        <v>302</v>
      </c>
      <c r="C53" s="150"/>
      <c r="D53" s="151" t="s">
        <v>303</v>
      </c>
      <c r="E53" s="152">
        <f>SUM(E54:E70)</f>
        <v>288000</v>
      </c>
      <c r="F53" s="152">
        <v>4124540</v>
      </c>
      <c r="G53" s="152">
        <f t="shared" ref="G53:P53" si="30">SUM(G54:G70)</f>
        <v>2227210</v>
      </c>
      <c r="H53" s="152">
        <v>2714620</v>
      </c>
      <c r="I53" s="152">
        <v>3976230</v>
      </c>
      <c r="J53" s="152">
        <f t="shared" si="30"/>
        <v>856520</v>
      </c>
      <c r="K53" s="152">
        <f t="shared" si="30"/>
        <v>798000</v>
      </c>
      <c r="L53" s="152">
        <f t="shared" si="30"/>
        <v>851200</v>
      </c>
      <c r="M53" s="152">
        <f t="shared" si="30"/>
        <v>1239560</v>
      </c>
      <c r="N53" s="152">
        <f t="shared" si="30"/>
        <v>1856680</v>
      </c>
      <c r="O53" s="152">
        <f t="shared" si="30"/>
        <v>798000</v>
      </c>
      <c r="P53" s="152">
        <f t="shared" si="30"/>
        <v>798000</v>
      </c>
      <c r="Q53" s="152">
        <f t="shared" si="1"/>
        <v>20528560</v>
      </c>
    </row>
    <row r="54" spans="1:17">
      <c r="A54" s="149" t="s">
        <v>304</v>
      </c>
      <c r="B54" s="150" t="s">
        <v>305</v>
      </c>
      <c r="C54" s="150" t="s">
        <v>191</v>
      </c>
      <c r="D54" s="164"/>
      <c r="E54" s="154">
        <f>32000*9-E63</f>
        <v>273600</v>
      </c>
      <c r="F54" s="154">
        <f>4034340-F63</f>
        <v>3828113</v>
      </c>
      <c r="G54" s="154">
        <f>2227210-G63</f>
        <v>2115849</v>
      </c>
      <c r="H54" s="154">
        <f>2603960-H63</f>
        <v>2468229</v>
      </c>
      <c r="I54" s="154">
        <f>3813980-I63</f>
        <v>3615168</v>
      </c>
      <c r="J54" s="154">
        <f>856520-J63</f>
        <v>813694</v>
      </c>
      <c r="K54" s="154">
        <f>798000-K63</f>
        <v>763952</v>
      </c>
      <c r="L54" s="154">
        <f>851200-L63</f>
        <v>808640</v>
      </c>
      <c r="M54" s="154">
        <f>1239560-M63</f>
        <v>1177582</v>
      </c>
      <c r="N54" s="154">
        <f>861840+994840-N63</f>
        <v>1763846</v>
      </c>
      <c r="O54" s="154">
        <f>798000-O63</f>
        <v>770602</v>
      </c>
      <c r="P54" s="154">
        <f>798000-P63</f>
        <v>773395</v>
      </c>
      <c r="Q54" s="152">
        <f t="shared" si="1"/>
        <v>19172670</v>
      </c>
    </row>
    <row r="55" spans="1:17">
      <c r="A55" s="149" t="s">
        <v>306</v>
      </c>
      <c r="B55" s="150" t="s">
        <v>307</v>
      </c>
      <c r="C55" s="150" t="s">
        <v>191</v>
      </c>
      <c r="D55" s="164"/>
      <c r="E55" s="154"/>
      <c r="F55" s="154"/>
      <c r="G55" s="154"/>
      <c r="H55" s="154"/>
      <c r="I55" s="154"/>
      <c r="J55" s="154"/>
      <c r="K55" s="154"/>
      <c r="L55" s="154"/>
      <c r="M55" s="154"/>
      <c r="N55" s="154"/>
      <c r="O55" s="154"/>
      <c r="P55" s="154"/>
      <c r="Q55" s="152">
        <f t="shared" si="1"/>
        <v>0</v>
      </c>
    </row>
    <row r="56" spans="1:17">
      <c r="A56" s="149" t="s">
        <v>308</v>
      </c>
      <c r="B56" s="150" t="s">
        <v>309</v>
      </c>
      <c r="C56" s="150" t="s">
        <v>191</v>
      </c>
      <c r="D56" s="164"/>
      <c r="E56" s="154"/>
      <c r="F56" s="154"/>
      <c r="G56" s="154"/>
      <c r="H56" s="154"/>
      <c r="I56" s="154"/>
      <c r="J56" s="154"/>
      <c r="K56" s="154"/>
      <c r="L56" s="154"/>
      <c r="M56" s="154"/>
      <c r="N56" s="154"/>
      <c r="O56" s="154"/>
      <c r="P56" s="154"/>
      <c r="Q56" s="152">
        <f t="shared" si="1"/>
        <v>0</v>
      </c>
    </row>
    <row r="57" spans="1:17">
      <c r="A57" s="149" t="s">
        <v>310</v>
      </c>
      <c r="B57" s="150" t="s">
        <v>311</v>
      </c>
      <c r="C57" s="150" t="s">
        <v>191</v>
      </c>
      <c r="D57" s="164"/>
      <c r="E57" s="154"/>
      <c r="F57" s="154"/>
      <c r="G57" s="154"/>
      <c r="H57" s="154"/>
      <c r="I57" s="154"/>
      <c r="J57" s="154"/>
      <c r="K57" s="154"/>
      <c r="L57" s="154"/>
      <c r="M57" s="154"/>
      <c r="N57" s="154"/>
      <c r="O57" s="154"/>
      <c r="P57" s="154"/>
      <c r="Q57" s="152">
        <f t="shared" si="1"/>
        <v>0</v>
      </c>
    </row>
    <row r="58" spans="1:17">
      <c r="A58" s="149" t="s">
        <v>312</v>
      </c>
      <c r="B58" s="150" t="s">
        <v>313</v>
      </c>
      <c r="C58" s="150" t="s">
        <v>191</v>
      </c>
      <c r="D58" s="164"/>
      <c r="E58" s="154"/>
      <c r="F58" s="154"/>
      <c r="G58" s="154"/>
      <c r="H58" s="154"/>
      <c r="I58" s="154"/>
      <c r="J58" s="154"/>
      <c r="K58" s="154"/>
      <c r="L58" s="154"/>
      <c r="M58" s="154"/>
      <c r="N58" s="154"/>
      <c r="O58" s="154"/>
      <c r="P58" s="154"/>
      <c r="Q58" s="152">
        <f t="shared" si="1"/>
        <v>0</v>
      </c>
    </row>
    <row r="59" spans="1:17">
      <c r="A59" s="149" t="s">
        <v>314</v>
      </c>
      <c r="B59" s="150" t="s">
        <v>315</v>
      </c>
      <c r="C59" s="150" t="s">
        <v>191</v>
      </c>
      <c r="D59" s="164"/>
      <c r="E59" s="154"/>
      <c r="F59" s="154"/>
      <c r="G59" s="154"/>
      <c r="H59" s="154"/>
      <c r="I59" s="154"/>
      <c r="J59" s="154"/>
      <c r="K59" s="154"/>
      <c r="L59" s="154"/>
      <c r="M59" s="154"/>
      <c r="N59" s="154"/>
      <c r="O59" s="154"/>
      <c r="P59" s="154"/>
      <c r="Q59" s="152">
        <f t="shared" si="1"/>
        <v>0</v>
      </c>
    </row>
    <row r="60" spans="1:17">
      <c r="A60" s="149" t="s">
        <v>316</v>
      </c>
      <c r="B60" s="150" t="s">
        <v>317</v>
      </c>
      <c r="C60" s="150" t="s">
        <v>191</v>
      </c>
      <c r="D60" s="164"/>
      <c r="E60" s="154"/>
      <c r="F60" s="154"/>
      <c r="G60" s="154"/>
      <c r="H60" s="154"/>
      <c r="I60" s="154"/>
      <c r="J60" s="154"/>
      <c r="K60" s="154"/>
      <c r="L60" s="154"/>
      <c r="M60" s="154"/>
      <c r="N60" s="154"/>
      <c r="O60" s="154"/>
      <c r="P60" s="154"/>
      <c r="Q60" s="152">
        <f t="shared" si="1"/>
        <v>0</v>
      </c>
    </row>
    <row r="61" spans="1:17">
      <c r="A61" s="149" t="s">
        <v>318</v>
      </c>
      <c r="B61" s="150" t="s">
        <v>319</v>
      </c>
      <c r="C61" s="150" t="s">
        <v>191</v>
      </c>
      <c r="D61" s="164"/>
      <c r="E61" s="154"/>
      <c r="F61" s="154"/>
      <c r="G61" s="154"/>
      <c r="H61" s="154"/>
      <c r="I61" s="154"/>
      <c r="J61" s="154"/>
      <c r="K61" s="154"/>
      <c r="L61" s="154"/>
      <c r="M61" s="154"/>
      <c r="N61" s="154"/>
      <c r="O61" s="154"/>
      <c r="P61" s="154"/>
      <c r="Q61" s="152">
        <f t="shared" si="1"/>
        <v>0</v>
      </c>
    </row>
    <row r="62" spans="1:17">
      <c r="A62" s="149" t="s">
        <v>320</v>
      </c>
      <c r="B62" s="150" t="s">
        <v>321</v>
      </c>
      <c r="C62" s="150" t="s">
        <v>191</v>
      </c>
      <c r="D62" s="164"/>
      <c r="E62" s="154"/>
      <c r="F62" s="154"/>
      <c r="G62" s="154"/>
      <c r="H62" s="154"/>
      <c r="I62" s="154"/>
      <c r="J62" s="154"/>
      <c r="K62" s="154"/>
      <c r="L62" s="154"/>
      <c r="M62" s="154"/>
      <c r="N62" s="154"/>
      <c r="O62" s="154"/>
      <c r="P62" s="154"/>
      <c r="Q62" s="152">
        <f t="shared" si="1"/>
        <v>0</v>
      </c>
    </row>
    <row r="63" spans="1:17">
      <c r="A63" s="149" t="s">
        <v>322</v>
      </c>
      <c r="B63" s="150" t="s">
        <v>565</v>
      </c>
      <c r="C63" s="150" t="s">
        <v>566</v>
      </c>
      <c r="D63" s="164" t="s">
        <v>567</v>
      </c>
      <c r="E63" s="154">
        <f>32000*9*0.05</f>
        <v>14400</v>
      </c>
      <c r="F63" s="154">
        <v>206227</v>
      </c>
      <c r="G63" s="154">
        <v>111361</v>
      </c>
      <c r="H63" s="154">
        <v>135731</v>
      </c>
      <c r="I63" s="154">
        <v>198812</v>
      </c>
      <c r="J63" s="154">
        <v>42826</v>
      </c>
      <c r="K63" s="154">
        <v>34048</v>
      </c>
      <c r="L63" s="154">
        <v>42560</v>
      </c>
      <c r="M63" s="154">
        <v>61978</v>
      </c>
      <c r="N63" s="154">
        <f>43092+49742</f>
        <v>92834</v>
      </c>
      <c r="O63" s="154">
        <v>27398</v>
      </c>
      <c r="P63" s="154">
        <v>24605</v>
      </c>
      <c r="Q63" s="152">
        <f t="shared" si="1"/>
        <v>992780</v>
      </c>
    </row>
    <row r="64" spans="1:17">
      <c r="A64" s="149" t="s">
        <v>326</v>
      </c>
      <c r="B64" s="150" t="s">
        <v>327</v>
      </c>
      <c r="C64" s="150" t="s">
        <v>191</v>
      </c>
      <c r="D64" s="164"/>
      <c r="E64" s="154"/>
      <c r="F64" s="154"/>
      <c r="G64" s="154"/>
      <c r="H64" s="154"/>
      <c r="I64" s="154"/>
      <c r="J64" s="154"/>
      <c r="K64" s="154"/>
      <c r="L64" s="154"/>
      <c r="M64" s="154"/>
      <c r="N64" s="154"/>
      <c r="O64" s="154"/>
      <c r="P64" s="154"/>
      <c r="Q64" s="152">
        <f t="shared" si="1"/>
        <v>0</v>
      </c>
    </row>
    <row r="65" spans="1:17">
      <c r="A65" s="149" t="s">
        <v>328</v>
      </c>
      <c r="B65" s="150" t="s">
        <v>329</v>
      </c>
      <c r="C65" s="150" t="s">
        <v>191</v>
      </c>
      <c r="D65" s="164"/>
      <c r="E65" s="154"/>
      <c r="F65" s="154"/>
      <c r="G65" s="154"/>
      <c r="H65" s="154"/>
      <c r="I65" s="154"/>
      <c r="J65" s="154"/>
      <c r="K65" s="154"/>
      <c r="L65" s="154"/>
      <c r="M65" s="154"/>
      <c r="N65" s="154"/>
      <c r="O65" s="154"/>
      <c r="P65" s="154"/>
      <c r="Q65" s="152">
        <f t="shared" si="1"/>
        <v>0</v>
      </c>
    </row>
    <row r="66" spans="1:17">
      <c r="A66" s="149" t="s">
        <v>330</v>
      </c>
      <c r="B66" s="150" t="s">
        <v>331</v>
      </c>
      <c r="C66" s="150" t="s">
        <v>191</v>
      </c>
      <c r="D66" s="164"/>
      <c r="E66" s="154"/>
      <c r="F66" s="154"/>
      <c r="G66" s="154"/>
      <c r="H66" s="154"/>
      <c r="I66" s="154"/>
      <c r="J66" s="154"/>
      <c r="K66" s="154"/>
      <c r="L66" s="154"/>
      <c r="M66" s="154"/>
      <c r="N66" s="154"/>
      <c r="O66" s="154"/>
      <c r="P66" s="154"/>
      <c r="Q66" s="152">
        <f t="shared" si="1"/>
        <v>0</v>
      </c>
    </row>
    <row r="67" spans="1:17">
      <c r="A67" s="149" t="s">
        <v>332</v>
      </c>
      <c r="B67" s="150" t="s">
        <v>333</v>
      </c>
      <c r="C67" s="150" t="s">
        <v>191</v>
      </c>
      <c r="D67" s="164"/>
      <c r="E67" s="154"/>
      <c r="F67" s="154"/>
      <c r="G67" s="154"/>
      <c r="H67" s="154"/>
      <c r="I67" s="154"/>
      <c r="J67" s="154"/>
      <c r="K67" s="154"/>
      <c r="L67" s="154"/>
      <c r="M67" s="154"/>
      <c r="N67" s="154"/>
      <c r="O67" s="154"/>
      <c r="P67" s="154"/>
      <c r="Q67" s="152">
        <f t="shared" ref="Q67:Q109" si="31">SUM(E67:P67)</f>
        <v>0</v>
      </c>
    </row>
    <row r="68" spans="1:17">
      <c r="A68" s="149" t="s">
        <v>334</v>
      </c>
      <c r="B68" s="150" t="s">
        <v>335</v>
      </c>
      <c r="C68" s="150" t="s">
        <v>191</v>
      </c>
      <c r="D68" s="164"/>
      <c r="E68" s="154"/>
      <c r="F68" s="154"/>
      <c r="G68" s="154"/>
      <c r="H68" s="154"/>
      <c r="I68" s="154"/>
      <c r="J68" s="154"/>
      <c r="K68" s="154"/>
      <c r="L68" s="154"/>
      <c r="M68" s="154"/>
      <c r="N68" s="154"/>
      <c r="O68" s="154"/>
      <c r="P68" s="154"/>
      <c r="Q68" s="152">
        <f t="shared" si="31"/>
        <v>0</v>
      </c>
    </row>
    <row r="69" spans="1:17">
      <c r="A69" s="149" t="s">
        <v>336</v>
      </c>
      <c r="B69" s="150" t="s">
        <v>337</v>
      </c>
      <c r="C69" s="150" t="s">
        <v>191</v>
      </c>
      <c r="D69" s="164"/>
      <c r="E69" s="154"/>
      <c r="F69" s="154"/>
      <c r="G69" s="154"/>
      <c r="H69" s="154"/>
      <c r="I69" s="154"/>
      <c r="J69" s="154"/>
      <c r="K69" s="154"/>
      <c r="L69" s="154"/>
      <c r="M69" s="154"/>
      <c r="N69" s="154"/>
      <c r="O69" s="154"/>
      <c r="P69" s="154"/>
      <c r="Q69" s="152">
        <f t="shared" si="31"/>
        <v>0</v>
      </c>
    </row>
    <row r="70" spans="1:17">
      <c r="A70" s="149" t="s">
        <v>338</v>
      </c>
      <c r="B70" s="150" t="s">
        <v>339</v>
      </c>
      <c r="C70" s="150" t="s">
        <v>191</v>
      </c>
      <c r="D70" s="164"/>
      <c r="E70" s="154"/>
      <c r="F70" s="154"/>
      <c r="G70" s="154"/>
      <c r="H70" s="154"/>
      <c r="I70" s="154"/>
      <c r="J70" s="154"/>
      <c r="K70" s="154"/>
      <c r="L70" s="154"/>
      <c r="M70" s="154"/>
      <c r="N70" s="154"/>
      <c r="O70" s="154"/>
      <c r="P70" s="154"/>
      <c r="Q70" s="152">
        <f t="shared" si="31"/>
        <v>0</v>
      </c>
    </row>
    <row r="71" spans="1:17">
      <c r="A71" s="149" t="s">
        <v>340</v>
      </c>
      <c r="B71" s="150" t="s">
        <v>341</v>
      </c>
      <c r="C71" s="150"/>
      <c r="D71" s="151"/>
      <c r="E71" s="152">
        <f>E72</f>
        <v>3600</v>
      </c>
      <c r="F71" s="152">
        <f t="shared" ref="F71:P71" si="32">F72</f>
        <v>70000</v>
      </c>
      <c r="G71" s="152">
        <f t="shared" si="32"/>
        <v>30000</v>
      </c>
      <c r="H71" s="152">
        <f t="shared" si="32"/>
        <v>30000</v>
      </c>
      <c r="I71" s="152">
        <f t="shared" si="32"/>
        <v>37600</v>
      </c>
      <c r="J71" s="152">
        <f t="shared" si="32"/>
        <v>11600</v>
      </c>
      <c r="K71" s="152">
        <f t="shared" si="32"/>
        <v>9200</v>
      </c>
      <c r="L71" s="152">
        <f t="shared" si="32"/>
        <v>10800</v>
      </c>
      <c r="M71" s="152">
        <f t="shared" si="32"/>
        <v>9600</v>
      </c>
      <c r="N71" s="152">
        <f t="shared" si="32"/>
        <v>19200</v>
      </c>
      <c r="O71" s="152">
        <f t="shared" si="32"/>
        <v>6400</v>
      </c>
      <c r="P71" s="152">
        <f t="shared" si="32"/>
        <v>2000</v>
      </c>
      <c r="Q71" s="152">
        <f t="shared" si="31"/>
        <v>240000</v>
      </c>
    </row>
    <row r="72" spans="1:17" s="157" customFormat="1" ht="22.5">
      <c r="A72" s="149" t="s">
        <v>342</v>
      </c>
      <c r="B72" s="155" t="s">
        <v>343</v>
      </c>
      <c r="C72" s="155" t="s">
        <v>191</v>
      </c>
      <c r="D72" s="165" t="s">
        <v>344</v>
      </c>
      <c r="E72" s="152">
        <f>E96*400</f>
        <v>3600</v>
      </c>
      <c r="F72" s="152">
        <f t="shared" ref="F72:P72" si="33">F96*400</f>
        <v>70000</v>
      </c>
      <c r="G72" s="152">
        <f t="shared" si="33"/>
        <v>30000</v>
      </c>
      <c r="H72" s="152">
        <f t="shared" si="33"/>
        <v>30000</v>
      </c>
      <c r="I72" s="152">
        <f t="shared" si="33"/>
        <v>37600</v>
      </c>
      <c r="J72" s="152">
        <f t="shared" si="33"/>
        <v>11600</v>
      </c>
      <c r="K72" s="152">
        <f t="shared" si="33"/>
        <v>9200</v>
      </c>
      <c r="L72" s="152">
        <f t="shared" si="33"/>
        <v>10800</v>
      </c>
      <c r="M72" s="152">
        <f t="shared" si="33"/>
        <v>9600</v>
      </c>
      <c r="N72" s="152">
        <f t="shared" si="33"/>
        <v>19200</v>
      </c>
      <c r="O72" s="152">
        <f t="shared" si="33"/>
        <v>6400</v>
      </c>
      <c r="P72" s="152">
        <f t="shared" si="33"/>
        <v>2000</v>
      </c>
      <c r="Q72" s="152">
        <f t="shared" si="31"/>
        <v>240000</v>
      </c>
    </row>
    <row r="73" spans="1:17">
      <c r="A73" s="149" t="s">
        <v>345</v>
      </c>
      <c r="B73" s="150" t="s">
        <v>346</v>
      </c>
      <c r="C73" s="150"/>
      <c r="D73" s="151" t="s">
        <v>185</v>
      </c>
      <c r="E73" s="152">
        <f>E74</f>
        <v>20325</v>
      </c>
      <c r="F73" s="152">
        <f t="shared" ref="F73:P73" si="34">F74</f>
        <v>297282</v>
      </c>
      <c r="G73" s="152">
        <f t="shared" si="34"/>
        <v>278907.75</v>
      </c>
      <c r="H73" s="152">
        <f t="shared" si="34"/>
        <v>300871.8</v>
      </c>
      <c r="I73" s="152">
        <f t="shared" si="34"/>
        <v>218115</v>
      </c>
      <c r="J73" s="152">
        <f t="shared" si="34"/>
        <v>71205</v>
      </c>
      <c r="K73" s="152">
        <f t="shared" si="34"/>
        <v>74342.700000000012</v>
      </c>
      <c r="L73" s="152">
        <f t="shared" si="34"/>
        <v>85185</v>
      </c>
      <c r="M73" s="152">
        <f t="shared" si="34"/>
        <v>92082.45</v>
      </c>
      <c r="N73" s="152">
        <f t="shared" si="34"/>
        <v>173535</v>
      </c>
      <c r="O73" s="152">
        <f t="shared" si="34"/>
        <v>110475</v>
      </c>
      <c r="P73" s="152">
        <f t="shared" si="34"/>
        <v>110250</v>
      </c>
      <c r="Q73" s="152">
        <f t="shared" si="31"/>
        <v>1832576.7</v>
      </c>
    </row>
    <row r="74" spans="1:17" s="157" customFormat="1">
      <c r="A74" s="149" t="s">
        <v>347</v>
      </c>
      <c r="B74" s="155" t="s">
        <v>348</v>
      </c>
      <c r="C74" s="155" t="s">
        <v>191</v>
      </c>
      <c r="D74" s="165" t="s">
        <v>349</v>
      </c>
      <c r="E74" s="152">
        <f>E108*15</f>
        <v>20325</v>
      </c>
      <c r="F74" s="152">
        <f t="shared" ref="F74:P74" si="35">F108*15</f>
        <v>297282</v>
      </c>
      <c r="G74" s="152">
        <f t="shared" si="35"/>
        <v>278907.75</v>
      </c>
      <c r="H74" s="152">
        <f t="shared" si="35"/>
        <v>300871.8</v>
      </c>
      <c r="I74" s="152">
        <f t="shared" si="35"/>
        <v>218115</v>
      </c>
      <c r="J74" s="152">
        <f t="shared" si="35"/>
        <v>71205</v>
      </c>
      <c r="K74" s="152">
        <f t="shared" si="35"/>
        <v>74342.700000000012</v>
      </c>
      <c r="L74" s="152">
        <f t="shared" si="35"/>
        <v>85185</v>
      </c>
      <c r="M74" s="152">
        <f t="shared" si="35"/>
        <v>92082.45</v>
      </c>
      <c r="N74" s="152">
        <f t="shared" si="35"/>
        <v>173535</v>
      </c>
      <c r="O74" s="152">
        <f t="shared" si="35"/>
        <v>110475</v>
      </c>
      <c r="P74" s="152">
        <f t="shared" si="35"/>
        <v>110250</v>
      </c>
      <c r="Q74" s="152">
        <f t="shared" si="31"/>
        <v>1832576.7</v>
      </c>
    </row>
    <row r="75" spans="1:17">
      <c r="A75" s="149" t="s">
        <v>350</v>
      </c>
      <c r="B75" s="150" t="s">
        <v>351</v>
      </c>
      <c r="C75" s="150"/>
      <c r="D75" s="151" t="s">
        <v>185</v>
      </c>
      <c r="E75" s="152">
        <f>E76</f>
        <v>14400</v>
      </c>
      <c r="F75" s="152">
        <f t="shared" ref="F75:P75" si="36">F76</f>
        <v>97216</v>
      </c>
      <c r="G75" s="152">
        <f t="shared" si="36"/>
        <v>78568</v>
      </c>
      <c r="H75" s="152">
        <f t="shared" si="36"/>
        <v>112080</v>
      </c>
      <c r="I75" s="152">
        <f t="shared" si="36"/>
        <v>65651.199999999997</v>
      </c>
      <c r="J75" s="152">
        <f t="shared" si="36"/>
        <v>20480</v>
      </c>
      <c r="K75" s="152">
        <f t="shared" si="36"/>
        <v>15744</v>
      </c>
      <c r="L75" s="152">
        <f t="shared" si="36"/>
        <v>20904</v>
      </c>
      <c r="M75" s="152">
        <f t="shared" si="36"/>
        <v>20616</v>
      </c>
      <c r="N75" s="152">
        <f t="shared" si="36"/>
        <v>37800</v>
      </c>
      <c r="O75" s="152">
        <f t="shared" si="36"/>
        <v>25856</v>
      </c>
      <c r="P75" s="152">
        <f t="shared" si="36"/>
        <v>25792</v>
      </c>
      <c r="Q75" s="152">
        <f t="shared" si="31"/>
        <v>535107.19999999995</v>
      </c>
    </row>
    <row r="76" spans="1:17" s="157" customFormat="1">
      <c r="A76" s="149" t="s">
        <v>352</v>
      </c>
      <c r="B76" s="155" t="s">
        <v>353</v>
      </c>
      <c r="C76" s="155" t="s">
        <v>191</v>
      </c>
      <c r="D76" s="165" t="s">
        <v>354</v>
      </c>
      <c r="E76" s="152">
        <f>E109*8</f>
        <v>14400</v>
      </c>
      <c r="F76" s="152">
        <f t="shared" ref="F76:P76" si="37">F109*8</f>
        <v>97216</v>
      </c>
      <c r="G76" s="152">
        <f t="shared" si="37"/>
        <v>78568</v>
      </c>
      <c r="H76" s="152">
        <f t="shared" si="37"/>
        <v>112080</v>
      </c>
      <c r="I76" s="152">
        <f t="shared" si="37"/>
        <v>65651.199999999997</v>
      </c>
      <c r="J76" s="152">
        <f t="shared" si="37"/>
        <v>20480</v>
      </c>
      <c r="K76" s="152">
        <f t="shared" si="37"/>
        <v>15744</v>
      </c>
      <c r="L76" s="152">
        <f t="shared" si="37"/>
        <v>20904</v>
      </c>
      <c r="M76" s="152">
        <f t="shared" si="37"/>
        <v>20616</v>
      </c>
      <c r="N76" s="152">
        <f t="shared" si="37"/>
        <v>37800</v>
      </c>
      <c r="O76" s="152">
        <f t="shared" si="37"/>
        <v>25856</v>
      </c>
      <c r="P76" s="152">
        <f t="shared" si="37"/>
        <v>25792</v>
      </c>
      <c r="Q76" s="152">
        <f t="shared" si="31"/>
        <v>535107.19999999995</v>
      </c>
    </row>
    <row r="77" spans="1:17">
      <c r="A77" s="149" t="s">
        <v>355</v>
      </c>
      <c r="B77" s="150" t="s">
        <v>356</v>
      </c>
      <c r="C77" s="150"/>
      <c r="D77" s="151" t="s">
        <v>185</v>
      </c>
      <c r="E77" s="152">
        <f>E78</f>
        <v>0</v>
      </c>
      <c r="F77" s="152">
        <f t="shared" ref="F77:P77" si="38">F78</f>
        <v>0</v>
      </c>
      <c r="G77" s="152">
        <f t="shared" si="38"/>
        <v>0</v>
      </c>
      <c r="H77" s="152">
        <f t="shared" si="38"/>
        <v>0</v>
      </c>
      <c r="I77" s="152">
        <f t="shared" si="38"/>
        <v>0</v>
      </c>
      <c r="J77" s="152">
        <f t="shared" si="38"/>
        <v>0</v>
      </c>
      <c r="K77" s="152">
        <f t="shared" si="38"/>
        <v>0</v>
      </c>
      <c r="L77" s="152">
        <f t="shared" si="38"/>
        <v>0</v>
      </c>
      <c r="M77" s="152">
        <f t="shared" si="38"/>
        <v>0</v>
      </c>
      <c r="N77" s="152">
        <f t="shared" si="38"/>
        <v>0</v>
      </c>
      <c r="O77" s="152">
        <f t="shared" si="38"/>
        <v>0</v>
      </c>
      <c r="P77" s="152">
        <f t="shared" si="38"/>
        <v>0</v>
      </c>
      <c r="Q77" s="152">
        <f t="shared" si="31"/>
        <v>0</v>
      </c>
    </row>
    <row r="78" spans="1:17" s="157" customFormat="1">
      <c r="A78" s="149" t="s">
        <v>357</v>
      </c>
      <c r="B78" s="155" t="s">
        <v>358</v>
      </c>
      <c r="C78" s="155" t="s">
        <v>191</v>
      </c>
      <c r="D78" s="165" t="s">
        <v>293</v>
      </c>
      <c r="E78" s="163"/>
      <c r="F78" s="163"/>
      <c r="G78" s="163"/>
      <c r="H78" s="163"/>
      <c r="I78" s="163"/>
      <c r="J78" s="163"/>
      <c r="K78" s="163"/>
      <c r="L78" s="163"/>
      <c r="M78" s="163"/>
      <c r="N78" s="163"/>
      <c r="O78" s="163"/>
      <c r="P78" s="163"/>
      <c r="Q78" s="152">
        <f t="shared" si="31"/>
        <v>0</v>
      </c>
    </row>
    <row r="79" spans="1:17">
      <c r="A79" s="149" t="s">
        <v>359</v>
      </c>
      <c r="B79" s="150" t="s">
        <v>360</v>
      </c>
      <c r="C79" s="150"/>
      <c r="D79" s="151" t="s">
        <v>185</v>
      </c>
      <c r="E79" s="152">
        <f>E80</f>
        <v>38880</v>
      </c>
      <c r="F79" s="152">
        <f t="shared" ref="F79:P79" si="39">F80</f>
        <v>756000</v>
      </c>
      <c r="G79" s="152">
        <f t="shared" si="39"/>
        <v>324000</v>
      </c>
      <c r="H79" s="152">
        <f t="shared" si="39"/>
        <v>324000</v>
      </c>
      <c r="I79" s="152">
        <f t="shared" si="39"/>
        <v>406080</v>
      </c>
      <c r="J79" s="152">
        <f t="shared" si="39"/>
        <v>125280</v>
      </c>
      <c r="K79" s="152">
        <f t="shared" si="39"/>
        <v>99360</v>
      </c>
      <c r="L79" s="152">
        <f t="shared" si="39"/>
        <v>116640</v>
      </c>
      <c r="M79" s="152">
        <f t="shared" si="39"/>
        <v>103680</v>
      </c>
      <c r="N79" s="152">
        <f t="shared" si="39"/>
        <v>207360</v>
      </c>
      <c r="O79" s="152">
        <f t="shared" si="39"/>
        <v>69120</v>
      </c>
      <c r="P79" s="152">
        <f t="shared" si="39"/>
        <v>21600</v>
      </c>
      <c r="Q79" s="152">
        <f t="shared" si="31"/>
        <v>2592000</v>
      </c>
    </row>
    <row r="80" spans="1:17" s="157" customFormat="1" ht="22.5">
      <c r="A80" s="149" t="s">
        <v>361</v>
      </c>
      <c r="B80" s="155" t="s">
        <v>362</v>
      </c>
      <c r="C80" s="155" t="s">
        <v>191</v>
      </c>
      <c r="D80" s="165" t="s">
        <v>363</v>
      </c>
      <c r="E80" s="152">
        <f>E96*4320</f>
        <v>38880</v>
      </c>
      <c r="F80" s="152">
        <f t="shared" ref="F80:P80" si="40">F96*4320</f>
        <v>756000</v>
      </c>
      <c r="G80" s="152">
        <f t="shared" si="40"/>
        <v>324000</v>
      </c>
      <c r="H80" s="152">
        <f t="shared" si="40"/>
        <v>324000</v>
      </c>
      <c r="I80" s="152">
        <f t="shared" si="40"/>
        <v>406080</v>
      </c>
      <c r="J80" s="152">
        <f t="shared" si="40"/>
        <v>125280</v>
      </c>
      <c r="K80" s="152">
        <f t="shared" si="40"/>
        <v>99360</v>
      </c>
      <c r="L80" s="152">
        <f t="shared" si="40"/>
        <v>116640</v>
      </c>
      <c r="M80" s="152">
        <f t="shared" si="40"/>
        <v>103680</v>
      </c>
      <c r="N80" s="152">
        <f t="shared" si="40"/>
        <v>207360</v>
      </c>
      <c r="O80" s="152">
        <f t="shared" si="40"/>
        <v>69120</v>
      </c>
      <c r="P80" s="152">
        <f t="shared" si="40"/>
        <v>21600</v>
      </c>
      <c r="Q80" s="152">
        <f t="shared" si="31"/>
        <v>2592000</v>
      </c>
    </row>
    <row r="81" spans="1:17">
      <c r="A81" s="149" t="s">
        <v>364</v>
      </c>
      <c r="B81" s="150" t="s">
        <v>365</v>
      </c>
      <c r="C81" s="150"/>
      <c r="D81" s="151" t="s">
        <v>185</v>
      </c>
      <c r="E81" s="152">
        <f>E82</f>
        <v>38865.599999999999</v>
      </c>
      <c r="F81" s="152">
        <f t="shared" ref="F81:P81" si="41">F82</f>
        <v>690720</v>
      </c>
      <c r="G81" s="152">
        <f t="shared" si="41"/>
        <v>273532.79999999999</v>
      </c>
      <c r="H81" s="152">
        <f t="shared" si="41"/>
        <v>288676.8</v>
      </c>
      <c r="I81" s="152">
        <f t="shared" si="41"/>
        <v>326990.40000000002</v>
      </c>
      <c r="J81" s="152">
        <f t="shared" si="41"/>
        <v>105105.60000000001</v>
      </c>
      <c r="K81" s="152">
        <f t="shared" si="41"/>
        <v>80712</v>
      </c>
      <c r="L81" s="152">
        <f t="shared" si="41"/>
        <v>89976</v>
      </c>
      <c r="M81" s="152">
        <f t="shared" si="41"/>
        <v>85233.600000000006</v>
      </c>
      <c r="N81" s="152">
        <f t="shared" si="41"/>
        <v>165264</v>
      </c>
      <c r="O81" s="152">
        <f t="shared" si="41"/>
        <v>49700</v>
      </c>
      <c r="P81" s="152">
        <f t="shared" si="41"/>
        <v>14443.2</v>
      </c>
      <c r="Q81" s="152">
        <f t="shared" si="31"/>
        <v>2209220.0000000005</v>
      </c>
    </row>
    <row r="82" spans="1:17" s="157" customFormat="1">
      <c r="A82" s="149" t="s">
        <v>366</v>
      </c>
      <c r="B82" s="155" t="s">
        <v>367</v>
      </c>
      <c r="C82" s="155" t="s">
        <v>191</v>
      </c>
      <c r="D82" s="156" t="s">
        <v>210</v>
      </c>
      <c r="E82" s="152">
        <f>E16*4</f>
        <v>38865.599999999999</v>
      </c>
      <c r="F82" s="152">
        <f t="shared" ref="F82:P82" si="42">F16*4</f>
        <v>690720</v>
      </c>
      <c r="G82" s="152">
        <f t="shared" si="42"/>
        <v>273532.79999999999</v>
      </c>
      <c r="H82" s="152">
        <f t="shared" si="42"/>
        <v>288676.8</v>
      </c>
      <c r="I82" s="152">
        <f t="shared" si="42"/>
        <v>326990.40000000002</v>
      </c>
      <c r="J82" s="152">
        <f t="shared" si="42"/>
        <v>105105.60000000001</v>
      </c>
      <c r="K82" s="152">
        <f t="shared" si="42"/>
        <v>80712</v>
      </c>
      <c r="L82" s="152">
        <f t="shared" si="42"/>
        <v>89976</v>
      </c>
      <c r="M82" s="152">
        <f t="shared" si="42"/>
        <v>85233.600000000006</v>
      </c>
      <c r="N82" s="152">
        <f t="shared" si="42"/>
        <v>165264</v>
      </c>
      <c r="O82" s="152">
        <f t="shared" si="42"/>
        <v>49700</v>
      </c>
      <c r="P82" s="152">
        <f t="shared" si="42"/>
        <v>14443.2</v>
      </c>
      <c r="Q82" s="152">
        <f t="shared" si="31"/>
        <v>2209220.0000000005</v>
      </c>
    </row>
    <row r="83" spans="1:17">
      <c r="A83" s="149" t="s">
        <v>368</v>
      </c>
      <c r="B83" s="150" t="s">
        <v>369</v>
      </c>
      <c r="C83" s="150"/>
      <c r="D83" s="151" t="s">
        <v>185</v>
      </c>
      <c r="E83" s="152">
        <f>E84</f>
        <v>0</v>
      </c>
      <c r="F83" s="152">
        <f t="shared" ref="F83:P83" si="43">F84</f>
        <v>64000</v>
      </c>
      <c r="G83" s="152">
        <f t="shared" si="43"/>
        <v>0</v>
      </c>
      <c r="H83" s="152">
        <f t="shared" si="43"/>
        <v>0</v>
      </c>
      <c r="I83" s="152">
        <f t="shared" si="43"/>
        <v>0</v>
      </c>
      <c r="J83" s="152">
        <f t="shared" si="43"/>
        <v>0</v>
      </c>
      <c r="K83" s="152">
        <f t="shared" si="43"/>
        <v>0</v>
      </c>
      <c r="L83" s="152">
        <f t="shared" si="43"/>
        <v>0</v>
      </c>
      <c r="M83" s="152">
        <f t="shared" si="43"/>
        <v>0</v>
      </c>
      <c r="N83" s="152">
        <f t="shared" si="43"/>
        <v>0</v>
      </c>
      <c r="O83" s="152">
        <f t="shared" si="43"/>
        <v>0</v>
      </c>
      <c r="P83" s="152">
        <f t="shared" si="43"/>
        <v>0</v>
      </c>
      <c r="Q83" s="152">
        <f t="shared" si="31"/>
        <v>64000</v>
      </c>
    </row>
    <row r="84" spans="1:17" ht="33.75">
      <c r="A84" s="149" t="s">
        <v>370</v>
      </c>
      <c r="B84" s="150" t="s">
        <v>371</v>
      </c>
      <c r="C84" s="150" t="s">
        <v>191</v>
      </c>
      <c r="D84" s="164" t="s">
        <v>372</v>
      </c>
      <c r="E84" s="154"/>
      <c r="F84" s="154">
        <v>64000</v>
      </c>
      <c r="G84" s="154"/>
      <c r="H84" s="154"/>
      <c r="I84" s="154"/>
      <c r="J84" s="154"/>
      <c r="K84" s="154"/>
      <c r="L84" s="154"/>
      <c r="M84" s="154"/>
      <c r="N84" s="154"/>
      <c r="O84" s="154"/>
      <c r="P84" s="154"/>
      <c r="Q84" s="152">
        <f t="shared" si="31"/>
        <v>64000</v>
      </c>
    </row>
    <row r="85" spans="1:17">
      <c r="A85" s="149" t="s">
        <v>373</v>
      </c>
      <c r="B85" s="150" t="s">
        <v>374</v>
      </c>
      <c r="C85" s="150"/>
      <c r="D85" s="151" t="s">
        <v>185</v>
      </c>
      <c r="E85" s="152">
        <f>E86+E89+E92</f>
        <v>37760</v>
      </c>
      <c r="F85" s="152">
        <f t="shared" ref="F85:P85" si="44">F86+F89+F92</f>
        <v>835440</v>
      </c>
      <c r="G85" s="152">
        <f t="shared" si="44"/>
        <v>9440</v>
      </c>
      <c r="H85" s="152">
        <f t="shared" si="44"/>
        <v>4720</v>
      </c>
      <c r="I85" s="152">
        <f t="shared" si="44"/>
        <v>0</v>
      </c>
      <c r="J85" s="152">
        <f t="shared" si="44"/>
        <v>61360</v>
      </c>
      <c r="K85" s="152">
        <f t="shared" si="44"/>
        <v>9440</v>
      </c>
      <c r="L85" s="152">
        <f t="shared" si="44"/>
        <v>0</v>
      </c>
      <c r="M85" s="152">
        <f t="shared" si="44"/>
        <v>0</v>
      </c>
      <c r="N85" s="152">
        <f t="shared" si="44"/>
        <v>0</v>
      </c>
      <c r="O85" s="152">
        <f t="shared" si="44"/>
        <v>0</v>
      </c>
      <c r="P85" s="152">
        <f t="shared" si="44"/>
        <v>0</v>
      </c>
      <c r="Q85" s="152">
        <f t="shared" si="31"/>
        <v>958160</v>
      </c>
    </row>
    <row r="86" spans="1:17">
      <c r="A86" s="149" t="s">
        <v>375</v>
      </c>
      <c r="B86" s="150" t="s">
        <v>376</v>
      </c>
      <c r="C86" s="150"/>
      <c r="D86" s="151" t="s">
        <v>185</v>
      </c>
      <c r="E86" s="152">
        <f>E87+E88</f>
        <v>0</v>
      </c>
      <c r="F86" s="152">
        <f t="shared" ref="F86:P86" si="45">F87+F88</f>
        <v>0</v>
      </c>
      <c r="G86" s="152">
        <f t="shared" si="45"/>
        <v>0</v>
      </c>
      <c r="H86" s="152">
        <f t="shared" si="45"/>
        <v>0</v>
      </c>
      <c r="I86" s="152">
        <f t="shared" si="45"/>
        <v>0</v>
      </c>
      <c r="J86" s="152">
        <f t="shared" si="45"/>
        <v>0</v>
      </c>
      <c r="K86" s="152">
        <f t="shared" si="45"/>
        <v>0</v>
      </c>
      <c r="L86" s="152">
        <f t="shared" si="45"/>
        <v>0</v>
      </c>
      <c r="M86" s="152">
        <f t="shared" si="45"/>
        <v>0</v>
      </c>
      <c r="N86" s="152">
        <f t="shared" si="45"/>
        <v>0</v>
      </c>
      <c r="O86" s="152">
        <f t="shared" si="45"/>
        <v>0</v>
      </c>
      <c r="P86" s="152">
        <f t="shared" si="45"/>
        <v>0</v>
      </c>
      <c r="Q86" s="152">
        <f t="shared" si="31"/>
        <v>0</v>
      </c>
    </row>
    <row r="87" spans="1:17">
      <c r="A87" s="149" t="s">
        <v>377</v>
      </c>
      <c r="B87" s="150" t="s">
        <v>378</v>
      </c>
      <c r="C87" s="150" t="s">
        <v>191</v>
      </c>
      <c r="D87" s="164" t="s">
        <v>293</v>
      </c>
      <c r="E87" s="160"/>
      <c r="F87" s="160"/>
      <c r="G87" s="160"/>
      <c r="H87" s="160"/>
      <c r="I87" s="160"/>
      <c r="J87" s="160"/>
      <c r="K87" s="160"/>
      <c r="L87" s="160"/>
      <c r="M87" s="160"/>
      <c r="N87" s="160"/>
      <c r="O87" s="160"/>
      <c r="P87" s="160"/>
      <c r="Q87" s="152">
        <f t="shared" si="31"/>
        <v>0</v>
      </c>
    </row>
    <row r="88" spans="1:17">
      <c r="A88" s="149" t="s">
        <v>379</v>
      </c>
      <c r="B88" s="150" t="s">
        <v>380</v>
      </c>
      <c r="C88" s="150" t="s">
        <v>191</v>
      </c>
      <c r="D88" s="151" t="s">
        <v>381</v>
      </c>
      <c r="E88" s="160"/>
      <c r="F88" s="160"/>
      <c r="G88" s="160"/>
      <c r="H88" s="160"/>
      <c r="I88" s="160"/>
      <c r="J88" s="160"/>
      <c r="K88" s="160"/>
      <c r="L88" s="160"/>
      <c r="M88" s="160"/>
      <c r="N88" s="160"/>
      <c r="O88" s="160"/>
      <c r="P88" s="160"/>
      <c r="Q88" s="152">
        <f t="shared" si="31"/>
        <v>0</v>
      </c>
    </row>
    <row r="89" spans="1:17">
      <c r="A89" s="149" t="s">
        <v>382</v>
      </c>
      <c r="B89" s="150" t="s">
        <v>383</v>
      </c>
      <c r="C89" s="150"/>
      <c r="D89" s="151" t="s">
        <v>185</v>
      </c>
      <c r="E89" s="152">
        <f>E90+E91</f>
        <v>37760</v>
      </c>
      <c r="F89" s="152">
        <f t="shared" ref="F89:P89" si="46">F90+F91</f>
        <v>835440</v>
      </c>
      <c r="G89" s="152">
        <f t="shared" si="46"/>
        <v>9440</v>
      </c>
      <c r="H89" s="152">
        <f t="shared" si="46"/>
        <v>4720</v>
      </c>
      <c r="I89" s="152">
        <f t="shared" si="46"/>
        <v>0</v>
      </c>
      <c r="J89" s="152">
        <f t="shared" si="46"/>
        <v>61360</v>
      </c>
      <c r="K89" s="152">
        <f t="shared" si="46"/>
        <v>9440</v>
      </c>
      <c r="L89" s="152">
        <f t="shared" si="46"/>
        <v>0</v>
      </c>
      <c r="M89" s="152">
        <f t="shared" si="46"/>
        <v>0</v>
      </c>
      <c r="N89" s="152">
        <f t="shared" si="46"/>
        <v>0</v>
      </c>
      <c r="O89" s="152">
        <f t="shared" si="46"/>
        <v>0</v>
      </c>
      <c r="P89" s="152">
        <f t="shared" si="46"/>
        <v>0</v>
      </c>
      <c r="Q89" s="152">
        <f t="shared" si="31"/>
        <v>958160</v>
      </c>
    </row>
    <row r="90" spans="1:17" s="157" customFormat="1" ht="22.5">
      <c r="A90" s="149" t="s">
        <v>384</v>
      </c>
      <c r="B90" s="155" t="s">
        <v>385</v>
      </c>
      <c r="C90" s="155" t="s">
        <v>191</v>
      </c>
      <c r="D90" s="165" t="s">
        <v>386</v>
      </c>
      <c r="E90" s="152">
        <f>E107*400</f>
        <v>3200</v>
      </c>
      <c r="F90" s="152">
        <f t="shared" ref="F90:P90" si="47">F107*400</f>
        <v>70800</v>
      </c>
      <c r="G90" s="152">
        <f t="shared" si="47"/>
        <v>800</v>
      </c>
      <c r="H90" s="152">
        <f t="shared" si="47"/>
        <v>400</v>
      </c>
      <c r="I90" s="152">
        <f t="shared" si="47"/>
        <v>0</v>
      </c>
      <c r="J90" s="152">
        <f t="shared" si="47"/>
        <v>5200</v>
      </c>
      <c r="K90" s="152">
        <f t="shared" si="47"/>
        <v>800</v>
      </c>
      <c r="L90" s="152">
        <f t="shared" si="47"/>
        <v>0</v>
      </c>
      <c r="M90" s="152">
        <f t="shared" si="47"/>
        <v>0</v>
      </c>
      <c r="N90" s="152">
        <f t="shared" si="47"/>
        <v>0</v>
      </c>
      <c r="O90" s="152">
        <f t="shared" si="47"/>
        <v>0</v>
      </c>
      <c r="P90" s="152">
        <f t="shared" si="47"/>
        <v>0</v>
      </c>
      <c r="Q90" s="152">
        <f t="shared" si="31"/>
        <v>81200</v>
      </c>
    </row>
    <row r="91" spans="1:17" s="157" customFormat="1" ht="22.5">
      <c r="A91" s="149" t="s">
        <v>387</v>
      </c>
      <c r="B91" s="155" t="s">
        <v>388</v>
      </c>
      <c r="C91" s="155" t="s">
        <v>191</v>
      </c>
      <c r="D91" s="165" t="s">
        <v>389</v>
      </c>
      <c r="E91" s="152">
        <f>E107*4320</f>
        <v>34560</v>
      </c>
      <c r="F91" s="152">
        <f t="shared" ref="F91:P91" si="48">F107*4320</f>
        <v>764640</v>
      </c>
      <c r="G91" s="152">
        <f t="shared" si="48"/>
        <v>8640</v>
      </c>
      <c r="H91" s="152">
        <f t="shared" si="48"/>
        <v>4320</v>
      </c>
      <c r="I91" s="152">
        <f t="shared" si="48"/>
        <v>0</v>
      </c>
      <c r="J91" s="152">
        <f t="shared" si="48"/>
        <v>56160</v>
      </c>
      <c r="K91" s="152">
        <f t="shared" si="48"/>
        <v>8640</v>
      </c>
      <c r="L91" s="152">
        <f t="shared" si="48"/>
        <v>0</v>
      </c>
      <c r="M91" s="152">
        <f t="shared" si="48"/>
        <v>0</v>
      </c>
      <c r="N91" s="152">
        <f t="shared" si="48"/>
        <v>0</v>
      </c>
      <c r="O91" s="152">
        <f t="shared" si="48"/>
        <v>0</v>
      </c>
      <c r="P91" s="152">
        <f t="shared" si="48"/>
        <v>0</v>
      </c>
      <c r="Q91" s="152">
        <f t="shared" si="31"/>
        <v>876960</v>
      </c>
    </row>
    <row r="92" spans="1:17">
      <c r="A92" s="149" t="s">
        <v>390</v>
      </c>
      <c r="B92" s="150" t="s">
        <v>391</v>
      </c>
      <c r="C92" s="150" t="s">
        <v>191</v>
      </c>
      <c r="D92" s="164" t="s">
        <v>293</v>
      </c>
      <c r="E92" s="166"/>
      <c r="F92" s="166"/>
      <c r="G92" s="166"/>
      <c r="H92" s="166"/>
      <c r="I92" s="166"/>
      <c r="J92" s="166"/>
      <c r="K92" s="166"/>
      <c r="L92" s="166"/>
      <c r="M92" s="166"/>
      <c r="N92" s="166"/>
      <c r="O92" s="166"/>
      <c r="P92" s="166"/>
      <c r="Q92" s="152">
        <f t="shared" si="31"/>
        <v>0</v>
      </c>
    </row>
    <row r="93" spans="1:17">
      <c r="A93" s="149" t="s">
        <v>392</v>
      </c>
      <c r="B93" s="150" t="s">
        <v>393</v>
      </c>
      <c r="C93" s="150"/>
      <c r="D93" s="151" t="s">
        <v>185</v>
      </c>
      <c r="E93" s="152">
        <f>E94</f>
        <v>32000</v>
      </c>
      <c r="F93" s="152">
        <f t="shared" ref="F93:P93" si="49">F94</f>
        <v>0</v>
      </c>
      <c r="G93" s="152">
        <f t="shared" si="49"/>
        <v>32000</v>
      </c>
      <c r="H93" s="152">
        <f t="shared" si="49"/>
        <v>32000</v>
      </c>
      <c r="I93" s="152">
        <f t="shared" si="49"/>
        <v>32000</v>
      </c>
      <c r="J93" s="152">
        <f t="shared" si="49"/>
        <v>32000</v>
      </c>
      <c r="K93" s="152">
        <f t="shared" si="49"/>
        <v>32000</v>
      </c>
      <c r="L93" s="152">
        <f t="shared" si="49"/>
        <v>32000</v>
      </c>
      <c r="M93" s="152">
        <f t="shared" si="49"/>
        <v>32000</v>
      </c>
      <c r="N93" s="152">
        <f t="shared" si="49"/>
        <v>32000</v>
      </c>
      <c r="O93" s="152">
        <f t="shared" si="49"/>
        <v>32000</v>
      </c>
      <c r="P93" s="152">
        <f t="shared" si="49"/>
        <v>32000</v>
      </c>
      <c r="Q93" s="152">
        <f t="shared" si="31"/>
        <v>352000</v>
      </c>
    </row>
    <row r="94" spans="1:17" ht="57" thickBot="1">
      <c r="A94" s="149" t="s">
        <v>394</v>
      </c>
      <c r="B94" s="167" t="s">
        <v>395</v>
      </c>
      <c r="C94" s="150" t="s">
        <v>191</v>
      </c>
      <c r="D94" s="168" t="s">
        <v>568</v>
      </c>
      <c r="E94" s="169">
        <v>32000</v>
      </c>
      <c r="F94" s="169"/>
      <c r="G94" s="169">
        <v>32000</v>
      </c>
      <c r="H94" s="169">
        <v>32000</v>
      </c>
      <c r="I94" s="169">
        <v>32000</v>
      </c>
      <c r="J94" s="169">
        <v>32000</v>
      </c>
      <c r="K94" s="169">
        <v>32000</v>
      </c>
      <c r="L94" s="169">
        <v>32000</v>
      </c>
      <c r="M94" s="169">
        <v>32000</v>
      </c>
      <c r="N94" s="169">
        <v>32000</v>
      </c>
      <c r="O94" s="169">
        <v>32000</v>
      </c>
      <c r="P94" s="169">
        <v>32000</v>
      </c>
      <c r="Q94" s="152">
        <f t="shared" si="31"/>
        <v>352000</v>
      </c>
    </row>
    <row r="95" spans="1:17" ht="12" thickTop="1">
      <c r="A95" s="149" t="s">
        <v>397</v>
      </c>
      <c r="B95" s="170" t="s">
        <v>398</v>
      </c>
      <c r="C95" s="170"/>
      <c r="D95" s="171"/>
      <c r="E95" s="172"/>
      <c r="F95" s="172"/>
      <c r="G95" s="172"/>
      <c r="H95" s="172"/>
      <c r="I95" s="172"/>
      <c r="J95" s="172"/>
      <c r="K95" s="172"/>
      <c r="L95" s="172"/>
      <c r="M95" s="172"/>
      <c r="N95" s="172"/>
      <c r="O95" s="172"/>
      <c r="P95" s="172"/>
      <c r="Q95" s="152">
        <f t="shared" si="31"/>
        <v>0</v>
      </c>
    </row>
    <row r="96" spans="1:17" ht="22.5">
      <c r="A96" s="149" t="s">
        <v>399</v>
      </c>
      <c r="B96" s="150" t="s">
        <v>400</v>
      </c>
      <c r="C96" s="150"/>
      <c r="D96" s="151" t="s">
        <v>569</v>
      </c>
      <c r="E96" s="152">
        <f>E97+E98+E99+E100</f>
        <v>9</v>
      </c>
      <c r="F96" s="152">
        <f t="shared" ref="F96:P96" si="50">F97+F98+F99+F100</f>
        <v>175</v>
      </c>
      <c r="G96" s="152">
        <f t="shared" si="50"/>
        <v>75</v>
      </c>
      <c r="H96" s="152">
        <f t="shared" si="50"/>
        <v>75</v>
      </c>
      <c r="I96" s="152">
        <f t="shared" si="50"/>
        <v>94</v>
      </c>
      <c r="J96" s="152">
        <f t="shared" si="50"/>
        <v>29</v>
      </c>
      <c r="K96" s="152">
        <f t="shared" si="50"/>
        <v>23</v>
      </c>
      <c r="L96" s="152">
        <f t="shared" si="50"/>
        <v>27</v>
      </c>
      <c r="M96" s="152">
        <f t="shared" si="50"/>
        <v>24</v>
      </c>
      <c r="N96" s="152">
        <f t="shared" si="50"/>
        <v>48</v>
      </c>
      <c r="O96" s="152">
        <f t="shared" si="50"/>
        <v>16</v>
      </c>
      <c r="P96" s="152">
        <f t="shared" si="50"/>
        <v>5</v>
      </c>
      <c r="Q96" s="152">
        <f t="shared" si="31"/>
        <v>600</v>
      </c>
    </row>
    <row r="97" spans="1:17">
      <c r="A97" s="149" t="s">
        <v>402</v>
      </c>
      <c r="B97" s="173" t="s">
        <v>403</v>
      </c>
      <c r="C97" s="173"/>
      <c r="D97" s="159"/>
      <c r="E97" s="160"/>
      <c r="F97" s="160">
        <v>90</v>
      </c>
      <c r="G97" s="160">
        <v>75</v>
      </c>
      <c r="H97" s="160"/>
      <c r="I97" s="160"/>
      <c r="J97" s="160"/>
      <c r="K97" s="160"/>
      <c r="L97" s="160"/>
      <c r="M97" s="160"/>
      <c r="N97" s="160"/>
      <c r="O97" s="160"/>
      <c r="P97" s="160"/>
      <c r="Q97" s="152">
        <f t="shared" si="31"/>
        <v>165</v>
      </c>
    </row>
    <row r="98" spans="1:17">
      <c r="A98" s="149" t="s">
        <v>404</v>
      </c>
      <c r="B98" s="173" t="s">
        <v>405</v>
      </c>
      <c r="C98" s="173"/>
      <c r="D98" s="151"/>
      <c r="E98" s="154"/>
      <c r="F98" s="154">
        <v>85</v>
      </c>
      <c r="G98" s="154"/>
      <c r="H98" s="154">
        <v>75</v>
      </c>
      <c r="I98" s="154">
        <v>94</v>
      </c>
      <c r="J98" s="154"/>
      <c r="K98" s="154"/>
      <c r="L98" s="154"/>
      <c r="M98" s="154"/>
      <c r="N98" s="154"/>
      <c r="O98" s="154"/>
      <c r="P98" s="154"/>
      <c r="Q98" s="152">
        <f t="shared" si="31"/>
        <v>254</v>
      </c>
    </row>
    <row r="99" spans="1:17">
      <c r="A99" s="149" t="s">
        <v>406</v>
      </c>
      <c r="B99" s="173" t="s">
        <v>407</v>
      </c>
      <c r="C99" s="173"/>
      <c r="D99" s="159"/>
      <c r="E99" s="160"/>
      <c r="F99" s="160"/>
      <c r="G99" s="160"/>
      <c r="H99" s="160"/>
      <c r="I99" s="160"/>
      <c r="J99" s="160">
        <v>29</v>
      </c>
      <c r="K99" s="160">
        <v>23</v>
      </c>
      <c r="L99" s="160">
        <v>27</v>
      </c>
      <c r="M99" s="160">
        <v>24</v>
      </c>
      <c r="N99" s="160">
        <v>48</v>
      </c>
      <c r="O99" s="160">
        <v>16</v>
      </c>
      <c r="P99" s="160">
        <v>5</v>
      </c>
      <c r="Q99" s="152">
        <f t="shared" si="31"/>
        <v>172</v>
      </c>
    </row>
    <row r="100" spans="1:17">
      <c r="A100" s="149" t="s">
        <v>408</v>
      </c>
      <c r="B100" s="173" t="s">
        <v>409</v>
      </c>
      <c r="C100" s="173"/>
      <c r="D100" s="159"/>
      <c r="E100" s="160">
        <v>9</v>
      </c>
      <c r="F100" s="160"/>
      <c r="G100" s="160"/>
      <c r="H100" s="160"/>
      <c r="I100" s="160"/>
      <c r="J100" s="160"/>
      <c r="K100" s="160"/>
      <c r="L100" s="160"/>
      <c r="M100" s="160"/>
      <c r="N100" s="160"/>
      <c r="O100" s="160"/>
      <c r="P100" s="160"/>
      <c r="Q100" s="152">
        <f t="shared" si="31"/>
        <v>9</v>
      </c>
    </row>
    <row r="101" spans="1:17" ht="33.75">
      <c r="A101" s="149" t="s">
        <v>410</v>
      </c>
      <c r="B101" s="150" t="s">
        <v>411</v>
      </c>
      <c r="C101" s="150"/>
      <c r="D101" s="151" t="s">
        <v>570</v>
      </c>
      <c r="E101" s="152">
        <f>E102+E103+E104+E105</f>
        <v>0</v>
      </c>
      <c r="F101" s="152">
        <f t="shared" ref="F101:P101" si="51">F102+F103+F104+F105</f>
        <v>1498</v>
      </c>
      <c r="G101" s="152">
        <f t="shared" si="51"/>
        <v>787</v>
      </c>
      <c r="H101" s="152">
        <f t="shared" si="51"/>
        <v>1007</v>
      </c>
      <c r="I101" s="152">
        <f t="shared" si="51"/>
        <v>1476</v>
      </c>
      <c r="J101" s="152">
        <f t="shared" si="51"/>
        <v>322</v>
      </c>
      <c r="K101" s="152">
        <f t="shared" si="51"/>
        <v>256</v>
      </c>
      <c r="L101" s="152">
        <f t="shared" si="51"/>
        <v>320</v>
      </c>
      <c r="M101" s="152">
        <f t="shared" si="51"/>
        <v>466</v>
      </c>
      <c r="N101" s="152">
        <f t="shared" si="51"/>
        <v>698</v>
      </c>
      <c r="O101" s="152">
        <f t="shared" si="51"/>
        <v>206</v>
      </c>
      <c r="P101" s="152">
        <f t="shared" si="51"/>
        <v>185</v>
      </c>
      <c r="Q101" s="152">
        <f t="shared" si="31"/>
        <v>7221</v>
      </c>
    </row>
    <row r="102" spans="1:17">
      <c r="A102" s="149" t="s">
        <v>413</v>
      </c>
      <c r="B102" s="173" t="s">
        <v>403</v>
      </c>
      <c r="C102" s="173"/>
      <c r="D102" s="159"/>
      <c r="E102" s="160"/>
      <c r="F102" s="160">
        <v>678</v>
      </c>
      <c r="G102" s="160">
        <v>787</v>
      </c>
      <c r="H102" s="160"/>
      <c r="I102" s="160"/>
      <c r="J102" s="160"/>
      <c r="K102" s="160"/>
      <c r="L102" s="160"/>
      <c r="M102" s="160"/>
      <c r="N102" s="160"/>
      <c r="O102" s="160"/>
      <c r="P102" s="160"/>
      <c r="Q102" s="152">
        <f t="shared" si="31"/>
        <v>1465</v>
      </c>
    </row>
    <row r="103" spans="1:17">
      <c r="A103" s="149" t="s">
        <v>414</v>
      </c>
      <c r="B103" s="173" t="s">
        <v>405</v>
      </c>
      <c r="C103" s="173"/>
      <c r="D103" s="151"/>
      <c r="E103" s="154"/>
      <c r="F103" s="154">
        <v>820</v>
      </c>
      <c r="G103" s="154"/>
      <c r="H103" s="154">
        <v>1007</v>
      </c>
      <c r="I103" s="154">
        <v>1476</v>
      </c>
      <c r="J103" s="154"/>
      <c r="K103" s="154"/>
      <c r="L103" s="154"/>
      <c r="M103" s="154"/>
      <c r="N103" s="154"/>
      <c r="O103" s="154"/>
      <c r="P103" s="154"/>
      <c r="Q103" s="152">
        <f t="shared" si="31"/>
        <v>3303</v>
      </c>
    </row>
    <row r="104" spans="1:17">
      <c r="A104" s="149" t="s">
        <v>415</v>
      </c>
      <c r="B104" s="173" t="s">
        <v>407</v>
      </c>
      <c r="C104" s="173"/>
      <c r="D104" s="159"/>
      <c r="E104" s="160"/>
      <c r="F104" s="160"/>
      <c r="G104" s="160"/>
      <c r="H104" s="160"/>
      <c r="I104" s="160"/>
      <c r="J104" s="160">
        <v>322</v>
      </c>
      <c r="K104" s="160">
        <v>256</v>
      </c>
      <c r="L104" s="160">
        <v>320</v>
      </c>
      <c r="M104" s="160">
        <v>466</v>
      </c>
      <c r="N104" s="160">
        <f>324+374</f>
        <v>698</v>
      </c>
      <c r="O104" s="160">
        <v>206</v>
      </c>
      <c r="P104" s="160">
        <v>185</v>
      </c>
      <c r="Q104" s="152">
        <f t="shared" si="31"/>
        <v>2453</v>
      </c>
    </row>
    <row r="105" spans="1:17">
      <c r="A105" s="149" t="s">
        <v>416</v>
      </c>
      <c r="B105" s="173" t="s">
        <v>409</v>
      </c>
      <c r="C105" s="173"/>
      <c r="D105" s="159"/>
      <c r="E105" s="160"/>
      <c r="F105" s="160"/>
      <c r="G105" s="160"/>
      <c r="H105" s="160"/>
      <c r="I105" s="160"/>
      <c r="J105" s="160"/>
      <c r="K105" s="160"/>
      <c r="L105" s="160"/>
      <c r="M105" s="160"/>
      <c r="N105" s="160"/>
      <c r="O105" s="160"/>
      <c r="P105" s="160"/>
      <c r="Q105" s="152">
        <f t="shared" si="31"/>
        <v>0</v>
      </c>
    </row>
    <row r="106" spans="1:17">
      <c r="A106" s="149" t="s">
        <v>417</v>
      </c>
      <c r="B106" s="150" t="s">
        <v>418</v>
      </c>
      <c r="C106" s="150"/>
      <c r="D106" s="164"/>
      <c r="E106" s="174"/>
      <c r="F106" s="174"/>
      <c r="G106" s="174"/>
      <c r="H106" s="174"/>
      <c r="I106" s="174"/>
      <c r="J106" s="174"/>
      <c r="K106" s="174"/>
      <c r="L106" s="174"/>
      <c r="M106" s="174"/>
      <c r="N106" s="174"/>
      <c r="O106" s="174"/>
      <c r="P106" s="174"/>
      <c r="Q106" s="152">
        <f t="shared" si="31"/>
        <v>0</v>
      </c>
    </row>
    <row r="107" spans="1:17">
      <c r="A107" s="149" t="s">
        <v>419</v>
      </c>
      <c r="B107" s="150" t="s">
        <v>420</v>
      </c>
      <c r="C107" s="150"/>
      <c r="D107" s="151"/>
      <c r="E107" s="154">
        <v>8</v>
      </c>
      <c r="F107" s="154">
        <v>177</v>
      </c>
      <c r="G107" s="154">
        <v>2</v>
      </c>
      <c r="H107" s="154">
        <v>1</v>
      </c>
      <c r="I107" s="154"/>
      <c r="J107" s="154">
        <v>13</v>
      </c>
      <c r="K107" s="154">
        <v>2</v>
      </c>
      <c r="L107" s="154"/>
      <c r="M107" s="154"/>
      <c r="N107" s="154"/>
      <c r="O107" s="154"/>
      <c r="P107" s="154"/>
      <c r="Q107" s="152">
        <f t="shared" si="31"/>
        <v>203</v>
      </c>
    </row>
    <row r="108" spans="1:17">
      <c r="A108" s="149" t="s">
        <v>421</v>
      </c>
      <c r="B108" s="173" t="s">
        <v>422</v>
      </c>
      <c r="C108" s="173"/>
      <c r="D108" s="164"/>
      <c r="E108" s="154">
        <v>1355</v>
      </c>
      <c r="F108" s="154">
        <v>19818.8</v>
      </c>
      <c r="G108" s="154">
        <v>18593.849999999999</v>
      </c>
      <c r="H108" s="154">
        <v>20058.12</v>
      </c>
      <c r="I108" s="154">
        <v>14541</v>
      </c>
      <c r="J108" s="154">
        <v>4747</v>
      </c>
      <c r="K108" s="154">
        <v>4956.18</v>
      </c>
      <c r="L108" s="154">
        <v>5679</v>
      </c>
      <c r="M108" s="154">
        <v>6138.83</v>
      </c>
      <c r="N108" s="154">
        <v>11569</v>
      </c>
      <c r="O108" s="154">
        <v>7365</v>
      </c>
      <c r="P108" s="154">
        <v>7350</v>
      </c>
      <c r="Q108" s="152">
        <f t="shared" si="31"/>
        <v>122171.77999999998</v>
      </c>
    </row>
    <row r="109" spans="1:17">
      <c r="A109" s="149" t="s">
        <v>423</v>
      </c>
      <c r="B109" s="173" t="s">
        <v>424</v>
      </c>
      <c r="C109" s="173"/>
      <c r="D109" s="164"/>
      <c r="E109" s="154">
        <v>1800</v>
      </c>
      <c r="F109" s="154">
        <v>12152</v>
      </c>
      <c r="G109" s="154">
        <v>9821</v>
      </c>
      <c r="H109" s="154">
        <v>14010</v>
      </c>
      <c r="I109" s="154">
        <v>8206.4</v>
      </c>
      <c r="J109" s="154">
        <v>2560</v>
      </c>
      <c r="K109" s="154">
        <v>1968</v>
      </c>
      <c r="L109" s="154">
        <v>2613</v>
      </c>
      <c r="M109" s="154">
        <v>2577</v>
      </c>
      <c r="N109" s="154">
        <v>4725</v>
      </c>
      <c r="O109" s="154">
        <v>3232</v>
      </c>
      <c r="P109" s="154">
        <v>3224</v>
      </c>
      <c r="Q109" s="152">
        <f t="shared" si="31"/>
        <v>66888.399999999994</v>
      </c>
    </row>
  </sheetData>
  <protectedRanges>
    <protectedRange password="E9C1" sqref="B31:D109 A4:D12 A2:Q3 B13:D28 A13:A109 Q4:Q109" name="区域1_1_2"/>
    <protectedRange password="E9C1" sqref="B29:C30" name="区域1_1_1_1"/>
    <protectedRange password="E9C1" sqref="D29" name="区域1_3"/>
    <protectedRange password="E9C1" sqref="D30" name="区域1_2_1"/>
  </protectedRanges>
  <mergeCells count="1">
    <mergeCell ref="A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9"/>
  <sheetViews>
    <sheetView workbookViewId="0">
      <selection activeCell="M3" sqref="M3:M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13" ht="25.5">
      <c r="A1" s="1332" t="s">
        <v>179</v>
      </c>
      <c r="B1" s="1333"/>
      <c r="C1" s="1333"/>
      <c r="D1" s="1333"/>
      <c r="E1" s="1333"/>
      <c r="F1" s="1333"/>
      <c r="G1" s="1333"/>
      <c r="H1" s="1333"/>
      <c r="I1" s="1333"/>
      <c r="J1" s="1333"/>
      <c r="K1" s="1333"/>
      <c r="L1" s="1333"/>
      <c r="M1" s="1333"/>
    </row>
    <row r="2" spans="1:13" ht="30" customHeight="1">
      <c r="A2" s="31" t="s">
        <v>0</v>
      </c>
      <c r="B2" s="31" t="s">
        <v>180</v>
      </c>
      <c r="C2" s="31" t="s">
        <v>181</v>
      </c>
      <c r="D2" s="32" t="s">
        <v>182</v>
      </c>
      <c r="E2" s="32" t="s">
        <v>535</v>
      </c>
      <c r="F2" s="32" t="s">
        <v>536</v>
      </c>
      <c r="G2" s="32" t="s">
        <v>537</v>
      </c>
      <c r="H2" s="32" t="s">
        <v>538</v>
      </c>
      <c r="I2" s="32" t="s">
        <v>539</v>
      </c>
      <c r="J2" s="32" t="s">
        <v>540</v>
      </c>
      <c r="K2" s="32" t="s">
        <v>541</v>
      </c>
      <c r="L2" s="32" t="s">
        <v>542</v>
      </c>
      <c r="M2" s="32" t="s">
        <v>25</v>
      </c>
    </row>
    <row r="3" spans="1:13">
      <c r="A3" s="33" t="s">
        <v>183</v>
      </c>
      <c r="B3" s="34" t="s">
        <v>184</v>
      </c>
      <c r="C3" s="34"/>
      <c r="D3" s="35" t="s">
        <v>185</v>
      </c>
      <c r="E3" s="36">
        <f>E4+E31+E52</f>
        <v>9649060</v>
      </c>
      <c r="F3" s="36">
        <f t="shared" ref="F3:L3" si="0">F4+F31+F52</f>
        <v>55404432.049999997</v>
      </c>
      <c r="G3" s="36">
        <f t="shared" si="0"/>
        <v>18890112.300000001</v>
      </c>
      <c r="H3" s="36">
        <f t="shared" si="0"/>
        <v>43636211</v>
      </c>
      <c r="I3" s="36">
        <f t="shared" si="0"/>
        <v>53867325.799999997</v>
      </c>
      <c r="J3" s="36">
        <f t="shared" si="0"/>
        <v>14435861.340000002</v>
      </c>
      <c r="K3" s="36">
        <f t="shared" si="0"/>
        <v>13389011.050000001</v>
      </c>
      <c r="L3" s="36">
        <f t="shared" si="0"/>
        <v>2584158</v>
      </c>
      <c r="M3" s="36">
        <f t="shared" ref="M3:M66" si="1">SUM(E3:L3)</f>
        <v>211856171.53999999</v>
      </c>
    </row>
    <row r="4" spans="1:13">
      <c r="A4" s="33" t="s">
        <v>186</v>
      </c>
      <c r="B4" s="34" t="s">
        <v>128</v>
      </c>
      <c r="C4" s="34"/>
      <c r="D4" s="35" t="s">
        <v>185</v>
      </c>
      <c r="E4" s="36">
        <f t="shared" ref="E4:L4" si="2">E5+E8+E13+E17+E20+E22+E25+E27+E29+E30</f>
        <v>8443425</v>
      </c>
      <c r="F4" s="36">
        <f t="shared" si="2"/>
        <v>47638358</v>
      </c>
      <c r="G4" s="36">
        <f t="shared" si="2"/>
        <v>16201346</v>
      </c>
      <c r="H4" s="36">
        <f t="shared" si="2"/>
        <v>38489626</v>
      </c>
      <c r="I4" s="36">
        <f t="shared" si="2"/>
        <v>46218899</v>
      </c>
      <c r="J4" s="36">
        <f t="shared" si="2"/>
        <v>12209162.200000001</v>
      </c>
      <c r="K4" s="36">
        <f t="shared" si="2"/>
        <v>11570419</v>
      </c>
      <c r="L4" s="36">
        <f t="shared" si="2"/>
        <v>2159018</v>
      </c>
      <c r="M4" s="36">
        <f t="shared" si="1"/>
        <v>182930253.19999999</v>
      </c>
    </row>
    <row r="5" spans="1:13">
      <c r="A5" s="33" t="s">
        <v>187</v>
      </c>
      <c r="B5" s="34" t="s">
        <v>188</v>
      </c>
      <c r="C5" s="34"/>
      <c r="D5" s="35" t="s">
        <v>185</v>
      </c>
      <c r="E5" s="36">
        <f>E6+E7</f>
        <v>1218756</v>
      </c>
      <c r="F5" s="36">
        <f t="shared" ref="F5:L5" si="3">F6+F7</f>
        <v>7112496</v>
      </c>
      <c r="G5" s="36">
        <f t="shared" si="3"/>
        <v>2136708</v>
      </c>
      <c r="H5" s="36">
        <f t="shared" si="3"/>
        <v>5676036</v>
      </c>
      <c r="I5" s="36">
        <f t="shared" si="3"/>
        <v>6531264</v>
      </c>
      <c r="J5" s="36">
        <f t="shared" si="3"/>
        <v>1607232</v>
      </c>
      <c r="K5" s="36">
        <f t="shared" si="3"/>
        <v>1461636</v>
      </c>
      <c r="L5" s="36">
        <f t="shared" si="3"/>
        <v>352656</v>
      </c>
      <c r="M5" s="36">
        <f t="shared" si="1"/>
        <v>26096784</v>
      </c>
    </row>
    <row r="6" spans="1:13">
      <c r="A6" s="33" t="s">
        <v>189</v>
      </c>
      <c r="B6" s="34" t="s">
        <v>190</v>
      </c>
      <c r="C6" s="34" t="s">
        <v>191</v>
      </c>
      <c r="D6" s="35" t="s">
        <v>192</v>
      </c>
      <c r="E6" s="37">
        <f>59344*12</f>
        <v>712128</v>
      </c>
      <c r="F6" s="37">
        <v>3883176</v>
      </c>
      <c r="G6" s="37">
        <v>1336536</v>
      </c>
      <c r="H6" s="37">
        <f>256179*12</f>
        <v>3074148</v>
      </c>
      <c r="I6" s="37">
        <v>3699000</v>
      </c>
      <c r="J6" s="37">
        <v>1017636</v>
      </c>
      <c r="K6" s="37">
        <v>940800</v>
      </c>
      <c r="L6" s="37">
        <v>171504</v>
      </c>
      <c r="M6" s="36">
        <f t="shared" si="1"/>
        <v>14834928</v>
      </c>
    </row>
    <row r="7" spans="1:13">
      <c r="A7" s="33" t="s">
        <v>193</v>
      </c>
      <c r="B7" s="34" t="s">
        <v>194</v>
      </c>
      <c r="C7" s="34" t="s">
        <v>191</v>
      </c>
      <c r="D7" s="35" t="s">
        <v>192</v>
      </c>
      <c r="E7" s="37">
        <f>42219*12</f>
        <v>506628</v>
      </c>
      <c r="F7" s="37">
        <v>3229320</v>
      </c>
      <c r="G7" s="37">
        <f>66681*12</f>
        <v>800172</v>
      </c>
      <c r="H7" s="37">
        <f>216824*12</f>
        <v>2601888</v>
      </c>
      <c r="I7" s="37">
        <v>2832264</v>
      </c>
      <c r="J7" s="37">
        <v>589596</v>
      </c>
      <c r="K7" s="37">
        <v>520836</v>
      </c>
      <c r="L7" s="37">
        <v>181152</v>
      </c>
      <c r="M7" s="36">
        <f t="shared" si="1"/>
        <v>11261856</v>
      </c>
    </row>
    <row r="8" spans="1:13">
      <c r="A8" s="33" t="s">
        <v>195</v>
      </c>
      <c r="B8" s="34" t="s">
        <v>196</v>
      </c>
      <c r="C8" s="34"/>
      <c r="D8" s="35" t="s">
        <v>185</v>
      </c>
      <c r="E8" s="36">
        <f>E9+E10</f>
        <v>157824</v>
      </c>
      <c r="F8" s="36">
        <f t="shared" ref="F8:L8" si="4">F9+F10</f>
        <v>815712</v>
      </c>
      <c r="G8" s="36">
        <f t="shared" si="4"/>
        <v>308448</v>
      </c>
      <c r="H8" s="36">
        <f t="shared" si="4"/>
        <v>663948</v>
      </c>
      <c r="I8" s="36">
        <f t="shared" si="4"/>
        <v>808812</v>
      </c>
      <c r="J8" s="36">
        <f t="shared" si="4"/>
        <v>241308</v>
      </c>
      <c r="K8" s="36">
        <f t="shared" si="4"/>
        <v>221748</v>
      </c>
      <c r="L8" s="36">
        <f t="shared" si="4"/>
        <v>38124</v>
      </c>
      <c r="M8" s="36">
        <f t="shared" si="1"/>
        <v>3255924</v>
      </c>
    </row>
    <row r="9" spans="1:13">
      <c r="A9" s="33" t="s">
        <v>197</v>
      </c>
      <c r="B9" s="34" t="s">
        <v>198</v>
      </c>
      <c r="C9" s="34" t="s">
        <v>191</v>
      </c>
      <c r="D9" s="35" t="s">
        <v>192</v>
      </c>
      <c r="E9" s="37">
        <f>218*12</f>
        <v>2616</v>
      </c>
      <c r="F9" s="37">
        <v>12912</v>
      </c>
      <c r="G9" s="37">
        <v>3384</v>
      </c>
      <c r="H9" s="37">
        <v>11004</v>
      </c>
      <c r="I9" s="37">
        <v>11364</v>
      </c>
      <c r="J9" s="37">
        <v>11172</v>
      </c>
      <c r="K9" s="37">
        <v>2316</v>
      </c>
      <c r="L9" s="37">
        <v>660</v>
      </c>
      <c r="M9" s="36">
        <f t="shared" si="1"/>
        <v>55428</v>
      </c>
    </row>
    <row r="10" spans="1:13">
      <c r="A10" s="33" t="s">
        <v>199</v>
      </c>
      <c r="B10" s="34" t="s">
        <v>200</v>
      </c>
      <c r="C10" s="34"/>
      <c r="D10" s="35" t="s">
        <v>185</v>
      </c>
      <c r="E10" s="36">
        <f>E11+E12</f>
        <v>155208</v>
      </c>
      <c r="F10" s="36">
        <f t="shared" ref="F10:L10" si="5">F11+F12</f>
        <v>802800</v>
      </c>
      <c r="G10" s="36">
        <f t="shared" si="5"/>
        <v>305064</v>
      </c>
      <c r="H10" s="36">
        <f t="shared" si="5"/>
        <v>652944</v>
      </c>
      <c r="I10" s="36">
        <f t="shared" si="5"/>
        <v>797448</v>
      </c>
      <c r="J10" s="36">
        <f t="shared" si="5"/>
        <v>230136</v>
      </c>
      <c r="K10" s="36">
        <f t="shared" si="5"/>
        <v>219432</v>
      </c>
      <c r="L10" s="36">
        <f t="shared" si="5"/>
        <v>37464</v>
      </c>
      <c r="M10" s="36">
        <f t="shared" si="1"/>
        <v>3200496</v>
      </c>
    </row>
    <row r="11" spans="1:13" s="40" customFormat="1">
      <c r="A11" s="33" t="s">
        <v>201</v>
      </c>
      <c r="B11" s="38" t="s">
        <v>202</v>
      </c>
      <c r="C11" s="38" t="s">
        <v>191</v>
      </c>
      <c r="D11" s="39" t="s">
        <v>185</v>
      </c>
      <c r="E11" s="36">
        <f>72*E96</f>
        <v>2088</v>
      </c>
      <c r="F11" s="36">
        <f t="shared" ref="F11:L11" si="6">72*F96</f>
        <v>10800</v>
      </c>
      <c r="G11" s="36">
        <f t="shared" si="6"/>
        <v>4104</v>
      </c>
      <c r="H11" s="36">
        <f t="shared" si="6"/>
        <v>8784</v>
      </c>
      <c r="I11" s="36">
        <f t="shared" si="6"/>
        <v>10728</v>
      </c>
      <c r="J11" s="36">
        <f t="shared" si="6"/>
        <v>3096</v>
      </c>
      <c r="K11" s="36">
        <f t="shared" si="6"/>
        <v>2952</v>
      </c>
      <c r="L11" s="36">
        <f t="shared" si="6"/>
        <v>504</v>
      </c>
      <c r="M11" s="36">
        <f t="shared" si="1"/>
        <v>43056</v>
      </c>
    </row>
    <row r="12" spans="1:13" s="40" customFormat="1">
      <c r="A12" s="33" t="s">
        <v>203</v>
      </c>
      <c r="B12" s="38" t="s">
        <v>204</v>
      </c>
      <c r="C12" s="38" t="s">
        <v>191</v>
      </c>
      <c r="D12" s="39" t="s">
        <v>185</v>
      </c>
      <c r="E12" s="36">
        <f>440*12*E96</f>
        <v>153120</v>
      </c>
      <c r="F12" s="36">
        <f t="shared" ref="F12:L12" si="7">440*12*F96</f>
        <v>792000</v>
      </c>
      <c r="G12" s="36">
        <f t="shared" si="7"/>
        <v>300960</v>
      </c>
      <c r="H12" s="36">
        <f t="shared" si="7"/>
        <v>644160</v>
      </c>
      <c r="I12" s="36">
        <f t="shared" si="7"/>
        <v>786720</v>
      </c>
      <c r="J12" s="36">
        <f t="shared" si="7"/>
        <v>227040</v>
      </c>
      <c r="K12" s="36">
        <f t="shared" si="7"/>
        <v>216480</v>
      </c>
      <c r="L12" s="36">
        <f t="shared" si="7"/>
        <v>36960</v>
      </c>
      <c r="M12" s="36">
        <f t="shared" si="1"/>
        <v>3157440</v>
      </c>
    </row>
    <row r="13" spans="1:13">
      <c r="A13" s="33" t="s">
        <v>205</v>
      </c>
      <c r="B13" s="34" t="s">
        <v>206</v>
      </c>
      <c r="C13" s="34"/>
      <c r="D13" s="35" t="s">
        <v>207</v>
      </c>
      <c r="E13" s="36">
        <f>E14+E15+E16</f>
        <v>129835</v>
      </c>
      <c r="F13" s="36">
        <f t="shared" ref="F13:L13" si="8">F14+F15+F16</f>
        <v>749000</v>
      </c>
      <c r="G13" s="36">
        <f t="shared" si="8"/>
        <v>248150</v>
      </c>
      <c r="H13" s="36">
        <f t="shared" si="8"/>
        <v>601400</v>
      </c>
      <c r="I13" s="36">
        <f t="shared" si="8"/>
        <v>714186</v>
      </c>
      <c r="J13" s="36">
        <f t="shared" si="8"/>
        <v>186313.80000000002</v>
      </c>
      <c r="K13" s="36">
        <f t="shared" si="8"/>
        <v>178085</v>
      </c>
      <c r="L13" s="36">
        <f t="shared" si="8"/>
        <v>35205</v>
      </c>
      <c r="M13" s="36">
        <f t="shared" si="1"/>
        <v>2842174.8</v>
      </c>
    </row>
    <row r="14" spans="1:13" s="40" customFormat="1">
      <c r="A14" s="33" t="s">
        <v>208</v>
      </c>
      <c r="B14" s="38" t="s">
        <v>209</v>
      </c>
      <c r="C14" s="38" t="s">
        <v>191</v>
      </c>
      <c r="D14" s="39" t="s">
        <v>210</v>
      </c>
      <c r="E14" s="36">
        <f>E16*3</f>
        <v>77901</v>
      </c>
      <c r="F14" s="36">
        <f t="shared" ref="F14:L14" si="9">F16*3</f>
        <v>449400</v>
      </c>
      <c r="G14" s="36">
        <f t="shared" si="9"/>
        <v>148890</v>
      </c>
      <c r="H14" s="36">
        <f t="shared" si="9"/>
        <v>360840</v>
      </c>
      <c r="I14" s="36">
        <f t="shared" si="9"/>
        <v>428511.60000000003</v>
      </c>
      <c r="J14" s="36">
        <f t="shared" si="9"/>
        <v>111788.28</v>
      </c>
      <c r="K14" s="36">
        <f t="shared" si="9"/>
        <v>106851</v>
      </c>
      <c r="L14" s="36">
        <f t="shared" si="9"/>
        <v>21123</v>
      </c>
      <c r="M14" s="36">
        <f t="shared" si="1"/>
        <v>1705304.8800000001</v>
      </c>
    </row>
    <row r="15" spans="1:13" s="40" customFormat="1">
      <c r="A15" s="33" t="s">
        <v>211</v>
      </c>
      <c r="B15" s="38" t="s">
        <v>212</v>
      </c>
      <c r="C15" s="38" t="s">
        <v>191</v>
      </c>
      <c r="D15" s="39" t="s">
        <v>210</v>
      </c>
      <c r="E15" s="36">
        <f>E16</f>
        <v>25967</v>
      </c>
      <c r="F15" s="36">
        <f t="shared" ref="F15:L15" si="10">F16</f>
        <v>149800</v>
      </c>
      <c r="G15" s="36">
        <f t="shared" si="10"/>
        <v>49630</v>
      </c>
      <c r="H15" s="36">
        <f t="shared" si="10"/>
        <v>120280</v>
      </c>
      <c r="I15" s="36">
        <f t="shared" si="10"/>
        <v>142837.20000000001</v>
      </c>
      <c r="J15" s="36">
        <f t="shared" si="10"/>
        <v>37262.76</v>
      </c>
      <c r="K15" s="36">
        <f t="shared" si="10"/>
        <v>35617</v>
      </c>
      <c r="L15" s="36">
        <f t="shared" si="10"/>
        <v>7041</v>
      </c>
      <c r="M15" s="36">
        <f t="shared" si="1"/>
        <v>568434.96</v>
      </c>
    </row>
    <row r="16" spans="1:13" s="40" customFormat="1">
      <c r="A16" s="33" t="s">
        <v>213</v>
      </c>
      <c r="B16" s="38" t="s">
        <v>543</v>
      </c>
      <c r="C16" s="38" t="s">
        <v>191</v>
      </c>
      <c r="D16" s="39" t="s">
        <v>210</v>
      </c>
      <c r="E16" s="37">
        <v>25967</v>
      </c>
      <c r="F16" s="37">
        <v>149800</v>
      </c>
      <c r="G16" s="37">
        <v>49630</v>
      </c>
      <c r="H16" s="37">
        <v>120280</v>
      </c>
      <c r="I16" s="37">
        <v>142837.20000000001</v>
      </c>
      <c r="J16" s="37">
        <v>37262.76</v>
      </c>
      <c r="K16" s="37">
        <v>35617</v>
      </c>
      <c r="L16" s="37">
        <v>7041</v>
      </c>
      <c r="M16" s="36">
        <f t="shared" si="1"/>
        <v>568434.96</v>
      </c>
    </row>
    <row r="17" spans="1:13">
      <c r="A17" s="33" t="s">
        <v>215</v>
      </c>
      <c r="B17" s="34" t="s">
        <v>216</v>
      </c>
      <c r="C17" s="34"/>
      <c r="D17" s="35" t="s">
        <v>185</v>
      </c>
      <c r="E17" s="36">
        <v>4321580</v>
      </c>
      <c r="F17" s="36">
        <v>24039150</v>
      </c>
      <c r="G17" s="36">
        <v>8494140</v>
      </c>
      <c r="H17" s="36">
        <v>19551842</v>
      </c>
      <c r="I17" s="36">
        <v>23878889</v>
      </c>
      <c r="J17" s="36">
        <v>6407860</v>
      </c>
      <c r="K17" s="36">
        <v>6109820</v>
      </c>
      <c r="L17" s="36">
        <v>1032143</v>
      </c>
      <c r="M17" s="36">
        <f t="shared" si="1"/>
        <v>93835424</v>
      </c>
    </row>
    <row r="18" spans="1:13" ht="22.5">
      <c r="A18" s="33" t="s">
        <v>217</v>
      </c>
      <c r="B18" s="41" t="s">
        <v>218</v>
      </c>
      <c r="C18" s="41" t="s">
        <v>191</v>
      </c>
      <c r="D18" s="42" t="s">
        <v>219</v>
      </c>
      <c r="E18" s="43">
        <f>E17-E19</f>
        <v>4179404</v>
      </c>
      <c r="F18" s="43">
        <f t="shared" ref="F18:L18" si="11">F17-F19</f>
        <v>23623374</v>
      </c>
      <c r="G18" s="43">
        <f t="shared" si="11"/>
        <v>8301684</v>
      </c>
      <c r="H18" s="43">
        <f t="shared" si="11"/>
        <v>19198906</v>
      </c>
      <c r="I18" s="43">
        <f t="shared" si="11"/>
        <v>23674809</v>
      </c>
      <c r="J18" s="43">
        <f t="shared" si="11"/>
        <v>6083188</v>
      </c>
      <c r="K18" s="43">
        <f t="shared" si="11"/>
        <v>5870136</v>
      </c>
      <c r="L18" s="43">
        <f t="shared" si="11"/>
        <v>1032143</v>
      </c>
      <c r="M18" s="36">
        <f t="shared" si="1"/>
        <v>91963644</v>
      </c>
    </row>
    <row r="19" spans="1:13">
      <c r="A19" s="33" t="s">
        <v>220</v>
      </c>
      <c r="B19" s="41" t="s">
        <v>221</v>
      </c>
      <c r="C19" s="41" t="s">
        <v>191</v>
      </c>
      <c r="D19" s="42" t="s">
        <v>222</v>
      </c>
      <c r="E19" s="43">
        <v>142176</v>
      </c>
      <c r="F19" s="43">
        <v>415776</v>
      </c>
      <c r="G19" s="43">
        <v>192456</v>
      </c>
      <c r="H19" s="43">
        <v>352936</v>
      </c>
      <c r="I19" s="43">
        <v>204080</v>
      </c>
      <c r="J19" s="43">
        <v>324672</v>
      </c>
      <c r="K19" s="43">
        <f>251934-12250</f>
        <v>239684</v>
      </c>
      <c r="L19" s="43"/>
      <c r="M19" s="36">
        <f t="shared" si="1"/>
        <v>1871780</v>
      </c>
    </row>
    <row r="20" spans="1:13">
      <c r="A20" s="33" t="s">
        <v>223</v>
      </c>
      <c r="B20" s="34" t="s">
        <v>224</v>
      </c>
      <c r="C20" s="34"/>
      <c r="D20" s="42" t="s">
        <v>185</v>
      </c>
      <c r="E20" s="45">
        <f>E21</f>
        <v>519340</v>
      </c>
      <c r="F20" s="45">
        <f t="shared" ref="F20:L20" si="12">F21</f>
        <v>2996000</v>
      </c>
      <c r="G20" s="45">
        <f t="shared" si="12"/>
        <v>992600</v>
      </c>
      <c r="H20" s="45">
        <f t="shared" si="12"/>
        <v>2405600</v>
      </c>
      <c r="I20" s="45">
        <f t="shared" si="12"/>
        <v>2856744</v>
      </c>
      <c r="J20" s="45">
        <f t="shared" si="12"/>
        <v>745255.20000000007</v>
      </c>
      <c r="K20" s="45">
        <f t="shared" si="12"/>
        <v>712340</v>
      </c>
      <c r="L20" s="45">
        <f t="shared" si="12"/>
        <v>140820</v>
      </c>
      <c r="M20" s="36">
        <f t="shared" si="1"/>
        <v>11368699.199999999</v>
      </c>
    </row>
    <row r="21" spans="1:13">
      <c r="A21" s="33" t="s">
        <v>225</v>
      </c>
      <c r="B21" s="34" t="s">
        <v>226</v>
      </c>
      <c r="C21" s="34" t="s">
        <v>227</v>
      </c>
      <c r="D21" s="42" t="s">
        <v>185</v>
      </c>
      <c r="E21" s="45">
        <f>E16*20</f>
        <v>519340</v>
      </c>
      <c r="F21" s="45">
        <f t="shared" ref="F21:L21" si="13">F16*20</f>
        <v>2996000</v>
      </c>
      <c r="G21" s="45">
        <f t="shared" si="13"/>
        <v>992600</v>
      </c>
      <c r="H21" s="45">
        <f t="shared" si="13"/>
        <v>2405600</v>
      </c>
      <c r="I21" s="45">
        <f t="shared" si="13"/>
        <v>2856744</v>
      </c>
      <c r="J21" s="45">
        <f t="shared" si="13"/>
        <v>745255.20000000007</v>
      </c>
      <c r="K21" s="45">
        <f t="shared" si="13"/>
        <v>712340</v>
      </c>
      <c r="L21" s="45">
        <f t="shared" si="13"/>
        <v>140820</v>
      </c>
      <c r="M21" s="36">
        <f t="shared" si="1"/>
        <v>11368699.199999999</v>
      </c>
    </row>
    <row r="22" spans="1:13">
      <c r="A22" s="33" t="s">
        <v>228</v>
      </c>
      <c r="B22" s="34" t="s">
        <v>229</v>
      </c>
      <c r="C22" s="34"/>
      <c r="D22" s="42" t="s">
        <v>210</v>
      </c>
      <c r="E22" s="45">
        <f>E23+E24</f>
        <v>207736</v>
      </c>
      <c r="F22" s="45">
        <f t="shared" ref="F22:L22" si="14">F23+F24</f>
        <v>1198400</v>
      </c>
      <c r="G22" s="45">
        <f t="shared" si="14"/>
        <v>397040</v>
      </c>
      <c r="H22" s="45">
        <f t="shared" si="14"/>
        <v>962240</v>
      </c>
      <c r="I22" s="45">
        <f t="shared" si="14"/>
        <v>1142697.6000000001</v>
      </c>
      <c r="J22" s="45">
        <f t="shared" si="14"/>
        <v>298102.08</v>
      </c>
      <c r="K22" s="45">
        <f t="shared" si="14"/>
        <v>284936</v>
      </c>
      <c r="L22" s="45">
        <f t="shared" si="14"/>
        <v>56328</v>
      </c>
      <c r="M22" s="36">
        <f t="shared" si="1"/>
        <v>4547479.68</v>
      </c>
    </row>
    <row r="23" spans="1:13">
      <c r="A23" s="33" t="s">
        <v>230</v>
      </c>
      <c r="B23" s="34" t="s">
        <v>231</v>
      </c>
      <c r="C23" s="34" t="s">
        <v>232</v>
      </c>
      <c r="D23" s="42" t="s">
        <v>210</v>
      </c>
      <c r="E23" s="45">
        <f>E16*4</f>
        <v>103868</v>
      </c>
      <c r="F23" s="45">
        <f t="shared" ref="F23:L23" si="15">F16*4</f>
        <v>599200</v>
      </c>
      <c r="G23" s="45">
        <f t="shared" si="15"/>
        <v>198520</v>
      </c>
      <c r="H23" s="45">
        <f t="shared" si="15"/>
        <v>481120</v>
      </c>
      <c r="I23" s="45">
        <f t="shared" si="15"/>
        <v>571348.80000000005</v>
      </c>
      <c r="J23" s="45">
        <f t="shared" si="15"/>
        <v>149051.04</v>
      </c>
      <c r="K23" s="45">
        <f t="shared" si="15"/>
        <v>142468</v>
      </c>
      <c r="L23" s="45">
        <f t="shared" si="15"/>
        <v>28164</v>
      </c>
      <c r="M23" s="36">
        <f t="shared" si="1"/>
        <v>2273739.84</v>
      </c>
    </row>
    <row r="24" spans="1:13">
      <c r="A24" s="33" t="s">
        <v>233</v>
      </c>
      <c r="B24" s="34" t="s">
        <v>234</v>
      </c>
      <c r="C24" s="34" t="s">
        <v>232</v>
      </c>
      <c r="D24" s="42" t="s">
        <v>210</v>
      </c>
      <c r="E24" s="45">
        <f>E16*4</f>
        <v>103868</v>
      </c>
      <c r="F24" s="45">
        <f t="shared" ref="F24:L24" si="16">F16*4</f>
        <v>599200</v>
      </c>
      <c r="G24" s="45">
        <f t="shared" si="16"/>
        <v>198520</v>
      </c>
      <c r="H24" s="45">
        <f t="shared" si="16"/>
        <v>481120</v>
      </c>
      <c r="I24" s="45">
        <f t="shared" si="16"/>
        <v>571348.80000000005</v>
      </c>
      <c r="J24" s="45">
        <f t="shared" si="16"/>
        <v>149051.04</v>
      </c>
      <c r="K24" s="45">
        <f t="shared" si="16"/>
        <v>142468</v>
      </c>
      <c r="L24" s="45">
        <f t="shared" si="16"/>
        <v>28164</v>
      </c>
      <c r="M24" s="36">
        <f t="shared" si="1"/>
        <v>2273739.84</v>
      </c>
    </row>
    <row r="25" spans="1:13">
      <c r="A25" s="33" t="s">
        <v>235</v>
      </c>
      <c r="B25" s="34" t="s">
        <v>236</v>
      </c>
      <c r="C25" s="34"/>
      <c r="D25" s="35" t="s">
        <v>185</v>
      </c>
      <c r="E25" s="36">
        <f>E26</f>
        <v>830944</v>
      </c>
      <c r="F25" s="36">
        <f t="shared" ref="F25:L25" si="17">F26</f>
        <v>4793600</v>
      </c>
      <c r="G25" s="36">
        <f t="shared" si="17"/>
        <v>1588160</v>
      </c>
      <c r="H25" s="36">
        <f t="shared" si="17"/>
        <v>3848960</v>
      </c>
      <c r="I25" s="36">
        <f t="shared" si="17"/>
        <v>4570790.4000000004</v>
      </c>
      <c r="J25" s="36">
        <f t="shared" si="17"/>
        <v>1192408.32</v>
      </c>
      <c r="K25" s="36">
        <f t="shared" si="17"/>
        <v>1139744</v>
      </c>
      <c r="L25" s="36">
        <f t="shared" si="17"/>
        <v>225312</v>
      </c>
      <c r="M25" s="36">
        <f t="shared" si="1"/>
        <v>18189918.719999999</v>
      </c>
    </row>
    <row r="26" spans="1:13" s="40" customFormat="1">
      <c r="A26" s="33" t="s">
        <v>237</v>
      </c>
      <c r="B26" s="38" t="s">
        <v>544</v>
      </c>
      <c r="C26" s="38" t="s">
        <v>239</v>
      </c>
      <c r="D26" s="39" t="s">
        <v>210</v>
      </c>
      <c r="E26" s="36">
        <f>E16*32</f>
        <v>830944</v>
      </c>
      <c r="F26" s="36">
        <f t="shared" ref="F26:L26" si="18">F16*32</f>
        <v>4793600</v>
      </c>
      <c r="G26" s="36">
        <f t="shared" si="18"/>
        <v>1588160</v>
      </c>
      <c r="H26" s="36">
        <f t="shared" si="18"/>
        <v>3848960</v>
      </c>
      <c r="I26" s="36">
        <f t="shared" si="18"/>
        <v>4570790.4000000004</v>
      </c>
      <c r="J26" s="36">
        <f t="shared" si="18"/>
        <v>1192408.32</v>
      </c>
      <c r="K26" s="36">
        <f t="shared" si="18"/>
        <v>1139744</v>
      </c>
      <c r="L26" s="36">
        <f t="shared" si="18"/>
        <v>225312</v>
      </c>
      <c r="M26" s="36">
        <f t="shared" si="1"/>
        <v>18189918.719999999</v>
      </c>
    </row>
    <row r="27" spans="1:13">
      <c r="A27" s="33" t="s">
        <v>240</v>
      </c>
      <c r="B27" s="34" t="s">
        <v>241</v>
      </c>
      <c r="C27" s="34"/>
      <c r="D27" s="35" t="s">
        <v>185</v>
      </c>
      <c r="E27" s="36">
        <f>E28</f>
        <v>415472</v>
      </c>
      <c r="F27" s="36">
        <f t="shared" ref="F27:L27" si="19">F28</f>
        <v>2396800</v>
      </c>
      <c r="G27" s="36">
        <f t="shared" si="19"/>
        <v>794080</v>
      </c>
      <c r="H27" s="36">
        <f t="shared" si="19"/>
        <v>1924480</v>
      </c>
      <c r="I27" s="36">
        <f t="shared" si="19"/>
        <v>2285395.2000000002</v>
      </c>
      <c r="J27" s="36">
        <f t="shared" si="19"/>
        <v>596204.16</v>
      </c>
      <c r="K27" s="36">
        <f t="shared" si="19"/>
        <v>569872</v>
      </c>
      <c r="L27" s="36">
        <f t="shared" si="19"/>
        <v>112656</v>
      </c>
      <c r="M27" s="36">
        <f t="shared" si="1"/>
        <v>9094959.3599999994</v>
      </c>
    </row>
    <row r="28" spans="1:13" s="40" customFormat="1">
      <c r="A28" s="33" t="s">
        <v>242</v>
      </c>
      <c r="B28" s="38" t="s">
        <v>243</v>
      </c>
      <c r="C28" s="38" t="s">
        <v>244</v>
      </c>
      <c r="D28" s="39" t="s">
        <v>210</v>
      </c>
      <c r="E28" s="36">
        <f>E16*16</f>
        <v>415472</v>
      </c>
      <c r="F28" s="36">
        <f t="shared" ref="F28:L28" si="20">F16*16</f>
        <v>2396800</v>
      </c>
      <c r="G28" s="36">
        <f t="shared" si="20"/>
        <v>794080</v>
      </c>
      <c r="H28" s="36">
        <f t="shared" si="20"/>
        <v>1924480</v>
      </c>
      <c r="I28" s="36">
        <f t="shared" si="20"/>
        <v>2285395.2000000002</v>
      </c>
      <c r="J28" s="36">
        <f t="shared" si="20"/>
        <v>596204.16</v>
      </c>
      <c r="K28" s="36">
        <f t="shared" si="20"/>
        <v>569872</v>
      </c>
      <c r="L28" s="36">
        <f t="shared" si="20"/>
        <v>112656</v>
      </c>
      <c r="M28" s="36">
        <f t="shared" si="1"/>
        <v>9094959.3599999994</v>
      </c>
    </row>
    <row r="29" spans="1:13" ht="22.5">
      <c r="A29" s="33" t="s">
        <v>245</v>
      </c>
      <c r="B29" s="34" t="s">
        <v>246</v>
      </c>
      <c r="C29" s="41" t="s">
        <v>191</v>
      </c>
      <c r="D29" s="39" t="s">
        <v>247</v>
      </c>
      <c r="E29" s="36">
        <f>9600*E96</f>
        <v>278400</v>
      </c>
      <c r="F29" s="36">
        <f t="shared" ref="F29:L29" si="21">9600*F96</f>
        <v>1440000</v>
      </c>
      <c r="G29" s="36">
        <f t="shared" si="21"/>
        <v>547200</v>
      </c>
      <c r="H29" s="36">
        <f t="shared" si="21"/>
        <v>1171200</v>
      </c>
      <c r="I29" s="36">
        <f t="shared" si="21"/>
        <v>1430400</v>
      </c>
      <c r="J29" s="36">
        <f t="shared" si="21"/>
        <v>412800</v>
      </c>
      <c r="K29" s="36">
        <f t="shared" si="21"/>
        <v>393600</v>
      </c>
      <c r="L29" s="36">
        <f t="shared" si="21"/>
        <v>67200</v>
      </c>
      <c r="M29" s="36">
        <f t="shared" si="1"/>
        <v>5740800</v>
      </c>
    </row>
    <row r="30" spans="1:13">
      <c r="A30" s="33" t="s">
        <v>248</v>
      </c>
      <c r="B30" s="34" t="s">
        <v>249</v>
      </c>
      <c r="C30" s="34" t="s">
        <v>249</v>
      </c>
      <c r="D30" s="39" t="s">
        <v>210</v>
      </c>
      <c r="E30" s="45">
        <f>E16*14</f>
        <v>363538</v>
      </c>
      <c r="F30" s="45">
        <f t="shared" ref="F30:L30" si="22">F16*14</f>
        <v>2097200</v>
      </c>
      <c r="G30" s="45">
        <f t="shared" si="22"/>
        <v>694820</v>
      </c>
      <c r="H30" s="45">
        <f t="shared" si="22"/>
        <v>1683920</v>
      </c>
      <c r="I30" s="45">
        <f t="shared" si="22"/>
        <v>1999720.8000000003</v>
      </c>
      <c r="J30" s="45">
        <f t="shared" si="22"/>
        <v>521678.64</v>
      </c>
      <c r="K30" s="45">
        <f t="shared" si="22"/>
        <v>498638</v>
      </c>
      <c r="L30" s="45">
        <f t="shared" si="22"/>
        <v>98574</v>
      </c>
      <c r="M30" s="36">
        <f t="shared" si="1"/>
        <v>7958089.4400000004</v>
      </c>
    </row>
    <row r="31" spans="1:13">
      <c r="A31" s="33" t="s">
        <v>250</v>
      </c>
      <c r="B31" s="34" t="s">
        <v>251</v>
      </c>
      <c r="C31" s="34"/>
      <c r="D31" s="35" t="s">
        <v>185</v>
      </c>
      <c r="E31" s="36">
        <f>E32+E40+E42+E45+E47</f>
        <v>4440</v>
      </c>
      <c r="F31" s="36">
        <f t="shared" ref="F31:L31" si="23">F32+F40+F42+F45+F47</f>
        <v>19920</v>
      </c>
      <c r="G31" s="36">
        <f t="shared" si="23"/>
        <v>11070</v>
      </c>
      <c r="H31" s="36">
        <f t="shared" si="23"/>
        <v>12080</v>
      </c>
      <c r="I31" s="36">
        <f t="shared" si="23"/>
        <v>116008</v>
      </c>
      <c r="J31" s="36">
        <f t="shared" si="23"/>
        <v>7680</v>
      </c>
      <c r="K31" s="36">
        <f t="shared" si="23"/>
        <v>7560</v>
      </c>
      <c r="L31" s="36">
        <f t="shared" si="23"/>
        <v>1080</v>
      </c>
      <c r="M31" s="36">
        <f t="shared" si="1"/>
        <v>179838</v>
      </c>
    </row>
    <row r="32" spans="1:13">
      <c r="A32" s="33" t="s">
        <v>252</v>
      </c>
      <c r="B32" s="34" t="s">
        <v>253</v>
      </c>
      <c r="C32" s="34"/>
      <c r="D32" s="35" t="s">
        <v>185</v>
      </c>
      <c r="E32" s="36">
        <f>E33+E34+E35+E36+E37+E38+E39</f>
        <v>0</v>
      </c>
      <c r="F32" s="36">
        <f t="shared" ref="F32:L32" si="24">F33+F34+F35+F36+F37+F38+F39</f>
        <v>0</v>
      </c>
      <c r="G32" s="36">
        <f t="shared" si="24"/>
        <v>0</v>
      </c>
      <c r="H32" s="36">
        <f t="shared" si="24"/>
        <v>0</v>
      </c>
      <c r="I32" s="36">
        <f t="shared" si="24"/>
        <v>101248</v>
      </c>
      <c r="J32" s="36">
        <f t="shared" si="24"/>
        <v>0</v>
      </c>
      <c r="K32" s="36">
        <f t="shared" si="24"/>
        <v>0</v>
      </c>
      <c r="L32" s="36">
        <f t="shared" si="24"/>
        <v>0</v>
      </c>
      <c r="M32" s="36">
        <f t="shared" si="1"/>
        <v>101248</v>
      </c>
    </row>
    <row r="33" spans="1:13">
      <c r="A33" s="33" t="s">
        <v>254</v>
      </c>
      <c r="B33" s="34" t="s">
        <v>255</v>
      </c>
      <c r="C33" s="34" t="s">
        <v>256</v>
      </c>
      <c r="D33" s="42" t="s">
        <v>257</v>
      </c>
      <c r="E33" s="43"/>
      <c r="F33" s="43"/>
      <c r="G33" s="43"/>
      <c r="H33" s="43"/>
      <c r="I33" s="43"/>
      <c r="J33" s="43"/>
      <c r="K33" s="43"/>
      <c r="L33" s="43"/>
      <c r="M33" s="36">
        <f t="shared" si="1"/>
        <v>0</v>
      </c>
    </row>
    <row r="34" spans="1:13">
      <c r="A34" s="33" t="s">
        <v>258</v>
      </c>
      <c r="B34" s="34" t="s">
        <v>259</v>
      </c>
      <c r="C34" s="34" t="s">
        <v>256</v>
      </c>
      <c r="D34" s="42" t="s">
        <v>257</v>
      </c>
      <c r="E34" s="43"/>
      <c r="F34" s="43"/>
      <c r="G34" s="43"/>
      <c r="H34" s="43"/>
      <c r="I34" s="43">
        <v>2400</v>
      </c>
      <c r="J34" s="43"/>
      <c r="K34" s="43"/>
      <c r="L34" s="43"/>
      <c r="M34" s="36">
        <f t="shared" si="1"/>
        <v>2400</v>
      </c>
    </row>
    <row r="35" spans="1:13">
      <c r="A35" s="33" t="s">
        <v>260</v>
      </c>
      <c r="B35" s="34" t="s">
        <v>261</v>
      </c>
      <c r="C35" s="34" t="s">
        <v>256</v>
      </c>
      <c r="D35" s="42" t="s">
        <v>262</v>
      </c>
      <c r="E35" s="43"/>
      <c r="F35" s="43"/>
      <c r="G35" s="43"/>
      <c r="H35" s="43"/>
      <c r="I35" s="43"/>
      <c r="J35" s="43"/>
      <c r="K35" s="43"/>
      <c r="L35" s="43"/>
      <c r="M35" s="36">
        <f t="shared" si="1"/>
        <v>0</v>
      </c>
    </row>
    <row r="36" spans="1:13">
      <c r="A36" s="33" t="s">
        <v>263</v>
      </c>
      <c r="B36" s="34" t="s">
        <v>264</v>
      </c>
      <c r="C36" s="34" t="s">
        <v>256</v>
      </c>
      <c r="D36" s="42" t="s">
        <v>257</v>
      </c>
      <c r="E36" s="43"/>
      <c r="F36" s="43"/>
      <c r="G36" s="43"/>
      <c r="H36" s="43"/>
      <c r="I36" s="43"/>
      <c r="J36" s="43"/>
      <c r="K36" s="43"/>
      <c r="L36" s="43"/>
      <c r="M36" s="36">
        <f t="shared" si="1"/>
        <v>0</v>
      </c>
    </row>
    <row r="37" spans="1:13">
      <c r="A37" s="33" t="s">
        <v>265</v>
      </c>
      <c r="B37" s="34" t="s">
        <v>266</v>
      </c>
      <c r="C37" s="34" t="s">
        <v>256</v>
      </c>
      <c r="D37" s="42" t="s">
        <v>257</v>
      </c>
      <c r="E37" s="43"/>
      <c r="F37" s="43"/>
      <c r="G37" s="43"/>
      <c r="H37" s="43"/>
      <c r="I37" s="43"/>
      <c r="J37" s="43"/>
      <c r="K37" s="43"/>
      <c r="L37" s="43"/>
      <c r="M37" s="36">
        <f t="shared" si="1"/>
        <v>0</v>
      </c>
    </row>
    <row r="38" spans="1:13">
      <c r="A38" s="33" t="s">
        <v>267</v>
      </c>
      <c r="B38" s="34" t="s">
        <v>268</v>
      </c>
      <c r="C38" s="34" t="s">
        <v>256</v>
      </c>
      <c r="D38" s="42" t="s">
        <v>257</v>
      </c>
      <c r="E38" s="43"/>
      <c r="F38" s="43"/>
      <c r="G38" s="43"/>
      <c r="H38" s="43"/>
      <c r="I38" s="43">
        <v>71848</v>
      </c>
      <c r="J38" s="43"/>
      <c r="K38" s="43"/>
      <c r="L38" s="43"/>
      <c r="M38" s="36">
        <f t="shared" si="1"/>
        <v>71848</v>
      </c>
    </row>
    <row r="39" spans="1:13">
      <c r="A39" s="33" t="s">
        <v>269</v>
      </c>
      <c r="B39" s="34" t="s">
        <v>270</v>
      </c>
      <c r="C39" s="34" t="s">
        <v>256</v>
      </c>
      <c r="D39" s="42" t="s">
        <v>257</v>
      </c>
      <c r="E39" s="43"/>
      <c r="F39" s="43"/>
      <c r="G39" s="43"/>
      <c r="H39" s="43"/>
      <c r="I39" s="43">
        <v>27000</v>
      </c>
      <c r="J39" s="43"/>
      <c r="K39" s="43"/>
      <c r="L39" s="43"/>
      <c r="M39" s="36">
        <f t="shared" si="1"/>
        <v>27000</v>
      </c>
    </row>
    <row r="40" spans="1:13">
      <c r="A40" s="33" t="s">
        <v>271</v>
      </c>
      <c r="B40" s="34" t="s">
        <v>272</v>
      </c>
      <c r="C40" s="34"/>
      <c r="D40" s="35" t="s">
        <v>185</v>
      </c>
      <c r="E40" s="36">
        <f>E41</f>
        <v>0</v>
      </c>
      <c r="F40" s="36">
        <f t="shared" ref="F40:L40" si="25">F41</f>
        <v>0</v>
      </c>
      <c r="G40" s="36">
        <f t="shared" si="25"/>
        <v>0</v>
      </c>
      <c r="H40" s="36">
        <f t="shared" si="25"/>
        <v>0</v>
      </c>
      <c r="I40" s="36">
        <f t="shared" si="25"/>
        <v>0</v>
      </c>
      <c r="J40" s="36">
        <f t="shared" si="25"/>
        <v>0</v>
      </c>
      <c r="K40" s="36">
        <f t="shared" si="25"/>
        <v>0</v>
      </c>
      <c r="L40" s="36">
        <f t="shared" si="25"/>
        <v>0</v>
      </c>
      <c r="M40" s="36">
        <f t="shared" si="1"/>
        <v>0</v>
      </c>
    </row>
    <row r="41" spans="1:13" s="40" customFormat="1">
      <c r="A41" s="33" t="s">
        <v>273</v>
      </c>
      <c r="B41" s="38" t="s">
        <v>274</v>
      </c>
      <c r="C41" s="38" t="s">
        <v>191</v>
      </c>
      <c r="D41" s="39" t="s">
        <v>275</v>
      </c>
      <c r="E41" s="46"/>
      <c r="F41" s="46"/>
      <c r="G41" s="46"/>
      <c r="H41" s="46"/>
      <c r="I41" s="46"/>
      <c r="J41" s="46"/>
      <c r="K41" s="46"/>
      <c r="L41" s="46"/>
      <c r="M41" s="36">
        <f t="shared" si="1"/>
        <v>0</v>
      </c>
    </row>
    <row r="42" spans="1:13">
      <c r="A42" s="33" t="s">
        <v>276</v>
      </c>
      <c r="B42" s="34" t="s">
        <v>277</v>
      </c>
      <c r="C42" s="34"/>
      <c r="D42" s="35" t="s">
        <v>185</v>
      </c>
      <c r="E42" s="36">
        <f>E43+E44</f>
        <v>0</v>
      </c>
      <c r="F42" s="36">
        <f t="shared" ref="F42:L42" si="26">F43+F44</f>
        <v>0</v>
      </c>
      <c r="G42" s="36">
        <f t="shared" si="26"/>
        <v>0</v>
      </c>
      <c r="H42" s="36">
        <f t="shared" si="26"/>
        <v>0</v>
      </c>
      <c r="I42" s="36">
        <f t="shared" si="26"/>
        <v>0</v>
      </c>
      <c r="J42" s="36">
        <f t="shared" si="26"/>
        <v>0</v>
      </c>
      <c r="K42" s="36">
        <f t="shared" si="26"/>
        <v>0</v>
      </c>
      <c r="L42" s="36">
        <f t="shared" si="26"/>
        <v>0</v>
      </c>
      <c r="M42" s="36">
        <f t="shared" si="1"/>
        <v>0</v>
      </c>
    </row>
    <row r="43" spans="1:13" s="40" customFormat="1">
      <c r="A43" s="33" t="s">
        <v>278</v>
      </c>
      <c r="B43" s="38" t="s">
        <v>279</v>
      </c>
      <c r="C43" s="38" t="s">
        <v>191</v>
      </c>
      <c r="D43" s="39" t="s">
        <v>262</v>
      </c>
      <c r="E43" s="46"/>
      <c r="F43" s="46"/>
      <c r="G43" s="46"/>
      <c r="H43" s="46"/>
      <c r="I43" s="46"/>
      <c r="J43" s="46"/>
      <c r="K43" s="46"/>
      <c r="L43" s="46"/>
      <c r="M43" s="36">
        <f t="shared" si="1"/>
        <v>0</v>
      </c>
    </row>
    <row r="44" spans="1:13" s="40" customFormat="1">
      <c r="A44" s="33" t="s">
        <v>280</v>
      </c>
      <c r="B44" s="38" t="s">
        <v>281</v>
      </c>
      <c r="C44" s="38" t="s">
        <v>191</v>
      </c>
      <c r="D44" s="39" t="s">
        <v>262</v>
      </c>
      <c r="E44" s="46"/>
      <c r="F44" s="46"/>
      <c r="G44" s="46"/>
      <c r="H44" s="46"/>
      <c r="I44" s="46"/>
      <c r="J44" s="46"/>
      <c r="K44" s="46"/>
      <c r="L44" s="46"/>
      <c r="M44" s="36">
        <f t="shared" si="1"/>
        <v>0</v>
      </c>
    </row>
    <row r="45" spans="1:13">
      <c r="A45" s="33" t="s">
        <v>282</v>
      </c>
      <c r="B45" s="34" t="s">
        <v>283</v>
      </c>
      <c r="C45" s="34"/>
      <c r="D45" s="35" t="s">
        <v>185</v>
      </c>
      <c r="E45" s="36">
        <f>E46</f>
        <v>3240</v>
      </c>
      <c r="F45" s="36">
        <f t="shared" ref="F45:L45" si="27">F46</f>
        <v>7920</v>
      </c>
      <c r="G45" s="36">
        <f t="shared" si="27"/>
        <v>6120</v>
      </c>
      <c r="H45" s="36">
        <f t="shared" si="27"/>
        <v>10080</v>
      </c>
      <c r="I45" s="36">
        <f t="shared" si="27"/>
        <v>7560</v>
      </c>
      <c r="J45" s="36">
        <f t="shared" si="27"/>
        <v>2880</v>
      </c>
      <c r="K45" s="36">
        <f t="shared" si="27"/>
        <v>3960</v>
      </c>
      <c r="L45" s="36">
        <f t="shared" si="27"/>
        <v>1080</v>
      </c>
      <c r="M45" s="36">
        <f t="shared" si="1"/>
        <v>42840</v>
      </c>
    </row>
    <row r="46" spans="1:13">
      <c r="A46" s="33" t="s">
        <v>284</v>
      </c>
      <c r="B46" s="34" t="s">
        <v>285</v>
      </c>
      <c r="C46" s="34" t="s">
        <v>191</v>
      </c>
      <c r="D46" s="35" t="s">
        <v>192</v>
      </c>
      <c r="E46" s="37">
        <f>270*12</f>
        <v>3240</v>
      </c>
      <c r="F46" s="37">
        <v>7920</v>
      </c>
      <c r="G46" s="37">
        <f>510*12</f>
        <v>6120</v>
      </c>
      <c r="H46" s="37">
        <v>10080</v>
      </c>
      <c r="I46" s="37">
        <v>7560</v>
      </c>
      <c r="J46" s="37">
        <v>2880</v>
      </c>
      <c r="K46" s="37">
        <v>3960</v>
      </c>
      <c r="L46" s="37">
        <v>1080</v>
      </c>
      <c r="M46" s="36">
        <f t="shared" si="1"/>
        <v>42840</v>
      </c>
    </row>
    <row r="47" spans="1:13">
      <c r="A47" s="33" t="s">
        <v>286</v>
      </c>
      <c r="B47" s="34" t="s">
        <v>287</v>
      </c>
      <c r="C47" s="34"/>
      <c r="D47" s="35" t="s">
        <v>185</v>
      </c>
      <c r="E47" s="36">
        <f>SUM(E48:E51)</f>
        <v>1200</v>
      </c>
      <c r="F47" s="36">
        <f t="shared" ref="F47:L47" si="28">SUM(F48:F51)</f>
        <v>12000</v>
      </c>
      <c r="G47" s="36">
        <f t="shared" si="28"/>
        <v>4950</v>
      </c>
      <c r="H47" s="36">
        <f t="shared" si="28"/>
        <v>2000</v>
      </c>
      <c r="I47" s="36">
        <f t="shared" si="28"/>
        <v>7200</v>
      </c>
      <c r="J47" s="36">
        <f t="shared" si="28"/>
        <v>4800</v>
      </c>
      <c r="K47" s="36">
        <f t="shared" si="28"/>
        <v>3600</v>
      </c>
      <c r="L47" s="36">
        <f t="shared" si="28"/>
        <v>0</v>
      </c>
      <c r="M47" s="36">
        <f t="shared" si="1"/>
        <v>35750</v>
      </c>
    </row>
    <row r="48" spans="1:13">
      <c r="A48" s="33" t="s">
        <v>288</v>
      </c>
      <c r="B48" s="34" t="s">
        <v>289</v>
      </c>
      <c r="C48" s="34" t="s">
        <v>191</v>
      </c>
      <c r="D48" s="35" t="s">
        <v>290</v>
      </c>
      <c r="E48" s="37">
        <f>50*2*12</f>
        <v>1200</v>
      </c>
      <c r="F48" s="37">
        <v>12000</v>
      </c>
      <c r="G48" s="37">
        <v>4950</v>
      </c>
      <c r="H48" s="37">
        <v>2000</v>
      </c>
      <c r="I48" s="37">
        <v>7200</v>
      </c>
      <c r="J48" s="37">
        <v>4800</v>
      </c>
      <c r="K48" s="37">
        <v>3600</v>
      </c>
      <c r="L48" s="37"/>
      <c r="M48" s="36">
        <f t="shared" si="1"/>
        <v>35750</v>
      </c>
    </row>
    <row r="49" spans="1:13" s="40" customFormat="1">
      <c r="A49" s="33" t="s">
        <v>291</v>
      </c>
      <c r="B49" s="38" t="s">
        <v>292</v>
      </c>
      <c r="C49" s="38" t="s">
        <v>191</v>
      </c>
      <c r="D49" s="39" t="s">
        <v>293</v>
      </c>
      <c r="E49" s="46"/>
      <c r="F49" s="46"/>
      <c r="G49" s="46"/>
      <c r="H49" s="46"/>
      <c r="I49" s="46"/>
      <c r="J49" s="46"/>
      <c r="K49" s="46"/>
      <c r="L49" s="46"/>
      <c r="M49" s="36">
        <f t="shared" si="1"/>
        <v>0</v>
      </c>
    </row>
    <row r="50" spans="1:13" s="40" customFormat="1">
      <c r="A50" s="33" t="s">
        <v>294</v>
      </c>
      <c r="B50" s="38" t="s">
        <v>295</v>
      </c>
      <c r="C50" s="38" t="s">
        <v>191</v>
      </c>
      <c r="D50" s="39" t="s">
        <v>293</v>
      </c>
      <c r="E50" s="46"/>
      <c r="F50" s="46"/>
      <c r="G50" s="46"/>
      <c r="H50" s="46"/>
      <c r="I50" s="46"/>
      <c r="J50" s="46"/>
      <c r="K50" s="46"/>
      <c r="L50" s="46"/>
      <c r="M50" s="36">
        <f t="shared" si="1"/>
        <v>0</v>
      </c>
    </row>
    <row r="51" spans="1:13" ht="33.75">
      <c r="A51" s="33" t="s">
        <v>296</v>
      </c>
      <c r="B51" s="34" t="s">
        <v>297</v>
      </c>
      <c r="C51" s="34" t="s">
        <v>191</v>
      </c>
      <c r="D51" s="42" t="s">
        <v>298</v>
      </c>
      <c r="E51" s="43"/>
      <c r="F51" s="43"/>
      <c r="G51" s="43"/>
      <c r="H51" s="43"/>
      <c r="I51" s="43"/>
      <c r="J51" s="43"/>
      <c r="K51" s="43"/>
      <c r="L51" s="43"/>
      <c r="M51" s="36">
        <f t="shared" si="1"/>
        <v>0</v>
      </c>
    </row>
    <row r="52" spans="1:13">
      <c r="A52" s="33" t="s">
        <v>299</v>
      </c>
      <c r="B52" s="34" t="s">
        <v>300</v>
      </c>
      <c r="C52" s="34"/>
      <c r="D52" s="35" t="s">
        <v>185</v>
      </c>
      <c r="E52" s="36">
        <f>E53+E71+E73+E75+E77+E79+E81+E83+E85+E93</f>
        <v>1201195</v>
      </c>
      <c r="F52" s="36">
        <f t="shared" ref="F52:L52" si="29">F53+F71+F73+F75+F77+F79+F81+F83+F85+F93</f>
        <v>7746154.0499999998</v>
      </c>
      <c r="G52" s="36">
        <f t="shared" si="29"/>
        <v>2677696.2999999998</v>
      </c>
      <c r="H52" s="36">
        <f t="shared" si="29"/>
        <v>5134505</v>
      </c>
      <c r="I52" s="36">
        <f t="shared" si="29"/>
        <v>7532418.7999999998</v>
      </c>
      <c r="J52" s="36">
        <f t="shared" si="29"/>
        <v>2219019.14</v>
      </c>
      <c r="K52" s="36">
        <f t="shared" si="29"/>
        <v>1811032.05</v>
      </c>
      <c r="L52" s="36">
        <f t="shared" si="29"/>
        <v>424060</v>
      </c>
      <c r="M52" s="36">
        <f t="shared" si="1"/>
        <v>28746080.340000004</v>
      </c>
    </row>
    <row r="53" spans="1:13">
      <c r="A53" s="33" t="s">
        <v>301</v>
      </c>
      <c r="B53" s="34" t="s">
        <v>302</v>
      </c>
      <c r="C53" s="34"/>
      <c r="D53" s="35" t="s">
        <v>303</v>
      </c>
      <c r="E53" s="36">
        <f>SUM(E54:E70)</f>
        <v>798000</v>
      </c>
      <c r="F53" s="107">
        <f t="shared" ref="F53:L53" si="30">SUM(F54:F70)</f>
        <v>5193190</v>
      </c>
      <c r="G53" s="97">
        <f t="shared" si="30"/>
        <v>1965740</v>
      </c>
      <c r="H53" s="107">
        <f t="shared" si="30"/>
        <v>3341520</v>
      </c>
      <c r="I53" s="107">
        <f t="shared" si="30"/>
        <v>5283100</v>
      </c>
      <c r="J53" s="107">
        <f t="shared" si="30"/>
        <v>1613460</v>
      </c>
      <c r="K53" s="97">
        <f t="shared" si="30"/>
        <v>1236900</v>
      </c>
      <c r="L53" s="97">
        <f t="shared" si="30"/>
        <v>224000</v>
      </c>
      <c r="M53" s="36">
        <f t="shared" si="1"/>
        <v>19655910</v>
      </c>
    </row>
    <row r="54" spans="1:13">
      <c r="A54" s="33" t="s">
        <v>304</v>
      </c>
      <c r="B54" s="34" t="s">
        <v>305</v>
      </c>
      <c r="C54" s="34" t="s">
        <v>191</v>
      </c>
      <c r="D54" s="47"/>
      <c r="E54" s="37">
        <f>310*300-20000+5100+1729</f>
        <v>79829</v>
      </c>
      <c r="F54" s="89">
        <v>726985.5</v>
      </c>
      <c r="G54" s="122">
        <v>253477</v>
      </c>
      <c r="H54" s="89">
        <v>604160</v>
      </c>
      <c r="I54" s="89">
        <v>747530</v>
      </c>
      <c r="J54" s="89">
        <v>334791</v>
      </c>
      <c r="K54" s="122">
        <v>285036</v>
      </c>
      <c r="L54" s="122">
        <v>185400</v>
      </c>
      <c r="M54" s="36">
        <f t="shared" si="1"/>
        <v>3217208.5</v>
      </c>
    </row>
    <row r="55" spans="1:13">
      <c r="A55" s="33" t="s">
        <v>306</v>
      </c>
      <c r="B55" s="34" t="s">
        <v>307</v>
      </c>
      <c r="C55" s="34" t="s">
        <v>191</v>
      </c>
      <c r="D55" s="47"/>
      <c r="E55" s="37">
        <f>30*300</f>
        <v>9000</v>
      </c>
      <c r="F55" s="37">
        <v>119140</v>
      </c>
      <c r="G55" s="122">
        <f>739*30</f>
        <v>22170</v>
      </c>
      <c r="H55" s="37">
        <f>80*554+50*638</f>
        <v>76220</v>
      </c>
      <c r="I55" s="37">
        <v>120320</v>
      </c>
      <c r="J55" s="37">
        <v>5000</v>
      </c>
      <c r="K55" s="122">
        <v>12240</v>
      </c>
      <c r="L55" s="122"/>
      <c r="M55" s="36">
        <f t="shared" si="1"/>
        <v>364090</v>
      </c>
    </row>
    <row r="56" spans="1:13">
      <c r="A56" s="33" t="s">
        <v>308</v>
      </c>
      <c r="B56" s="34" t="s">
        <v>309</v>
      </c>
      <c r="C56" s="34" t="s">
        <v>191</v>
      </c>
      <c r="D56" s="47"/>
      <c r="E56" s="37">
        <f>20*300</f>
        <v>6000</v>
      </c>
      <c r="F56" s="37">
        <v>37660</v>
      </c>
      <c r="G56" s="122"/>
      <c r="H56" s="37"/>
      <c r="I56" s="37"/>
      <c r="J56" s="37"/>
      <c r="K56" s="122">
        <v>8160</v>
      </c>
      <c r="L56" s="122"/>
      <c r="M56" s="36">
        <f t="shared" si="1"/>
        <v>51820</v>
      </c>
    </row>
    <row r="57" spans="1:13">
      <c r="A57" s="33" t="s">
        <v>310</v>
      </c>
      <c r="B57" s="34" t="s">
        <v>311</v>
      </c>
      <c r="C57" s="34" t="s">
        <v>191</v>
      </c>
      <c r="D57" s="47"/>
      <c r="E57" s="37">
        <f>100*300</f>
        <v>30000</v>
      </c>
      <c r="F57" s="37">
        <v>242620</v>
      </c>
      <c r="G57" s="122">
        <f>739*100</f>
        <v>73900</v>
      </c>
      <c r="H57" s="37">
        <f>140*554+120*638</f>
        <v>154120</v>
      </c>
      <c r="I57" s="37">
        <v>246180</v>
      </c>
      <c r="J57" s="37">
        <v>60000</v>
      </c>
      <c r="K57" s="122">
        <v>40800</v>
      </c>
      <c r="L57" s="122">
        <v>5000</v>
      </c>
      <c r="M57" s="36">
        <f t="shared" si="1"/>
        <v>852620</v>
      </c>
    </row>
    <row r="58" spans="1:13">
      <c r="A58" s="33" t="s">
        <v>312</v>
      </c>
      <c r="B58" s="34" t="s">
        <v>313</v>
      </c>
      <c r="C58" s="34" t="s">
        <v>191</v>
      </c>
      <c r="D58" s="47"/>
      <c r="E58" s="37">
        <f>250*300</f>
        <v>75000</v>
      </c>
      <c r="F58" s="37">
        <v>418250</v>
      </c>
      <c r="G58" s="122">
        <f>739*250</f>
        <v>184750</v>
      </c>
      <c r="H58" s="37">
        <f>250*554+200*638</f>
        <v>266100</v>
      </c>
      <c r="I58" s="37">
        <v>423950</v>
      </c>
      <c r="J58" s="37">
        <v>150000</v>
      </c>
      <c r="K58" s="122">
        <v>102000</v>
      </c>
      <c r="L58" s="122">
        <v>17400</v>
      </c>
      <c r="M58" s="36">
        <f t="shared" si="1"/>
        <v>1637450</v>
      </c>
    </row>
    <row r="59" spans="1:13">
      <c r="A59" s="33" t="s">
        <v>314</v>
      </c>
      <c r="B59" s="34" t="s">
        <v>315</v>
      </c>
      <c r="C59" s="34" t="s">
        <v>191</v>
      </c>
      <c r="D59" s="47"/>
      <c r="E59" s="37">
        <f>30*300</f>
        <v>9000</v>
      </c>
      <c r="F59" s="37">
        <v>102480</v>
      </c>
      <c r="G59" s="122">
        <f>739*30</f>
        <v>22170</v>
      </c>
      <c r="H59" s="37">
        <f>60*554+638*50</f>
        <v>65140</v>
      </c>
      <c r="I59" s="37">
        <v>103940</v>
      </c>
      <c r="J59" s="37">
        <v>18000</v>
      </c>
      <c r="K59" s="122">
        <v>12240</v>
      </c>
      <c r="L59" s="122">
        <v>5000</v>
      </c>
      <c r="M59" s="36">
        <f t="shared" si="1"/>
        <v>337970</v>
      </c>
    </row>
    <row r="60" spans="1:13">
      <c r="A60" s="33" t="s">
        <v>316</v>
      </c>
      <c r="B60" s="34" t="s">
        <v>317</v>
      </c>
      <c r="C60" s="34" t="s">
        <v>191</v>
      </c>
      <c r="D60" s="47"/>
      <c r="E60" s="37">
        <f>30*300</f>
        <v>9000</v>
      </c>
      <c r="F60" s="37">
        <v>83650</v>
      </c>
      <c r="G60" s="122">
        <f>739*30</f>
        <v>22170</v>
      </c>
      <c r="H60" s="37">
        <f>554*50+40*638</f>
        <v>53220</v>
      </c>
      <c r="I60" s="37">
        <v>84790</v>
      </c>
      <c r="J60" s="37">
        <v>18000</v>
      </c>
      <c r="K60" s="122">
        <v>12240</v>
      </c>
      <c r="L60" s="122"/>
      <c r="M60" s="36">
        <f t="shared" si="1"/>
        <v>283070</v>
      </c>
    </row>
    <row r="61" spans="1:13">
      <c r="A61" s="33" t="s">
        <v>318</v>
      </c>
      <c r="B61" s="34" t="s">
        <v>319</v>
      </c>
      <c r="C61" s="34" t="s">
        <v>191</v>
      </c>
      <c r="D61" s="47"/>
      <c r="E61" s="37">
        <f>450*300</f>
        <v>135000</v>
      </c>
      <c r="F61" s="37">
        <v>847350</v>
      </c>
      <c r="G61" s="122">
        <f>739*450</f>
        <v>332550</v>
      </c>
      <c r="H61" s="37">
        <f>450*1192</f>
        <v>536400</v>
      </c>
      <c r="I61" s="37">
        <v>861750</v>
      </c>
      <c r="J61" s="37">
        <v>270000</v>
      </c>
      <c r="K61" s="122">
        <v>183600</v>
      </c>
      <c r="L61" s="122"/>
      <c r="M61" s="36">
        <f t="shared" si="1"/>
        <v>3166650</v>
      </c>
    </row>
    <row r="62" spans="1:13">
      <c r="A62" s="33" t="s">
        <v>320</v>
      </c>
      <c r="B62" s="34" t="s">
        <v>321</v>
      </c>
      <c r="C62" s="34" t="s">
        <v>191</v>
      </c>
      <c r="D62" s="47"/>
      <c r="E62" s="37"/>
      <c r="F62" s="37"/>
      <c r="G62" s="122"/>
      <c r="H62" s="37"/>
      <c r="I62" s="37"/>
      <c r="J62" s="37"/>
      <c r="K62" s="122"/>
      <c r="L62" s="122"/>
      <c r="M62" s="36">
        <f t="shared" si="1"/>
        <v>0</v>
      </c>
    </row>
    <row r="63" spans="1:13">
      <c r="A63" s="33" t="s">
        <v>322</v>
      </c>
      <c r="B63" s="34" t="s">
        <v>323</v>
      </c>
      <c r="C63" s="34" t="s">
        <v>324</v>
      </c>
      <c r="D63" s="47" t="s">
        <v>325</v>
      </c>
      <c r="E63" s="37">
        <f>39900-1729</f>
        <v>38171</v>
      </c>
      <c r="F63" s="89">
        <v>259659.5</v>
      </c>
      <c r="G63" s="122">
        <f>1965740*5%</f>
        <v>98287</v>
      </c>
      <c r="H63" s="89">
        <v>167076</v>
      </c>
      <c r="I63" s="89">
        <v>264155</v>
      </c>
      <c r="J63" s="89">
        <v>55669</v>
      </c>
      <c r="K63" s="122">
        <v>54264</v>
      </c>
      <c r="L63" s="122">
        <v>11200</v>
      </c>
      <c r="M63" s="36">
        <f t="shared" si="1"/>
        <v>948481.5</v>
      </c>
    </row>
    <row r="64" spans="1:13">
      <c r="A64" s="33" t="s">
        <v>326</v>
      </c>
      <c r="B64" s="34" t="s">
        <v>327</v>
      </c>
      <c r="C64" s="34" t="s">
        <v>191</v>
      </c>
      <c r="D64" s="47"/>
      <c r="E64" s="37">
        <f>24*300</f>
        <v>7200</v>
      </c>
      <c r="F64" s="37">
        <v>48524</v>
      </c>
      <c r="G64" s="122">
        <f>739*24</f>
        <v>17736</v>
      </c>
      <c r="H64" s="37">
        <f>554*28+24*638</f>
        <v>30824</v>
      </c>
      <c r="I64" s="37">
        <v>49236</v>
      </c>
      <c r="J64" s="37">
        <v>14400</v>
      </c>
      <c r="K64" s="122">
        <v>9792</v>
      </c>
      <c r="L64" s="122"/>
      <c r="M64" s="36">
        <f t="shared" si="1"/>
        <v>177712</v>
      </c>
    </row>
    <row r="65" spans="1:13">
      <c r="A65" s="33" t="s">
        <v>328</v>
      </c>
      <c r="B65" s="34" t="s">
        <v>329</v>
      </c>
      <c r="C65" s="34" t="s">
        <v>191</v>
      </c>
      <c r="D65" s="47"/>
      <c r="E65" s="37">
        <f>250*300</f>
        <v>75000</v>
      </c>
      <c r="F65" s="37">
        <v>376600</v>
      </c>
      <c r="G65" s="37">
        <f>739*250</f>
        <v>184750</v>
      </c>
      <c r="H65" s="37">
        <f>200*1192</f>
        <v>238400</v>
      </c>
      <c r="I65" s="37">
        <v>383000</v>
      </c>
      <c r="J65" s="37">
        <v>150000</v>
      </c>
      <c r="K65" s="37">
        <v>102000</v>
      </c>
      <c r="L65" s="122"/>
      <c r="M65" s="36">
        <f t="shared" si="1"/>
        <v>1509750</v>
      </c>
    </row>
    <row r="66" spans="1:13">
      <c r="A66" s="33" t="s">
        <v>330</v>
      </c>
      <c r="B66" s="34" t="s">
        <v>331</v>
      </c>
      <c r="C66" s="34" t="s">
        <v>191</v>
      </c>
      <c r="D66" s="47"/>
      <c r="E66" s="37">
        <f>100*300</f>
        <v>30000</v>
      </c>
      <c r="F66" s="37">
        <v>94150</v>
      </c>
      <c r="G66" s="37">
        <f>739*100</f>
        <v>73900</v>
      </c>
      <c r="H66" s="37">
        <f>50*1192</f>
        <v>59600</v>
      </c>
      <c r="I66" s="37">
        <v>95750</v>
      </c>
      <c r="J66" s="37">
        <v>60000</v>
      </c>
      <c r="K66" s="37">
        <v>40800</v>
      </c>
      <c r="L66" s="37"/>
      <c r="M66" s="36">
        <f t="shared" si="1"/>
        <v>454200</v>
      </c>
    </row>
    <row r="67" spans="1:13">
      <c r="A67" s="33" t="s">
        <v>332</v>
      </c>
      <c r="B67" s="34" t="s">
        <v>333</v>
      </c>
      <c r="C67" s="34" t="s">
        <v>191</v>
      </c>
      <c r="D67" s="47"/>
      <c r="E67" s="37">
        <v>20000</v>
      </c>
      <c r="F67" s="37"/>
      <c r="G67" s="37">
        <f>739*100</f>
        <v>73900</v>
      </c>
      <c r="H67" s="37">
        <f>1192*50</f>
        <v>59600</v>
      </c>
      <c r="I67" s="37">
        <v>38300</v>
      </c>
      <c r="J67" s="37">
        <v>20000</v>
      </c>
      <c r="K67" s="37"/>
      <c r="L67" s="37"/>
      <c r="M67" s="36">
        <f t="shared" ref="M67:M109" si="31">SUM(E67:L67)</f>
        <v>211800</v>
      </c>
    </row>
    <row r="68" spans="1:13">
      <c r="A68" s="33" t="s">
        <v>334</v>
      </c>
      <c r="B68" s="34" t="s">
        <v>335</v>
      </c>
      <c r="C68" s="34" t="s">
        <v>191</v>
      </c>
      <c r="D68" s="47"/>
      <c r="E68" s="37">
        <f>490*300-24*300</f>
        <v>139800</v>
      </c>
      <c r="F68" s="37">
        <v>988771</v>
      </c>
      <c r="G68" s="37">
        <f>739*370</f>
        <v>273430</v>
      </c>
      <c r="H68" s="37">
        <f>554*420+410*638</f>
        <v>494260</v>
      </c>
      <c r="I68" s="37">
        <v>1002449</v>
      </c>
      <c r="J68" s="37">
        <v>217600</v>
      </c>
      <c r="K68" s="37">
        <v>190128</v>
      </c>
      <c r="L68" s="37"/>
      <c r="M68" s="36">
        <f t="shared" si="31"/>
        <v>3306438</v>
      </c>
    </row>
    <row r="69" spans="1:13">
      <c r="A69" s="33" t="s">
        <v>336</v>
      </c>
      <c r="B69" s="34" t="s">
        <v>337</v>
      </c>
      <c r="C69" s="34" t="s">
        <v>191</v>
      </c>
      <c r="D69" s="47"/>
      <c r="E69" s="37">
        <f>450*300</f>
        <v>135000</v>
      </c>
      <c r="F69" s="37">
        <v>500000</v>
      </c>
      <c r="G69" s="37">
        <f>739*450</f>
        <v>332550</v>
      </c>
      <c r="H69" s="37">
        <f>1192*450</f>
        <v>536400</v>
      </c>
      <c r="I69" s="37">
        <v>430875</v>
      </c>
      <c r="J69" s="37">
        <v>120000</v>
      </c>
      <c r="K69" s="37">
        <v>81600</v>
      </c>
      <c r="L69" s="37"/>
      <c r="M69" s="36">
        <f t="shared" si="31"/>
        <v>2136425</v>
      </c>
    </row>
    <row r="70" spans="1:13">
      <c r="A70" s="33" t="s">
        <v>338</v>
      </c>
      <c r="B70" s="34" t="s">
        <v>339</v>
      </c>
      <c r="C70" s="34" t="s">
        <v>191</v>
      </c>
      <c r="D70" s="47"/>
      <c r="E70" s="37"/>
      <c r="F70" s="37">
        <v>347350</v>
      </c>
      <c r="G70" s="37"/>
      <c r="H70" s="37"/>
      <c r="I70" s="37">
        <v>430875</v>
      </c>
      <c r="J70" s="37">
        <v>120000</v>
      </c>
      <c r="K70" s="37">
        <v>102000</v>
      </c>
      <c r="L70" s="37"/>
      <c r="M70" s="36">
        <f t="shared" si="31"/>
        <v>1000225</v>
      </c>
    </row>
    <row r="71" spans="1:13">
      <c r="A71" s="33" t="s">
        <v>340</v>
      </c>
      <c r="B71" s="34" t="s">
        <v>341</v>
      </c>
      <c r="C71" s="34"/>
      <c r="D71" s="35"/>
      <c r="E71" s="36">
        <f>E72</f>
        <v>11600</v>
      </c>
      <c r="F71" s="36">
        <f t="shared" ref="F71:L71" si="32">F72</f>
        <v>60000</v>
      </c>
      <c r="G71" s="36">
        <f t="shared" si="32"/>
        <v>22800</v>
      </c>
      <c r="H71" s="36">
        <f t="shared" si="32"/>
        <v>48800</v>
      </c>
      <c r="I71" s="36">
        <f t="shared" si="32"/>
        <v>59600</v>
      </c>
      <c r="J71" s="36">
        <f t="shared" si="32"/>
        <v>17200</v>
      </c>
      <c r="K71" s="36">
        <f t="shared" si="32"/>
        <v>16400</v>
      </c>
      <c r="L71" s="36">
        <f t="shared" si="32"/>
        <v>2800</v>
      </c>
      <c r="M71" s="36">
        <f t="shared" si="31"/>
        <v>239200</v>
      </c>
    </row>
    <row r="72" spans="1:13" s="40" customFormat="1" ht="22.5">
      <c r="A72" s="33" t="s">
        <v>342</v>
      </c>
      <c r="B72" s="38" t="s">
        <v>343</v>
      </c>
      <c r="C72" s="38" t="s">
        <v>191</v>
      </c>
      <c r="D72" s="48" t="s">
        <v>344</v>
      </c>
      <c r="E72" s="36">
        <f>E96*400</f>
        <v>11600</v>
      </c>
      <c r="F72" s="36">
        <f t="shared" ref="F72:L72" si="33">F96*400</f>
        <v>60000</v>
      </c>
      <c r="G72" s="36">
        <f t="shared" si="33"/>
        <v>22800</v>
      </c>
      <c r="H72" s="36">
        <f t="shared" si="33"/>
        <v>48800</v>
      </c>
      <c r="I72" s="36">
        <f t="shared" si="33"/>
        <v>59600</v>
      </c>
      <c r="J72" s="36">
        <f t="shared" si="33"/>
        <v>17200</v>
      </c>
      <c r="K72" s="36">
        <f t="shared" si="33"/>
        <v>16400</v>
      </c>
      <c r="L72" s="36">
        <f t="shared" si="33"/>
        <v>2800</v>
      </c>
      <c r="M72" s="36">
        <f t="shared" si="31"/>
        <v>239200</v>
      </c>
    </row>
    <row r="73" spans="1:13">
      <c r="A73" s="33" t="s">
        <v>345</v>
      </c>
      <c r="B73" s="34" t="s">
        <v>346</v>
      </c>
      <c r="C73" s="34"/>
      <c r="D73" s="35" t="s">
        <v>185</v>
      </c>
      <c r="E73" s="36">
        <f>E74</f>
        <v>64068.6</v>
      </c>
      <c r="F73" s="36">
        <f t="shared" ref="F73:L73" si="34">F74</f>
        <v>281524.05</v>
      </c>
      <c r="G73" s="36">
        <f t="shared" si="34"/>
        <v>117936.3</v>
      </c>
      <c r="H73" s="36">
        <f t="shared" si="34"/>
        <v>211545</v>
      </c>
      <c r="I73" s="36">
        <f t="shared" si="34"/>
        <v>247410</v>
      </c>
      <c r="J73" s="36">
        <f t="shared" si="34"/>
        <v>162034.5</v>
      </c>
      <c r="K73" s="36">
        <f t="shared" si="34"/>
        <v>97744.05</v>
      </c>
      <c r="L73" s="36">
        <f t="shared" si="34"/>
        <v>33240</v>
      </c>
      <c r="M73" s="36">
        <f t="shared" si="31"/>
        <v>1215502.5</v>
      </c>
    </row>
    <row r="74" spans="1:13" s="40" customFormat="1">
      <c r="A74" s="33" t="s">
        <v>347</v>
      </c>
      <c r="B74" s="38" t="s">
        <v>348</v>
      </c>
      <c r="C74" s="38" t="s">
        <v>191</v>
      </c>
      <c r="D74" s="48" t="s">
        <v>349</v>
      </c>
      <c r="E74" s="36">
        <f>E108*15</f>
        <v>64068.6</v>
      </c>
      <c r="F74" s="36">
        <f t="shared" ref="F74:L74" si="35">F108*15</f>
        <v>281524.05</v>
      </c>
      <c r="G74" s="36">
        <f t="shared" si="35"/>
        <v>117936.3</v>
      </c>
      <c r="H74" s="36">
        <f t="shared" si="35"/>
        <v>211545</v>
      </c>
      <c r="I74" s="36">
        <f t="shared" si="35"/>
        <v>247410</v>
      </c>
      <c r="J74" s="36">
        <f t="shared" si="35"/>
        <v>162034.5</v>
      </c>
      <c r="K74" s="36">
        <f t="shared" si="35"/>
        <v>97744.05</v>
      </c>
      <c r="L74" s="36">
        <f t="shared" si="35"/>
        <v>33240</v>
      </c>
      <c r="M74" s="36">
        <f t="shared" si="31"/>
        <v>1215502.5</v>
      </c>
    </row>
    <row r="75" spans="1:13">
      <c r="A75" s="33" t="s">
        <v>350</v>
      </c>
      <c r="B75" s="34" t="s">
        <v>351</v>
      </c>
      <c r="C75" s="34"/>
      <c r="D75" s="35" t="s">
        <v>185</v>
      </c>
      <c r="E75" s="36">
        <f>E76</f>
        <v>23898.400000000001</v>
      </c>
      <c r="F75" s="36">
        <f t="shared" ref="F75:L75" si="36">F76</f>
        <v>144000</v>
      </c>
      <c r="G75" s="36">
        <f t="shared" si="36"/>
        <v>33100</v>
      </c>
      <c r="H75" s="36">
        <f t="shared" si="36"/>
        <v>96000</v>
      </c>
      <c r="I75" s="36">
        <f t="shared" si="36"/>
        <v>78400</v>
      </c>
      <c r="J75" s="36">
        <f t="shared" si="36"/>
        <v>50073.599999999999</v>
      </c>
      <c r="K75" s="36">
        <f t="shared" si="36"/>
        <v>37600</v>
      </c>
      <c r="L75" s="36">
        <f t="shared" si="36"/>
        <v>50016</v>
      </c>
      <c r="M75" s="36">
        <f t="shared" si="31"/>
        <v>513088</v>
      </c>
    </row>
    <row r="76" spans="1:13" s="40" customFormat="1">
      <c r="A76" s="33" t="s">
        <v>352</v>
      </c>
      <c r="B76" s="38" t="s">
        <v>353</v>
      </c>
      <c r="C76" s="38" t="s">
        <v>191</v>
      </c>
      <c r="D76" s="48" t="s">
        <v>354</v>
      </c>
      <c r="E76" s="36">
        <f>E109*8</f>
        <v>23898.400000000001</v>
      </c>
      <c r="F76" s="36">
        <f t="shared" ref="F76:L76" si="37">F109*8</f>
        <v>144000</v>
      </c>
      <c r="G76" s="36">
        <f t="shared" si="37"/>
        <v>33100</v>
      </c>
      <c r="H76" s="36">
        <f t="shared" si="37"/>
        <v>96000</v>
      </c>
      <c r="I76" s="36">
        <f t="shared" si="37"/>
        <v>78400</v>
      </c>
      <c r="J76" s="36">
        <f t="shared" si="37"/>
        <v>50073.599999999999</v>
      </c>
      <c r="K76" s="36">
        <f t="shared" si="37"/>
        <v>37600</v>
      </c>
      <c r="L76" s="36">
        <f t="shared" si="37"/>
        <v>50016</v>
      </c>
      <c r="M76" s="36">
        <f t="shared" si="31"/>
        <v>513088</v>
      </c>
    </row>
    <row r="77" spans="1:13">
      <c r="A77" s="33" t="s">
        <v>355</v>
      </c>
      <c r="B77" s="34" t="s">
        <v>356</v>
      </c>
      <c r="C77" s="34"/>
      <c r="D77" s="35" t="s">
        <v>185</v>
      </c>
      <c r="E77" s="36">
        <f>E78</f>
        <v>0</v>
      </c>
      <c r="F77" s="36">
        <f t="shared" ref="F77:L77" si="38">F78</f>
        <v>0</v>
      </c>
      <c r="G77" s="36">
        <f t="shared" si="38"/>
        <v>0</v>
      </c>
      <c r="H77" s="36">
        <f t="shared" si="38"/>
        <v>0</v>
      </c>
      <c r="I77" s="36">
        <f t="shared" si="38"/>
        <v>0</v>
      </c>
      <c r="J77" s="36">
        <f t="shared" si="38"/>
        <v>0</v>
      </c>
      <c r="K77" s="36">
        <f t="shared" si="38"/>
        <v>0</v>
      </c>
      <c r="L77" s="36">
        <f t="shared" si="38"/>
        <v>0</v>
      </c>
      <c r="M77" s="36">
        <f t="shared" si="31"/>
        <v>0</v>
      </c>
    </row>
    <row r="78" spans="1:13" s="40" customFormat="1">
      <c r="A78" s="33" t="s">
        <v>357</v>
      </c>
      <c r="B78" s="38" t="s">
        <v>358</v>
      </c>
      <c r="C78" s="38" t="s">
        <v>191</v>
      </c>
      <c r="D78" s="48" t="s">
        <v>293</v>
      </c>
      <c r="E78" s="46"/>
      <c r="F78" s="46"/>
      <c r="G78" s="46"/>
      <c r="H78" s="46"/>
      <c r="I78" s="46"/>
      <c r="J78" s="46"/>
      <c r="K78" s="46"/>
      <c r="L78" s="46"/>
      <c r="M78" s="36">
        <f t="shared" si="31"/>
        <v>0</v>
      </c>
    </row>
    <row r="79" spans="1:13">
      <c r="A79" s="33" t="s">
        <v>359</v>
      </c>
      <c r="B79" s="34" t="s">
        <v>360</v>
      </c>
      <c r="C79" s="34"/>
      <c r="D79" s="35" t="s">
        <v>185</v>
      </c>
      <c r="E79" s="36">
        <f>E80</f>
        <v>125280</v>
      </c>
      <c r="F79" s="36">
        <f t="shared" ref="F79:L79" si="39">F80</f>
        <v>648000</v>
      </c>
      <c r="G79" s="36">
        <f t="shared" si="39"/>
        <v>246240</v>
      </c>
      <c r="H79" s="36">
        <f t="shared" si="39"/>
        <v>527040</v>
      </c>
      <c r="I79" s="36">
        <f t="shared" si="39"/>
        <v>643680</v>
      </c>
      <c r="J79" s="36">
        <f t="shared" si="39"/>
        <v>185760</v>
      </c>
      <c r="K79" s="36">
        <f t="shared" si="39"/>
        <v>177120</v>
      </c>
      <c r="L79" s="36">
        <f t="shared" si="39"/>
        <v>30240</v>
      </c>
      <c r="M79" s="36">
        <f t="shared" si="31"/>
        <v>2583360</v>
      </c>
    </row>
    <row r="80" spans="1:13" s="40" customFormat="1" ht="22.5">
      <c r="A80" s="33" t="s">
        <v>361</v>
      </c>
      <c r="B80" s="38" t="s">
        <v>362</v>
      </c>
      <c r="C80" s="38" t="s">
        <v>191</v>
      </c>
      <c r="D80" s="48" t="s">
        <v>363</v>
      </c>
      <c r="E80" s="36">
        <f>E96*4320</f>
        <v>125280</v>
      </c>
      <c r="F80" s="36">
        <f t="shared" ref="F80:L80" si="40">F96*4320</f>
        <v>648000</v>
      </c>
      <c r="G80" s="36">
        <f t="shared" si="40"/>
        <v>246240</v>
      </c>
      <c r="H80" s="36">
        <f t="shared" si="40"/>
        <v>527040</v>
      </c>
      <c r="I80" s="36">
        <f t="shared" si="40"/>
        <v>643680</v>
      </c>
      <c r="J80" s="36">
        <f t="shared" si="40"/>
        <v>185760</v>
      </c>
      <c r="K80" s="36">
        <f t="shared" si="40"/>
        <v>177120</v>
      </c>
      <c r="L80" s="36">
        <f t="shared" si="40"/>
        <v>30240</v>
      </c>
      <c r="M80" s="36">
        <f t="shared" si="31"/>
        <v>2583360</v>
      </c>
    </row>
    <row r="81" spans="1:13">
      <c r="A81" s="33" t="s">
        <v>364</v>
      </c>
      <c r="B81" s="34" t="s">
        <v>365</v>
      </c>
      <c r="C81" s="34"/>
      <c r="D81" s="35" t="s">
        <v>185</v>
      </c>
      <c r="E81" s="36">
        <f>E82</f>
        <v>103868</v>
      </c>
      <c r="F81" s="36">
        <f t="shared" ref="F81:L81" si="41">F82</f>
        <v>599200</v>
      </c>
      <c r="G81" s="36">
        <f t="shared" si="41"/>
        <v>198520</v>
      </c>
      <c r="H81" s="36">
        <f t="shared" si="41"/>
        <v>481120</v>
      </c>
      <c r="I81" s="36">
        <f t="shared" si="41"/>
        <v>571348.80000000005</v>
      </c>
      <c r="J81" s="36">
        <f t="shared" si="41"/>
        <v>149051.04</v>
      </c>
      <c r="K81" s="36">
        <f t="shared" si="41"/>
        <v>142468</v>
      </c>
      <c r="L81" s="36">
        <f t="shared" si="41"/>
        <v>28164</v>
      </c>
      <c r="M81" s="36">
        <f t="shared" si="31"/>
        <v>2273739.84</v>
      </c>
    </row>
    <row r="82" spans="1:13" s="40" customFormat="1">
      <c r="A82" s="33" t="s">
        <v>366</v>
      </c>
      <c r="B82" s="38" t="s">
        <v>367</v>
      </c>
      <c r="C82" s="38" t="s">
        <v>191</v>
      </c>
      <c r="D82" s="39" t="s">
        <v>210</v>
      </c>
      <c r="E82" s="36">
        <f>E16*4</f>
        <v>103868</v>
      </c>
      <c r="F82" s="36">
        <f t="shared" ref="F82:L82" si="42">F16*4</f>
        <v>599200</v>
      </c>
      <c r="G82" s="36">
        <f t="shared" si="42"/>
        <v>198520</v>
      </c>
      <c r="H82" s="36">
        <f t="shared" si="42"/>
        <v>481120</v>
      </c>
      <c r="I82" s="36">
        <f t="shared" si="42"/>
        <v>571348.80000000005</v>
      </c>
      <c r="J82" s="36">
        <f t="shared" si="42"/>
        <v>149051.04</v>
      </c>
      <c r="K82" s="36">
        <f t="shared" si="42"/>
        <v>142468</v>
      </c>
      <c r="L82" s="36">
        <f t="shared" si="42"/>
        <v>28164</v>
      </c>
      <c r="M82" s="36">
        <f t="shared" si="31"/>
        <v>2273739.84</v>
      </c>
    </row>
    <row r="83" spans="1:13">
      <c r="A83" s="33" t="s">
        <v>368</v>
      </c>
      <c r="B83" s="34" t="s">
        <v>369</v>
      </c>
      <c r="C83" s="34"/>
      <c r="D83" s="35" t="s">
        <v>185</v>
      </c>
      <c r="E83" s="36">
        <f>E84</f>
        <v>0</v>
      </c>
      <c r="F83" s="36">
        <f t="shared" ref="F83:L83" si="43">F84</f>
        <v>32000</v>
      </c>
      <c r="G83" s="36">
        <f t="shared" si="43"/>
        <v>0</v>
      </c>
      <c r="H83" s="36">
        <f t="shared" si="43"/>
        <v>32000</v>
      </c>
      <c r="I83" s="36">
        <f t="shared" si="43"/>
        <v>64000</v>
      </c>
      <c r="J83" s="36">
        <f t="shared" si="43"/>
        <v>0</v>
      </c>
      <c r="K83" s="36">
        <f t="shared" si="43"/>
        <v>0</v>
      </c>
      <c r="L83" s="36">
        <f t="shared" si="43"/>
        <v>0</v>
      </c>
      <c r="M83" s="36">
        <f t="shared" si="31"/>
        <v>128000</v>
      </c>
    </row>
    <row r="84" spans="1:13" ht="33.75">
      <c r="A84" s="33" t="s">
        <v>370</v>
      </c>
      <c r="B84" s="34" t="s">
        <v>371</v>
      </c>
      <c r="C84" s="34" t="s">
        <v>191</v>
      </c>
      <c r="D84" s="47" t="s">
        <v>372</v>
      </c>
      <c r="E84" s="37"/>
      <c r="F84" s="37">
        <v>32000</v>
      </c>
      <c r="G84" s="37"/>
      <c r="H84" s="37">
        <v>32000</v>
      </c>
      <c r="I84" s="37">
        <v>64000</v>
      </c>
      <c r="J84" s="37"/>
      <c r="K84" s="37"/>
      <c r="L84" s="37"/>
      <c r="M84" s="36">
        <f t="shared" si="31"/>
        <v>128000</v>
      </c>
    </row>
    <row r="85" spans="1:13">
      <c r="A85" s="33" t="s">
        <v>373</v>
      </c>
      <c r="B85" s="34" t="s">
        <v>374</v>
      </c>
      <c r="C85" s="34"/>
      <c r="D85" s="35" t="s">
        <v>185</v>
      </c>
      <c r="E85" s="36">
        <f>E86+E89+E92</f>
        <v>42480</v>
      </c>
      <c r="F85" s="36">
        <f t="shared" ref="F85:L85" si="44">F86+F89+F92</f>
        <v>788240</v>
      </c>
      <c r="G85" s="36">
        <f t="shared" si="44"/>
        <v>61360</v>
      </c>
      <c r="H85" s="36">
        <f t="shared" si="44"/>
        <v>396480</v>
      </c>
      <c r="I85" s="36">
        <f t="shared" si="44"/>
        <v>584880</v>
      </c>
      <c r="J85" s="36">
        <f t="shared" si="44"/>
        <v>9440</v>
      </c>
      <c r="K85" s="36">
        <f t="shared" si="44"/>
        <v>70800</v>
      </c>
      <c r="L85" s="36">
        <f t="shared" si="44"/>
        <v>23600</v>
      </c>
      <c r="M85" s="36">
        <f t="shared" si="31"/>
        <v>1977280</v>
      </c>
    </row>
    <row r="86" spans="1:13">
      <c r="A86" s="33" t="s">
        <v>375</v>
      </c>
      <c r="B86" s="34" t="s">
        <v>376</v>
      </c>
      <c r="C86" s="34"/>
      <c r="D86" s="35" t="s">
        <v>185</v>
      </c>
      <c r="E86" s="36">
        <f>E87+E88</f>
        <v>0</v>
      </c>
      <c r="F86" s="36">
        <f t="shared" ref="F86:L86" si="45">F87+F88</f>
        <v>0</v>
      </c>
      <c r="G86" s="36">
        <f t="shared" si="45"/>
        <v>0</v>
      </c>
      <c r="H86" s="36">
        <f t="shared" si="45"/>
        <v>0</v>
      </c>
      <c r="I86" s="36">
        <f t="shared" si="45"/>
        <v>4320</v>
      </c>
      <c r="J86" s="36">
        <f t="shared" si="45"/>
        <v>0</v>
      </c>
      <c r="K86" s="36">
        <f t="shared" si="45"/>
        <v>0</v>
      </c>
      <c r="L86" s="36">
        <f t="shared" si="45"/>
        <v>0</v>
      </c>
      <c r="M86" s="36">
        <f t="shared" si="31"/>
        <v>4320</v>
      </c>
    </row>
    <row r="87" spans="1:13">
      <c r="A87" s="33" t="s">
        <v>377</v>
      </c>
      <c r="B87" s="34" t="s">
        <v>378</v>
      </c>
      <c r="C87" s="34" t="s">
        <v>191</v>
      </c>
      <c r="D87" s="47" t="s">
        <v>293</v>
      </c>
      <c r="E87" s="43"/>
      <c r="F87" s="43"/>
      <c r="G87" s="43"/>
      <c r="H87" s="43"/>
      <c r="I87" s="43"/>
      <c r="J87" s="43"/>
      <c r="K87" s="43"/>
      <c r="L87" s="43"/>
      <c r="M87" s="36">
        <f t="shared" si="31"/>
        <v>0</v>
      </c>
    </row>
    <row r="88" spans="1:13">
      <c r="A88" s="33" t="s">
        <v>379</v>
      </c>
      <c r="B88" s="34" t="s">
        <v>380</v>
      </c>
      <c r="C88" s="34" t="s">
        <v>191</v>
      </c>
      <c r="D88" s="35" t="s">
        <v>381</v>
      </c>
      <c r="E88" s="43"/>
      <c r="F88" s="43"/>
      <c r="G88" s="43"/>
      <c r="H88" s="43"/>
      <c r="I88" s="43">
        <v>4320</v>
      </c>
      <c r="J88" s="43"/>
      <c r="K88" s="43"/>
      <c r="L88" s="43"/>
      <c r="M88" s="36">
        <f t="shared" si="31"/>
        <v>4320</v>
      </c>
    </row>
    <row r="89" spans="1:13">
      <c r="A89" s="33" t="s">
        <v>382</v>
      </c>
      <c r="B89" s="34" t="s">
        <v>383</v>
      </c>
      <c r="C89" s="34"/>
      <c r="D89" s="35" t="s">
        <v>185</v>
      </c>
      <c r="E89" s="36">
        <f>E90+E91</f>
        <v>42480</v>
      </c>
      <c r="F89" s="36">
        <f t="shared" ref="F89:L89" si="46">F90+F91</f>
        <v>788240</v>
      </c>
      <c r="G89" s="36">
        <f t="shared" si="46"/>
        <v>61360</v>
      </c>
      <c r="H89" s="36">
        <f t="shared" si="46"/>
        <v>396480</v>
      </c>
      <c r="I89" s="36">
        <f t="shared" si="46"/>
        <v>580560</v>
      </c>
      <c r="J89" s="36">
        <f t="shared" si="46"/>
        <v>9440</v>
      </c>
      <c r="K89" s="36">
        <f t="shared" si="46"/>
        <v>70800</v>
      </c>
      <c r="L89" s="36">
        <f t="shared" si="46"/>
        <v>23600</v>
      </c>
      <c r="M89" s="36">
        <f t="shared" si="31"/>
        <v>1972960</v>
      </c>
    </row>
    <row r="90" spans="1:13" s="40" customFormat="1" ht="22.5">
      <c r="A90" s="33" t="s">
        <v>384</v>
      </c>
      <c r="B90" s="38" t="s">
        <v>385</v>
      </c>
      <c r="C90" s="38" t="s">
        <v>191</v>
      </c>
      <c r="D90" s="48" t="s">
        <v>386</v>
      </c>
      <c r="E90" s="36">
        <f>E107*400</f>
        <v>3600</v>
      </c>
      <c r="F90" s="36">
        <f t="shared" ref="F90:L90" si="47">F107*400</f>
        <v>66800</v>
      </c>
      <c r="G90" s="36">
        <f t="shared" si="47"/>
        <v>5200</v>
      </c>
      <c r="H90" s="36">
        <f t="shared" si="47"/>
        <v>33600</v>
      </c>
      <c r="I90" s="36">
        <f t="shared" si="47"/>
        <v>49200</v>
      </c>
      <c r="J90" s="36">
        <f t="shared" si="47"/>
        <v>800</v>
      </c>
      <c r="K90" s="36">
        <f t="shared" si="47"/>
        <v>6000</v>
      </c>
      <c r="L90" s="36">
        <f t="shared" si="47"/>
        <v>2000</v>
      </c>
      <c r="M90" s="36">
        <f t="shared" si="31"/>
        <v>167200</v>
      </c>
    </row>
    <row r="91" spans="1:13" s="40" customFormat="1" ht="22.5">
      <c r="A91" s="33" t="s">
        <v>387</v>
      </c>
      <c r="B91" s="38" t="s">
        <v>388</v>
      </c>
      <c r="C91" s="38" t="s">
        <v>191</v>
      </c>
      <c r="D91" s="48" t="s">
        <v>389</v>
      </c>
      <c r="E91" s="36">
        <f>E107*4320</f>
        <v>38880</v>
      </c>
      <c r="F91" s="36">
        <f t="shared" ref="F91:L91" si="48">F107*4320</f>
        <v>721440</v>
      </c>
      <c r="G91" s="36">
        <f t="shared" si="48"/>
        <v>56160</v>
      </c>
      <c r="H91" s="36">
        <f t="shared" si="48"/>
        <v>362880</v>
      </c>
      <c r="I91" s="36">
        <f t="shared" si="48"/>
        <v>531360</v>
      </c>
      <c r="J91" s="36">
        <f t="shared" si="48"/>
        <v>8640</v>
      </c>
      <c r="K91" s="36">
        <f t="shared" si="48"/>
        <v>64800</v>
      </c>
      <c r="L91" s="36">
        <f t="shared" si="48"/>
        <v>21600</v>
      </c>
      <c r="M91" s="36">
        <f t="shared" si="31"/>
        <v>1805760</v>
      </c>
    </row>
    <row r="92" spans="1:13">
      <c r="A92" s="33" t="s">
        <v>390</v>
      </c>
      <c r="B92" s="34" t="s">
        <v>391</v>
      </c>
      <c r="C92" s="34" t="s">
        <v>191</v>
      </c>
      <c r="D92" s="47" t="s">
        <v>293</v>
      </c>
      <c r="E92" s="49"/>
      <c r="F92" s="49"/>
      <c r="G92" s="49"/>
      <c r="H92" s="49"/>
      <c r="I92" s="49"/>
      <c r="J92" s="49"/>
      <c r="K92" s="49"/>
      <c r="L92" s="49"/>
      <c r="M92" s="36">
        <f t="shared" si="31"/>
        <v>0</v>
      </c>
    </row>
    <row r="93" spans="1:13">
      <c r="A93" s="33" t="s">
        <v>392</v>
      </c>
      <c r="B93" s="34" t="s">
        <v>393</v>
      </c>
      <c r="C93" s="34"/>
      <c r="D93" s="35" t="s">
        <v>185</v>
      </c>
      <c r="E93" s="36">
        <f>E94</f>
        <v>32000</v>
      </c>
      <c r="F93" s="36">
        <f t="shared" ref="F93:L93" si="49">F94</f>
        <v>0</v>
      </c>
      <c r="G93" s="36">
        <f t="shared" si="49"/>
        <v>32000</v>
      </c>
      <c r="H93" s="36">
        <f t="shared" si="49"/>
        <v>0</v>
      </c>
      <c r="I93" s="36">
        <f t="shared" si="49"/>
        <v>0</v>
      </c>
      <c r="J93" s="36">
        <f t="shared" si="49"/>
        <v>32000</v>
      </c>
      <c r="K93" s="36">
        <f t="shared" si="49"/>
        <v>32000</v>
      </c>
      <c r="L93" s="36">
        <f t="shared" si="49"/>
        <v>32000</v>
      </c>
      <c r="M93" s="36">
        <f t="shared" si="31"/>
        <v>160000</v>
      </c>
    </row>
    <row r="94" spans="1:13" ht="57" thickBot="1">
      <c r="A94" s="33" t="s">
        <v>394</v>
      </c>
      <c r="B94" s="50" t="s">
        <v>395</v>
      </c>
      <c r="C94" s="34" t="s">
        <v>191</v>
      </c>
      <c r="D94" s="51" t="s">
        <v>396</v>
      </c>
      <c r="E94" s="52">
        <v>32000</v>
      </c>
      <c r="F94" s="52"/>
      <c r="G94" s="52">
        <v>32000</v>
      </c>
      <c r="H94" s="52"/>
      <c r="I94" s="52"/>
      <c r="J94" s="52">
        <v>32000</v>
      </c>
      <c r="K94" s="52">
        <v>32000</v>
      </c>
      <c r="L94" s="52">
        <v>32000</v>
      </c>
      <c r="M94" s="36">
        <f t="shared" si="31"/>
        <v>160000</v>
      </c>
    </row>
    <row r="95" spans="1:13" ht="23.25" customHeight="1" thickTop="1">
      <c r="A95" s="33" t="s">
        <v>397</v>
      </c>
      <c r="B95" s="53" t="s">
        <v>398</v>
      </c>
      <c r="C95" s="53"/>
      <c r="D95" s="54"/>
      <c r="E95" s="55"/>
      <c r="F95" s="55"/>
      <c r="G95" s="55"/>
      <c r="H95" s="55"/>
      <c r="I95" s="55"/>
      <c r="J95" s="55"/>
      <c r="K95" s="55"/>
      <c r="L95" s="55"/>
      <c r="M95" s="36">
        <f t="shared" si="31"/>
        <v>0</v>
      </c>
    </row>
    <row r="96" spans="1:13" ht="22.5">
      <c r="A96" s="33" t="s">
        <v>399</v>
      </c>
      <c r="B96" s="34" t="s">
        <v>400</v>
      </c>
      <c r="C96" s="34"/>
      <c r="D96" s="35" t="s">
        <v>401</v>
      </c>
      <c r="E96" s="36">
        <f>E97+E98+E99+E100</f>
        <v>29</v>
      </c>
      <c r="F96" s="36">
        <f t="shared" ref="F96:L96" si="50">F97+F98+F99+F100</f>
        <v>150</v>
      </c>
      <c r="G96" s="36">
        <f t="shared" si="50"/>
        <v>57</v>
      </c>
      <c r="H96" s="36">
        <f t="shared" si="50"/>
        <v>122</v>
      </c>
      <c r="I96" s="36">
        <f t="shared" si="50"/>
        <v>149</v>
      </c>
      <c r="J96" s="36">
        <f t="shared" si="50"/>
        <v>43</v>
      </c>
      <c r="K96" s="36">
        <f t="shared" si="50"/>
        <v>41</v>
      </c>
      <c r="L96" s="36">
        <f t="shared" si="50"/>
        <v>7</v>
      </c>
      <c r="M96" s="36">
        <f t="shared" si="31"/>
        <v>598</v>
      </c>
    </row>
    <row r="97" spans="1:13">
      <c r="A97" s="33" t="s">
        <v>402</v>
      </c>
      <c r="B97" s="56" t="s">
        <v>403</v>
      </c>
      <c r="C97" s="56"/>
      <c r="D97" s="42"/>
      <c r="E97" s="43"/>
      <c r="F97" s="43">
        <v>82</v>
      </c>
      <c r="G97" s="43"/>
      <c r="H97" s="43">
        <v>60</v>
      </c>
      <c r="I97" s="43">
        <v>73</v>
      </c>
      <c r="J97" s="43"/>
      <c r="K97" s="43"/>
      <c r="L97" s="43"/>
      <c r="M97" s="36">
        <f t="shared" si="31"/>
        <v>215</v>
      </c>
    </row>
    <row r="98" spans="1:13">
      <c r="A98" s="33" t="s">
        <v>404</v>
      </c>
      <c r="B98" s="56" t="s">
        <v>405</v>
      </c>
      <c r="C98" s="56"/>
      <c r="D98" s="35"/>
      <c r="E98" s="37"/>
      <c r="F98" s="37">
        <v>68</v>
      </c>
      <c r="G98" s="37"/>
      <c r="H98" s="37">
        <v>62</v>
      </c>
      <c r="I98" s="37">
        <v>76</v>
      </c>
      <c r="J98" s="37"/>
      <c r="K98" s="37"/>
      <c r="L98" s="37"/>
      <c r="M98" s="36">
        <f t="shared" si="31"/>
        <v>206</v>
      </c>
    </row>
    <row r="99" spans="1:13">
      <c r="A99" s="33" t="s">
        <v>406</v>
      </c>
      <c r="B99" s="56" t="s">
        <v>407</v>
      </c>
      <c r="C99" s="56"/>
      <c r="D99" s="42"/>
      <c r="E99" s="43">
        <v>29</v>
      </c>
      <c r="F99" s="43"/>
      <c r="G99" s="43">
        <v>57</v>
      </c>
      <c r="H99" s="43"/>
      <c r="I99" s="43"/>
      <c r="J99" s="43">
        <v>43</v>
      </c>
      <c r="K99" s="43">
        <v>41</v>
      </c>
      <c r="L99" s="43"/>
      <c r="M99" s="36">
        <f t="shared" si="31"/>
        <v>170</v>
      </c>
    </row>
    <row r="100" spans="1:13">
      <c r="A100" s="33" t="s">
        <v>408</v>
      </c>
      <c r="B100" s="56" t="s">
        <v>409</v>
      </c>
      <c r="C100" s="56"/>
      <c r="D100" s="42"/>
      <c r="E100" s="43"/>
      <c r="F100" s="43"/>
      <c r="G100" s="43"/>
      <c r="H100" s="43"/>
      <c r="I100" s="43"/>
      <c r="J100" s="43"/>
      <c r="K100" s="43"/>
      <c r="L100" s="43">
        <v>7</v>
      </c>
      <c r="M100" s="36">
        <f t="shared" si="31"/>
        <v>7</v>
      </c>
    </row>
    <row r="101" spans="1:13" ht="33.75">
      <c r="A101" s="33" t="s">
        <v>410</v>
      </c>
      <c r="B101" s="34" t="s">
        <v>411</v>
      </c>
      <c r="C101" s="34"/>
      <c r="D101" s="35" t="s">
        <v>412</v>
      </c>
      <c r="E101" s="36">
        <f>E102+E103+E104+E105</f>
        <v>287</v>
      </c>
      <c r="F101" s="36">
        <f t="shared" ref="F101:L101" si="51">F102+F103+F104+F105</f>
        <v>1883</v>
      </c>
      <c r="G101" s="36">
        <f t="shared" si="51"/>
        <v>739</v>
      </c>
      <c r="H101" s="36">
        <f t="shared" si="51"/>
        <v>1192</v>
      </c>
      <c r="I101" s="36">
        <f t="shared" si="51"/>
        <v>1915</v>
      </c>
      <c r="J101" s="36">
        <f t="shared" si="51"/>
        <v>412</v>
      </c>
      <c r="K101" s="36">
        <f t="shared" si="51"/>
        <v>408</v>
      </c>
      <c r="L101" s="36">
        <f t="shared" si="51"/>
        <v>0</v>
      </c>
      <c r="M101" s="36">
        <f t="shared" si="31"/>
        <v>6836</v>
      </c>
    </row>
    <row r="102" spans="1:13">
      <c r="A102" s="33" t="s">
        <v>413</v>
      </c>
      <c r="B102" s="56" t="s">
        <v>403</v>
      </c>
      <c r="C102" s="56"/>
      <c r="D102" s="42"/>
      <c r="E102" s="43"/>
      <c r="F102" s="43">
        <v>833</v>
      </c>
      <c r="G102" s="43"/>
      <c r="H102" s="43">
        <v>554</v>
      </c>
      <c r="I102" s="43">
        <v>819</v>
      </c>
      <c r="J102" s="43"/>
      <c r="K102" s="43"/>
      <c r="L102" s="43"/>
      <c r="M102" s="36">
        <f t="shared" si="31"/>
        <v>2206</v>
      </c>
    </row>
    <row r="103" spans="1:13">
      <c r="A103" s="33" t="s">
        <v>414</v>
      </c>
      <c r="B103" s="56" t="s">
        <v>405</v>
      </c>
      <c r="C103" s="56"/>
      <c r="D103" s="35"/>
      <c r="E103" s="37"/>
      <c r="F103" s="37">
        <v>1050</v>
      </c>
      <c r="G103" s="37"/>
      <c r="H103" s="37">
        <v>638</v>
      </c>
      <c r="I103" s="37">
        <v>1096</v>
      </c>
      <c r="J103" s="37"/>
      <c r="K103" s="37"/>
      <c r="L103" s="37"/>
      <c r="M103" s="36">
        <f t="shared" si="31"/>
        <v>2784</v>
      </c>
    </row>
    <row r="104" spans="1:13">
      <c r="A104" s="33" t="s">
        <v>415</v>
      </c>
      <c r="B104" s="56" t="s">
        <v>407</v>
      </c>
      <c r="C104" s="56"/>
      <c r="D104" s="42"/>
      <c r="E104" s="43">
        <v>287</v>
      </c>
      <c r="F104" s="43"/>
      <c r="G104" s="43">
        <v>739</v>
      </c>
      <c r="H104" s="43"/>
      <c r="I104" s="43"/>
      <c r="J104" s="43">
        <v>412</v>
      </c>
      <c r="K104" s="43">
        <v>408</v>
      </c>
      <c r="L104" s="43"/>
      <c r="M104" s="36">
        <f t="shared" si="31"/>
        <v>1846</v>
      </c>
    </row>
    <row r="105" spans="1:13">
      <c r="A105" s="33" t="s">
        <v>416</v>
      </c>
      <c r="B105" s="56" t="s">
        <v>409</v>
      </c>
      <c r="C105" s="56"/>
      <c r="D105" s="42"/>
      <c r="E105" s="43"/>
      <c r="F105" s="43"/>
      <c r="G105" s="43"/>
      <c r="H105" s="43"/>
      <c r="I105" s="43"/>
      <c r="J105" s="43"/>
      <c r="K105" s="43"/>
      <c r="L105" s="43"/>
      <c r="M105" s="36">
        <f t="shared" si="31"/>
        <v>0</v>
      </c>
    </row>
    <row r="106" spans="1:13">
      <c r="A106" s="33" t="s">
        <v>417</v>
      </c>
      <c r="B106" s="34" t="s">
        <v>418</v>
      </c>
      <c r="C106" s="34"/>
      <c r="D106" s="47"/>
      <c r="E106" s="57"/>
      <c r="F106" s="57"/>
      <c r="G106" s="57"/>
      <c r="H106" s="57"/>
      <c r="I106" s="57">
        <v>1</v>
      </c>
      <c r="J106" s="57"/>
      <c r="K106" s="57"/>
      <c r="L106" s="57"/>
      <c r="M106" s="36">
        <f t="shared" si="31"/>
        <v>1</v>
      </c>
    </row>
    <row r="107" spans="1:13">
      <c r="A107" s="33" t="s">
        <v>419</v>
      </c>
      <c r="B107" s="34" t="s">
        <v>420</v>
      </c>
      <c r="C107" s="34"/>
      <c r="D107" s="35"/>
      <c r="E107" s="37">
        <v>9</v>
      </c>
      <c r="F107" s="37">
        <v>167</v>
      </c>
      <c r="G107" s="37">
        <v>13</v>
      </c>
      <c r="H107" s="37">
        <v>84</v>
      </c>
      <c r="I107" s="37">
        <v>123</v>
      </c>
      <c r="J107" s="37">
        <v>2</v>
      </c>
      <c r="K107" s="37">
        <v>15</v>
      </c>
      <c r="L107" s="37">
        <v>5</v>
      </c>
      <c r="M107" s="36">
        <f t="shared" si="31"/>
        <v>418</v>
      </c>
    </row>
    <row r="108" spans="1:13">
      <c r="A108" s="33" t="s">
        <v>421</v>
      </c>
      <c r="B108" s="56" t="s">
        <v>422</v>
      </c>
      <c r="C108" s="56"/>
      <c r="D108" s="47"/>
      <c r="E108" s="37">
        <v>4271.24</v>
      </c>
      <c r="F108" s="37">
        <v>18768.27</v>
      </c>
      <c r="G108" s="37">
        <v>7862.42</v>
      </c>
      <c r="H108" s="37">
        <v>14103</v>
      </c>
      <c r="I108" s="37">
        <v>16494</v>
      </c>
      <c r="J108" s="37">
        <v>10802.3</v>
      </c>
      <c r="K108" s="37">
        <v>6516.27</v>
      </c>
      <c r="L108" s="37">
        <v>2216</v>
      </c>
      <c r="M108" s="36">
        <f t="shared" si="31"/>
        <v>81033.5</v>
      </c>
    </row>
    <row r="109" spans="1:13">
      <c r="A109" s="33" t="s">
        <v>423</v>
      </c>
      <c r="B109" s="56" t="s">
        <v>424</v>
      </c>
      <c r="C109" s="56"/>
      <c r="D109" s="47"/>
      <c r="E109" s="37">
        <v>2987.3</v>
      </c>
      <c r="F109" s="37">
        <v>18000</v>
      </c>
      <c r="G109" s="37">
        <v>4137.5</v>
      </c>
      <c r="H109" s="37">
        <v>12000</v>
      </c>
      <c r="I109" s="37">
        <v>9800</v>
      </c>
      <c r="J109" s="37">
        <v>6259.2</v>
      </c>
      <c r="K109" s="37">
        <v>4700</v>
      </c>
      <c r="L109" s="37">
        <v>6252</v>
      </c>
      <c r="M109" s="36">
        <f t="shared" si="31"/>
        <v>64136</v>
      </c>
    </row>
  </sheetData>
  <protectedRanges>
    <protectedRange password="E9C1" sqref="B31:D109 A4:D12 A2:M3 B13:D28 A13:A109 M4:M109" name="区域1_1_2"/>
    <protectedRange password="E9C1" sqref="B29:C30" name="区域1_1_1_1"/>
    <protectedRange password="E9C1" sqref="D29" name="区域1_3"/>
    <protectedRange password="E9C1" sqref="D30" name="区域1_2_1"/>
  </protectedRanges>
  <mergeCells count="1">
    <mergeCell ref="A1:M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3"/>
  <sheetViews>
    <sheetView workbookViewId="0">
      <pane xSplit="4" ySplit="2" topLeftCell="Q3" activePane="bottomRight" state="frozen"/>
      <selection pane="topRight" activeCell="E1" sqref="E1"/>
      <selection pane="bottomLeft" activeCell="A3" sqref="A3"/>
      <selection pane="bottomRight" activeCell="S3" sqref="S3:S109"/>
    </sheetView>
  </sheetViews>
  <sheetFormatPr defaultColWidth="15.625" defaultRowHeight="11.25"/>
  <cols>
    <col min="1" max="1" width="4.625" style="30" customWidth="1"/>
    <col min="2" max="2" width="29.25" style="30" customWidth="1"/>
    <col min="3" max="3" width="13" style="30" customWidth="1"/>
    <col min="4" max="4" width="20" style="58" customWidth="1"/>
    <col min="5" max="18" width="15.625" style="30"/>
    <col min="19" max="19" width="14.75" style="30" customWidth="1"/>
    <col min="20" max="256" width="15.625" style="30"/>
    <col min="257" max="257" width="4.625" style="30" customWidth="1"/>
    <col min="258" max="258" width="29.25" style="30" customWidth="1"/>
    <col min="259" max="259" width="13" style="30" customWidth="1"/>
    <col min="260" max="260" width="20" style="30" customWidth="1"/>
    <col min="261" max="274" width="15.625" style="30"/>
    <col min="275" max="275" width="14.75" style="30" customWidth="1"/>
    <col min="276" max="512" width="15.625" style="30"/>
    <col min="513" max="513" width="4.625" style="30" customWidth="1"/>
    <col min="514" max="514" width="29.25" style="30" customWidth="1"/>
    <col min="515" max="515" width="13" style="30" customWidth="1"/>
    <col min="516" max="516" width="20" style="30" customWidth="1"/>
    <col min="517" max="530" width="15.625" style="30"/>
    <col min="531" max="531" width="14.75" style="30" customWidth="1"/>
    <col min="532" max="768" width="15.625" style="30"/>
    <col min="769" max="769" width="4.625" style="30" customWidth="1"/>
    <col min="770" max="770" width="29.25" style="30" customWidth="1"/>
    <col min="771" max="771" width="13" style="30" customWidth="1"/>
    <col min="772" max="772" width="20" style="30" customWidth="1"/>
    <col min="773" max="786" width="15.625" style="30"/>
    <col min="787" max="787" width="14.75" style="30" customWidth="1"/>
    <col min="788" max="1024" width="15.625" style="30"/>
    <col min="1025" max="1025" width="4.625" style="30" customWidth="1"/>
    <col min="1026" max="1026" width="29.25" style="30" customWidth="1"/>
    <col min="1027" max="1027" width="13" style="30" customWidth="1"/>
    <col min="1028" max="1028" width="20" style="30" customWidth="1"/>
    <col min="1029" max="1042" width="15.625" style="30"/>
    <col min="1043" max="1043" width="14.75" style="30" customWidth="1"/>
    <col min="1044" max="1280" width="15.625" style="30"/>
    <col min="1281" max="1281" width="4.625" style="30" customWidth="1"/>
    <col min="1282" max="1282" width="29.25" style="30" customWidth="1"/>
    <col min="1283" max="1283" width="13" style="30" customWidth="1"/>
    <col min="1284" max="1284" width="20" style="30" customWidth="1"/>
    <col min="1285" max="1298" width="15.625" style="30"/>
    <col min="1299" max="1299" width="14.75" style="30" customWidth="1"/>
    <col min="1300" max="1536" width="15.625" style="30"/>
    <col min="1537" max="1537" width="4.625" style="30" customWidth="1"/>
    <col min="1538" max="1538" width="29.25" style="30" customWidth="1"/>
    <col min="1539" max="1539" width="13" style="30" customWidth="1"/>
    <col min="1540" max="1540" width="20" style="30" customWidth="1"/>
    <col min="1541" max="1554" width="15.625" style="30"/>
    <col min="1555" max="1555" width="14.75" style="30" customWidth="1"/>
    <col min="1556" max="1792" width="15.625" style="30"/>
    <col min="1793" max="1793" width="4.625" style="30" customWidth="1"/>
    <col min="1794" max="1794" width="29.25" style="30" customWidth="1"/>
    <col min="1795" max="1795" width="13" style="30" customWidth="1"/>
    <col min="1796" max="1796" width="20" style="30" customWidth="1"/>
    <col min="1797" max="1810" width="15.625" style="30"/>
    <col min="1811" max="1811" width="14.75" style="30" customWidth="1"/>
    <col min="1812" max="2048" width="15.625" style="30"/>
    <col min="2049" max="2049" width="4.625" style="30" customWidth="1"/>
    <col min="2050" max="2050" width="29.25" style="30" customWidth="1"/>
    <col min="2051" max="2051" width="13" style="30" customWidth="1"/>
    <col min="2052" max="2052" width="20" style="30" customWidth="1"/>
    <col min="2053" max="2066" width="15.625" style="30"/>
    <col min="2067" max="2067" width="14.75" style="30" customWidth="1"/>
    <col min="2068" max="2304" width="15.625" style="30"/>
    <col min="2305" max="2305" width="4.625" style="30" customWidth="1"/>
    <col min="2306" max="2306" width="29.25" style="30" customWidth="1"/>
    <col min="2307" max="2307" width="13" style="30" customWidth="1"/>
    <col min="2308" max="2308" width="20" style="30" customWidth="1"/>
    <col min="2309" max="2322" width="15.625" style="30"/>
    <col min="2323" max="2323" width="14.75" style="30" customWidth="1"/>
    <col min="2324" max="2560" width="15.625" style="30"/>
    <col min="2561" max="2561" width="4.625" style="30" customWidth="1"/>
    <col min="2562" max="2562" width="29.25" style="30" customWidth="1"/>
    <col min="2563" max="2563" width="13" style="30" customWidth="1"/>
    <col min="2564" max="2564" width="20" style="30" customWidth="1"/>
    <col min="2565" max="2578" width="15.625" style="30"/>
    <col min="2579" max="2579" width="14.75" style="30" customWidth="1"/>
    <col min="2580" max="2816" width="15.625" style="30"/>
    <col min="2817" max="2817" width="4.625" style="30" customWidth="1"/>
    <col min="2818" max="2818" width="29.25" style="30" customWidth="1"/>
    <col min="2819" max="2819" width="13" style="30" customWidth="1"/>
    <col min="2820" max="2820" width="20" style="30" customWidth="1"/>
    <col min="2821" max="2834" width="15.625" style="30"/>
    <col min="2835" max="2835" width="14.75" style="30" customWidth="1"/>
    <col min="2836" max="3072" width="15.625" style="30"/>
    <col min="3073" max="3073" width="4.625" style="30" customWidth="1"/>
    <col min="3074" max="3074" width="29.25" style="30" customWidth="1"/>
    <col min="3075" max="3075" width="13" style="30" customWidth="1"/>
    <col min="3076" max="3076" width="20" style="30" customWidth="1"/>
    <col min="3077" max="3090" width="15.625" style="30"/>
    <col min="3091" max="3091" width="14.75" style="30" customWidth="1"/>
    <col min="3092" max="3328" width="15.625" style="30"/>
    <col min="3329" max="3329" width="4.625" style="30" customWidth="1"/>
    <col min="3330" max="3330" width="29.25" style="30" customWidth="1"/>
    <col min="3331" max="3331" width="13" style="30" customWidth="1"/>
    <col min="3332" max="3332" width="20" style="30" customWidth="1"/>
    <col min="3333" max="3346" width="15.625" style="30"/>
    <col min="3347" max="3347" width="14.75" style="30" customWidth="1"/>
    <col min="3348" max="3584" width="15.625" style="30"/>
    <col min="3585" max="3585" width="4.625" style="30" customWidth="1"/>
    <col min="3586" max="3586" width="29.25" style="30" customWidth="1"/>
    <col min="3587" max="3587" width="13" style="30" customWidth="1"/>
    <col min="3588" max="3588" width="20" style="30" customWidth="1"/>
    <col min="3589" max="3602" width="15.625" style="30"/>
    <col min="3603" max="3603" width="14.75" style="30" customWidth="1"/>
    <col min="3604" max="3840" width="15.625" style="30"/>
    <col min="3841" max="3841" width="4.625" style="30" customWidth="1"/>
    <col min="3842" max="3842" width="29.25" style="30" customWidth="1"/>
    <col min="3843" max="3843" width="13" style="30" customWidth="1"/>
    <col min="3844" max="3844" width="20" style="30" customWidth="1"/>
    <col min="3845" max="3858" width="15.625" style="30"/>
    <col min="3859" max="3859" width="14.75" style="30" customWidth="1"/>
    <col min="3860" max="4096" width="15.625" style="30"/>
    <col min="4097" max="4097" width="4.625" style="30" customWidth="1"/>
    <col min="4098" max="4098" width="29.25" style="30" customWidth="1"/>
    <col min="4099" max="4099" width="13" style="30" customWidth="1"/>
    <col min="4100" max="4100" width="20" style="30" customWidth="1"/>
    <col min="4101" max="4114" width="15.625" style="30"/>
    <col min="4115" max="4115" width="14.75" style="30" customWidth="1"/>
    <col min="4116" max="4352" width="15.625" style="30"/>
    <col min="4353" max="4353" width="4.625" style="30" customWidth="1"/>
    <col min="4354" max="4354" width="29.25" style="30" customWidth="1"/>
    <col min="4355" max="4355" width="13" style="30" customWidth="1"/>
    <col min="4356" max="4356" width="20" style="30" customWidth="1"/>
    <col min="4357" max="4370" width="15.625" style="30"/>
    <col min="4371" max="4371" width="14.75" style="30" customWidth="1"/>
    <col min="4372" max="4608" width="15.625" style="30"/>
    <col min="4609" max="4609" width="4.625" style="30" customWidth="1"/>
    <col min="4610" max="4610" width="29.25" style="30" customWidth="1"/>
    <col min="4611" max="4611" width="13" style="30" customWidth="1"/>
    <col min="4612" max="4612" width="20" style="30" customWidth="1"/>
    <col min="4613" max="4626" width="15.625" style="30"/>
    <col min="4627" max="4627" width="14.75" style="30" customWidth="1"/>
    <col min="4628" max="4864" width="15.625" style="30"/>
    <col min="4865" max="4865" width="4.625" style="30" customWidth="1"/>
    <col min="4866" max="4866" width="29.25" style="30" customWidth="1"/>
    <col min="4867" max="4867" width="13" style="30" customWidth="1"/>
    <col min="4868" max="4868" width="20" style="30" customWidth="1"/>
    <col min="4869" max="4882" width="15.625" style="30"/>
    <col min="4883" max="4883" width="14.75" style="30" customWidth="1"/>
    <col min="4884" max="5120" width="15.625" style="30"/>
    <col min="5121" max="5121" width="4.625" style="30" customWidth="1"/>
    <col min="5122" max="5122" width="29.25" style="30" customWidth="1"/>
    <col min="5123" max="5123" width="13" style="30" customWidth="1"/>
    <col min="5124" max="5124" width="20" style="30" customWidth="1"/>
    <col min="5125" max="5138" width="15.625" style="30"/>
    <col min="5139" max="5139" width="14.75" style="30" customWidth="1"/>
    <col min="5140" max="5376" width="15.625" style="30"/>
    <col min="5377" max="5377" width="4.625" style="30" customWidth="1"/>
    <col min="5378" max="5378" width="29.25" style="30" customWidth="1"/>
    <col min="5379" max="5379" width="13" style="30" customWidth="1"/>
    <col min="5380" max="5380" width="20" style="30" customWidth="1"/>
    <col min="5381" max="5394" width="15.625" style="30"/>
    <col min="5395" max="5395" width="14.75" style="30" customWidth="1"/>
    <col min="5396" max="5632" width="15.625" style="30"/>
    <col min="5633" max="5633" width="4.625" style="30" customWidth="1"/>
    <col min="5634" max="5634" width="29.25" style="30" customWidth="1"/>
    <col min="5635" max="5635" width="13" style="30" customWidth="1"/>
    <col min="5636" max="5636" width="20" style="30" customWidth="1"/>
    <col min="5637" max="5650" width="15.625" style="30"/>
    <col min="5651" max="5651" width="14.75" style="30" customWidth="1"/>
    <col min="5652" max="5888" width="15.625" style="30"/>
    <col min="5889" max="5889" width="4.625" style="30" customWidth="1"/>
    <col min="5890" max="5890" width="29.25" style="30" customWidth="1"/>
    <col min="5891" max="5891" width="13" style="30" customWidth="1"/>
    <col min="5892" max="5892" width="20" style="30" customWidth="1"/>
    <col min="5893" max="5906" width="15.625" style="30"/>
    <col min="5907" max="5907" width="14.75" style="30" customWidth="1"/>
    <col min="5908" max="6144" width="15.625" style="30"/>
    <col min="6145" max="6145" width="4.625" style="30" customWidth="1"/>
    <col min="6146" max="6146" width="29.25" style="30" customWidth="1"/>
    <col min="6147" max="6147" width="13" style="30" customWidth="1"/>
    <col min="6148" max="6148" width="20" style="30" customWidth="1"/>
    <col min="6149" max="6162" width="15.625" style="30"/>
    <col min="6163" max="6163" width="14.75" style="30" customWidth="1"/>
    <col min="6164" max="6400" width="15.625" style="30"/>
    <col min="6401" max="6401" width="4.625" style="30" customWidth="1"/>
    <col min="6402" max="6402" width="29.25" style="30" customWidth="1"/>
    <col min="6403" max="6403" width="13" style="30" customWidth="1"/>
    <col min="6404" max="6404" width="20" style="30" customWidth="1"/>
    <col min="6405" max="6418" width="15.625" style="30"/>
    <col min="6419" max="6419" width="14.75" style="30" customWidth="1"/>
    <col min="6420" max="6656" width="15.625" style="30"/>
    <col min="6657" max="6657" width="4.625" style="30" customWidth="1"/>
    <col min="6658" max="6658" width="29.25" style="30" customWidth="1"/>
    <col min="6659" max="6659" width="13" style="30" customWidth="1"/>
    <col min="6660" max="6660" width="20" style="30" customWidth="1"/>
    <col min="6661" max="6674" width="15.625" style="30"/>
    <col min="6675" max="6675" width="14.75" style="30" customWidth="1"/>
    <col min="6676" max="6912" width="15.625" style="30"/>
    <col min="6913" max="6913" width="4.625" style="30" customWidth="1"/>
    <col min="6914" max="6914" width="29.25" style="30" customWidth="1"/>
    <col min="6915" max="6915" width="13" style="30" customWidth="1"/>
    <col min="6916" max="6916" width="20" style="30" customWidth="1"/>
    <col min="6917" max="6930" width="15.625" style="30"/>
    <col min="6931" max="6931" width="14.75" style="30" customWidth="1"/>
    <col min="6932" max="7168" width="15.625" style="30"/>
    <col min="7169" max="7169" width="4.625" style="30" customWidth="1"/>
    <col min="7170" max="7170" width="29.25" style="30" customWidth="1"/>
    <col min="7171" max="7171" width="13" style="30" customWidth="1"/>
    <col min="7172" max="7172" width="20" style="30" customWidth="1"/>
    <col min="7173" max="7186" width="15.625" style="30"/>
    <col min="7187" max="7187" width="14.75" style="30" customWidth="1"/>
    <col min="7188" max="7424" width="15.625" style="30"/>
    <col min="7425" max="7425" width="4.625" style="30" customWidth="1"/>
    <col min="7426" max="7426" width="29.25" style="30" customWidth="1"/>
    <col min="7427" max="7427" width="13" style="30" customWidth="1"/>
    <col min="7428" max="7428" width="20" style="30" customWidth="1"/>
    <col min="7429" max="7442" width="15.625" style="30"/>
    <col min="7443" max="7443" width="14.75" style="30" customWidth="1"/>
    <col min="7444" max="7680" width="15.625" style="30"/>
    <col min="7681" max="7681" width="4.625" style="30" customWidth="1"/>
    <col min="7682" max="7682" width="29.25" style="30" customWidth="1"/>
    <col min="7683" max="7683" width="13" style="30" customWidth="1"/>
    <col min="7684" max="7684" width="20" style="30" customWidth="1"/>
    <col min="7685" max="7698" width="15.625" style="30"/>
    <col min="7699" max="7699" width="14.75" style="30" customWidth="1"/>
    <col min="7700" max="7936" width="15.625" style="30"/>
    <col min="7937" max="7937" width="4.625" style="30" customWidth="1"/>
    <col min="7938" max="7938" width="29.25" style="30" customWidth="1"/>
    <col min="7939" max="7939" width="13" style="30" customWidth="1"/>
    <col min="7940" max="7940" width="20" style="30" customWidth="1"/>
    <col min="7941" max="7954" width="15.625" style="30"/>
    <col min="7955" max="7955" width="14.75" style="30" customWidth="1"/>
    <col min="7956" max="8192" width="15.625" style="30"/>
    <col min="8193" max="8193" width="4.625" style="30" customWidth="1"/>
    <col min="8194" max="8194" width="29.25" style="30" customWidth="1"/>
    <col min="8195" max="8195" width="13" style="30" customWidth="1"/>
    <col min="8196" max="8196" width="20" style="30" customWidth="1"/>
    <col min="8197" max="8210" width="15.625" style="30"/>
    <col min="8211" max="8211" width="14.75" style="30" customWidth="1"/>
    <col min="8212" max="8448" width="15.625" style="30"/>
    <col min="8449" max="8449" width="4.625" style="30" customWidth="1"/>
    <col min="8450" max="8450" width="29.25" style="30" customWidth="1"/>
    <col min="8451" max="8451" width="13" style="30" customWidth="1"/>
    <col min="8452" max="8452" width="20" style="30" customWidth="1"/>
    <col min="8453" max="8466" width="15.625" style="30"/>
    <col min="8467" max="8467" width="14.75" style="30" customWidth="1"/>
    <col min="8468" max="8704" width="15.625" style="30"/>
    <col min="8705" max="8705" width="4.625" style="30" customWidth="1"/>
    <col min="8706" max="8706" width="29.25" style="30" customWidth="1"/>
    <col min="8707" max="8707" width="13" style="30" customWidth="1"/>
    <col min="8708" max="8708" width="20" style="30" customWidth="1"/>
    <col min="8709" max="8722" width="15.625" style="30"/>
    <col min="8723" max="8723" width="14.75" style="30" customWidth="1"/>
    <col min="8724" max="8960" width="15.625" style="30"/>
    <col min="8961" max="8961" width="4.625" style="30" customWidth="1"/>
    <col min="8962" max="8962" width="29.25" style="30" customWidth="1"/>
    <col min="8963" max="8963" width="13" style="30" customWidth="1"/>
    <col min="8964" max="8964" width="20" style="30" customWidth="1"/>
    <col min="8965" max="8978" width="15.625" style="30"/>
    <col min="8979" max="8979" width="14.75" style="30" customWidth="1"/>
    <col min="8980" max="9216" width="15.625" style="30"/>
    <col min="9217" max="9217" width="4.625" style="30" customWidth="1"/>
    <col min="9218" max="9218" width="29.25" style="30" customWidth="1"/>
    <col min="9219" max="9219" width="13" style="30" customWidth="1"/>
    <col min="9220" max="9220" width="20" style="30" customWidth="1"/>
    <col min="9221" max="9234" width="15.625" style="30"/>
    <col min="9235" max="9235" width="14.75" style="30" customWidth="1"/>
    <col min="9236" max="9472" width="15.625" style="30"/>
    <col min="9473" max="9473" width="4.625" style="30" customWidth="1"/>
    <col min="9474" max="9474" width="29.25" style="30" customWidth="1"/>
    <col min="9475" max="9475" width="13" style="30" customWidth="1"/>
    <col min="9476" max="9476" width="20" style="30" customWidth="1"/>
    <col min="9477" max="9490" width="15.625" style="30"/>
    <col min="9491" max="9491" width="14.75" style="30" customWidth="1"/>
    <col min="9492" max="9728" width="15.625" style="30"/>
    <col min="9729" max="9729" width="4.625" style="30" customWidth="1"/>
    <col min="9730" max="9730" width="29.25" style="30" customWidth="1"/>
    <col min="9731" max="9731" width="13" style="30" customWidth="1"/>
    <col min="9732" max="9732" width="20" style="30" customWidth="1"/>
    <col min="9733" max="9746" width="15.625" style="30"/>
    <col min="9747" max="9747" width="14.75" style="30" customWidth="1"/>
    <col min="9748" max="9984" width="15.625" style="30"/>
    <col min="9985" max="9985" width="4.625" style="30" customWidth="1"/>
    <col min="9986" max="9986" width="29.25" style="30" customWidth="1"/>
    <col min="9987" max="9987" width="13" style="30" customWidth="1"/>
    <col min="9988" max="9988" width="20" style="30" customWidth="1"/>
    <col min="9989" max="10002" width="15.625" style="30"/>
    <col min="10003" max="10003" width="14.75" style="30" customWidth="1"/>
    <col min="10004" max="10240" width="15.625" style="30"/>
    <col min="10241" max="10241" width="4.625" style="30" customWidth="1"/>
    <col min="10242" max="10242" width="29.25" style="30" customWidth="1"/>
    <col min="10243" max="10243" width="13" style="30" customWidth="1"/>
    <col min="10244" max="10244" width="20" style="30" customWidth="1"/>
    <col min="10245" max="10258" width="15.625" style="30"/>
    <col min="10259" max="10259" width="14.75" style="30" customWidth="1"/>
    <col min="10260" max="10496" width="15.625" style="30"/>
    <col min="10497" max="10497" width="4.625" style="30" customWidth="1"/>
    <col min="10498" max="10498" width="29.25" style="30" customWidth="1"/>
    <col min="10499" max="10499" width="13" style="30" customWidth="1"/>
    <col min="10500" max="10500" width="20" style="30" customWidth="1"/>
    <col min="10501" max="10514" width="15.625" style="30"/>
    <col min="10515" max="10515" width="14.75" style="30" customWidth="1"/>
    <col min="10516" max="10752" width="15.625" style="30"/>
    <col min="10753" max="10753" width="4.625" style="30" customWidth="1"/>
    <col min="10754" max="10754" width="29.25" style="30" customWidth="1"/>
    <col min="10755" max="10755" width="13" style="30" customWidth="1"/>
    <col min="10756" max="10756" width="20" style="30" customWidth="1"/>
    <col min="10757" max="10770" width="15.625" style="30"/>
    <col min="10771" max="10771" width="14.75" style="30" customWidth="1"/>
    <col min="10772" max="11008" width="15.625" style="30"/>
    <col min="11009" max="11009" width="4.625" style="30" customWidth="1"/>
    <col min="11010" max="11010" width="29.25" style="30" customWidth="1"/>
    <col min="11011" max="11011" width="13" style="30" customWidth="1"/>
    <col min="11012" max="11012" width="20" style="30" customWidth="1"/>
    <col min="11013" max="11026" width="15.625" style="30"/>
    <col min="11027" max="11027" width="14.75" style="30" customWidth="1"/>
    <col min="11028" max="11264" width="15.625" style="30"/>
    <col min="11265" max="11265" width="4.625" style="30" customWidth="1"/>
    <col min="11266" max="11266" width="29.25" style="30" customWidth="1"/>
    <col min="11267" max="11267" width="13" style="30" customWidth="1"/>
    <col min="11268" max="11268" width="20" style="30" customWidth="1"/>
    <col min="11269" max="11282" width="15.625" style="30"/>
    <col min="11283" max="11283" width="14.75" style="30" customWidth="1"/>
    <col min="11284" max="11520" width="15.625" style="30"/>
    <col min="11521" max="11521" width="4.625" style="30" customWidth="1"/>
    <col min="11522" max="11522" width="29.25" style="30" customWidth="1"/>
    <col min="11523" max="11523" width="13" style="30" customWidth="1"/>
    <col min="11524" max="11524" width="20" style="30" customWidth="1"/>
    <col min="11525" max="11538" width="15.625" style="30"/>
    <col min="11539" max="11539" width="14.75" style="30" customWidth="1"/>
    <col min="11540" max="11776" width="15.625" style="30"/>
    <col min="11777" max="11777" width="4.625" style="30" customWidth="1"/>
    <col min="11778" max="11778" width="29.25" style="30" customWidth="1"/>
    <col min="11779" max="11779" width="13" style="30" customWidth="1"/>
    <col min="11780" max="11780" width="20" style="30" customWidth="1"/>
    <col min="11781" max="11794" width="15.625" style="30"/>
    <col min="11795" max="11795" width="14.75" style="30" customWidth="1"/>
    <col min="11796" max="12032" width="15.625" style="30"/>
    <col min="12033" max="12033" width="4.625" style="30" customWidth="1"/>
    <col min="12034" max="12034" width="29.25" style="30" customWidth="1"/>
    <col min="12035" max="12035" width="13" style="30" customWidth="1"/>
    <col min="12036" max="12036" width="20" style="30" customWidth="1"/>
    <col min="12037" max="12050" width="15.625" style="30"/>
    <col min="12051" max="12051" width="14.75" style="30" customWidth="1"/>
    <col min="12052" max="12288" width="15.625" style="30"/>
    <col min="12289" max="12289" width="4.625" style="30" customWidth="1"/>
    <col min="12290" max="12290" width="29.25" style="30" customWidth="1"/>
    <col min="12291" max="12291" width="13" style="30" customWidth="1"/>
    <col min="12292" max="12292" width="20" style="30" customWidth="1"/>
    <col min="12293" max="12306" width="15.625" style="30"/>
    <col min="12307" max="12307" width="14.75" style="30" customWidth="1"/>
    <col min="12308" max="12544" width="15.625" style="30"/>
    <col min="12545" max="12545" width="4.625" style="30" customWidth="1"/>
    <col min="12546" max="12546" width="29.25" style="30" customWidth="1"/>
    <col min="12547" max="12547" width="13" style="30" customWidth="1"/>
    <col min="12548" max="12548" width="20" style="30" customWidth="1"/>
    <col min="12549" max="12562" width="15.625" style="30"/>
    <col min="12563" max="12563" width="14.75" style="30" customWidth="1"/>
    <col min="12564" max="12800" width="15.625" style="30"/>
    <col min="12801" max="12801" width="4.625" style="30" customWidth="1"/>
    <col min="12802" max="12802" width="29.25" style="30" customWidth="1"/>
    <col min="12803" max="12803" width="13" style="30" customWidth="1"/>
    <col min="12804" max="12804" width="20" style="30" customWidth="1"/>
    <col min="12805" max="12818" width="15.625" style="30"/>
    <col min="12819" max="12819" width="14.75" style="30" customWidth="1"/>
    <col min="12820" max="13056" width="15.625" style="30"/>
    <col min="13057" max="13057" width="4.625" style="30" customWidth="1"/>
    <col min="13058" max="13058" width="29.25" style="30" customWidth="1"/>
    <col min="13059" max="13059" width="13" style="30" customWidth="1"/>
    <col min="13060" max="13060" width="20" style="30" customWidth="1"/>
    <col min="13061" max="13074" width="15.625" style="30"/>
    <col min="13075" max="13075" width="14.75" style="30" customWidth="1"/>
    <col min="13076" max="13312" width="15.625" style="30"/>
    <col min="13313" max="13313" width="4.625" style="30" customWidth="1"/>
    <col min="13314" max="13314" width="29.25" style="30" customWidth="1"/>
    <col min="13315" max="13315" width="13" style="30" customWidth="1"/>
    <col min="13316" max="13316" width="20" style="30" customWidth="1"/>
    <col min="13317" max="13330" width="15.625" style="30"/>
    <col min="13331" max="13331" width="14.75" style="30" customWidth="1"/>
    <col min="13332" max="13568" width="15.625" style="30"/>
    <col min="13569" max="13569" width="4.625" style="30" customWidth="1"/>
    <col min="13570" max="13570" width="29.25" style="30" customWidth="1"/>
    <col min="13571" max="13571" width="13" style="30" customWidth="1"/>
    <col min="13572" max="13572" width="20" style="30" customWidth="1"/>
    <col min="13573" max="13586" width="15.625" style="30"/>
    <col min="13587" max="13587" width="14.75" style="30" customWidth="1"/>
    <col min="13588" max="13824" width="15.625" style="30"/>
    <col min="13825" max="13825" width="4.625" style="30" customWidth="1"/>
    <col min="13826" max="13826" width="29.25" style="30" customWidth="1"/>
    <col min="13827" max="13827" width="13" style="30" customWidth="1"/>
    <col min="13828" max="13828" width="20" style="30" customWidth="1"/>
    <col min="13829" max="13842" width="15.625" style="30"/>
    <col min="13843" max="13843" width="14.75" style="30" customWidth="1"/>
    <col min="13844" max="14080" width="15.625" style="30"/>
    <col min="14081" max="14081" width="4.625" style="30" customWidth="1"/>
    <col min="14082" max="14082" width="29.25" style="30" customWidth="1"/>
    <col min="14083" max="14083" width="13" style="30" customWidth="1"/>
    <col min="14084" max="14084" width="20" style="30" customWidth="1"/>
    <col min="14085" max="14098" width="15.625" style="30"/>
    <col min="14099" max="14099" width="14.75" style="30" customWidth="1"/>
    <col min="14100" max="14336" width="15.625" style="30"/>
    <col min="14337" max="14337" width="4.625" style="30" customWidth="1"/>
    <col min="14338" max="14338" width="29.25" style="30" customWidth="1"/>
    <col min="14339" max="14339" width="13" style="30" customWidth="1"/>
    <col min="14340" max="14340" width="20" style="30" customWidth="1"/>
    <col min="14341" max="14354" width="15.625" style="30"/>
    <col min="14355" max="14355" width="14.75" style="30" customWidth="1"/>
    <col min="14356" max="14592" width="15.625" style="30"/>
    <col min="14593" max="14593" width="4.625" style="30" customWidth="1"/>
    <col min="14594" max="14594" width="29.25" style="30" customWidth="1"/>
    <col min="14595" max="14595" width="13" style="30" customWidth="1"/>
    <col min="14596" max="14596" width="20" style="30" customWidth="1"/>
    <col min="14597" max="14610" width="15.625" style="30"/>
    <col min="14611" max="14611" width="14.75" style="30" customWidth="1"/>
    <col min="14612" max="14848" width="15.625" style="30"/>
    <col min="14849" max="14849" width="4.625" style="30" customWidth="1"/>
    <col min="14850" max="14850" width="29.25" style="30" customWidth="1"/>
    <col min="14851" max="14851" width="13" style="30" customWidth="1"/>
    <col min="14852" max="14852" width="20" style="30" customWidth="1"/>
    <col min="14853" max="14866" width="15.625" style="30"/>
    <col min="14867" max="14867" width="14.75" style="30" customWidth="1"/>
    <col min="14868" max="15104" width="15.625" style="30"/>
    <col min="15105" max="15105" width="4.625" style="30" customWidth="1"/>
    <col min="15106" max="15106" width="29.25" style="30" customWidth="1"/>
    <col min="15107" max="15107" width="13" style="30" customWidth="1"/>
    <col min="15108" max="15108" width="20" style="30" customWidth="1"/>
    <col min="15109" max="15122" width="15.625" style="30"/>
    <col min="15123" max="15123" width="14.75" style="30" customWidth="1"/>
    <col min="15124" max="15360" width="15.625" style="30"/>
    <col min="15361" max="15361" width="4.625" style="30" customWidth="1"/>
    <col min="15362" max="15362" width="29.25" style="30" customWidth="1"/>
    <col min="15363" max="15363" width="13" style="30" customWidth="1"/>
    <col min="15364" max="15364" width="20" style="30" customWidth="1"/>
    <col min="15365" max="15378" width="15.625" style="30"/>
    <col min="15379" max="15379" width="14.75" style="30" customWidth="1"/>
    <col min="15380" max="15616" width="15.625" style="30"/>
    <col min="15617" max="15617" width="4.625" style="30" customWidth="1"/>
    <col min="15618" max="15618" width="29.25" style="30" customWidth="1"/>
    <col min="15619" max="15619" width="13" style="30" customWidth="1"/>
    <col min="15620" max="15620" width="20" style="30" customWidth="1"/>
    <col min="15621" max="15634" width="15.625" style="30"/>
    <col min="15635" max="15635" width="14.75" style="30" customWidth="1"/>
    <col min="15636" max="15872" width="15.625" style="30"/>
    <col min="15873" max="15873" width="4.625" style="30" customWidth="1"/>
    <col min="15874" max="15874" width="29.25" style="30" customWidth="1"/>
    <col min="15875" max="15875" width="13" style="30" customWidth="1"/>
    <col min="15876" max="15876" width="20" style="30" customWidth="1"/>
    <col min="15877" max="15890" width="15.625" style="30"/>
    <col min="15891" max="15891" width="14.75" style="30" customWidth="1"/>
    <col min="15892" max="16128" width="15.625" style="30"/>
    <col min="16129" max="16129" width="4.625" style="30" customWidth="1"/>
    <col min="16130" max="16130" width="29.25" style="30" customWidth="1"/>
    <col min="16131" max="16131" width="13" style="30" customWidth="1"/>
    <col min="16132" max="16132" width="20" style="30" customWidth="1"/>
    <col min="16133" max="16146" width="15.625" style="30"/>
    <col min="16147" max="16147" width="14.75" style="30" customWidth="1"/>
    <col min="16148" max="16384" width="15.625" style="30"/>
  </cols>
  <sheetData>
    <row r="1" spans="1:19" ht="25.5">
      <c r="A1" s="1332" t="s">
        <v>179</v>
      </c>
      <c r="B1" s="1333"/>
      <c r="C1" s="1333"/>
      <c r="D1" s="1333"/>
      <c r="E1" s="1333"/>
      <c r="F1" s="1333"/>
      <c r="G1" s="1333"/>
      <c r="H1" s="1333"/>
      <c r="I1" s="1333"/>
      <c r="J1" s="1333"/>
      <c r="K1" s="1333"/>
      <c r="L1" s="1333"/>
      <c r="M1" s="1333"/>
      <c r="N1" s="1333"/>
      <c r="O1" s="1333"/>
      <c r="P1" s="1333"/>
      <c r="Q1" s="1333"/>
      <c r="R1" s="1333"/>
      <c r="S1" s="1333"/>
    </row>
    <row r="2" spans="1:19" ht="30" customHeight="1">
      <c r="A2" s="31" t="s">
        <v>0</v>
      </c>
      <c r="B2" s="31" t="s">
        <v>180</v>
      </c>
      <c r="C2" s="31" t="s">
        <v>181</v>
      </c>
      <c r="D2" s="32" t="s">
        <v>182</v>
      </c>
      <c r="E2" s="32" t="s">
        <v>104</v>
      </c>
      <c r="F2" s="32" t="s">
        <v>105</v>
      </c>
      <c r="G2" s="32" t="s">
        <v>107</v>
      </c>
      <c r="H2" s="32" t="s">
        <v>109</v>
      </c>
      <c r="I2" s="32" t="s">
        <v>108</v>
      </c>
      <c r="J2" s="32" t="s">
        <v>465</v>
      </c>
      <c r="K2" s="32" t="s">
        <v>466</v>
      </c>
      <c r="L2" s="32" t="s">
        <v>467</v>
      </c>
      <c r="M2" s="32" t="s">
        <v>113</v>
      </c>
      <c r="N2" s="32" t="s">
        <v>468</v>
      </c>
      <c r="O2" s="32" t="s">
        <v>469</v>
      </c>
      <c r="P2" s="32" t="s">
        <v>429</v>
      </c>
      <c r="Q2" s="32" t="s">
        <v>470</v>
      </c>
      <c r="R2" s="32" t="s">
        <v>471</v>
      </c>
      <c r="S2" s="32" t="s">
        <v>25</v>
      </c>
    </row>
    <row r="3" spans="1:19">
      <c r="A3" s="33" t="s">
        <v>183</v>
      </c>
      <c r="B3" s="34" t="s">
        <v>184</v>
      </c>
      <c r="C3" s="34"/>
      <c r="D3" s="35" t="s">
        <v>185</v>
      </c>
      <c r="E3" s="36">
        <f>E4+E31+E52</f>
        <v>43976706.799999997</v>
      </c>
      <c r="F3" s="36">
        <f t="shared" ref="F3:R3" si="0">F4+F31+F52</f>
        <v>25289957.600000001</v>
      </c>
      <c r="G3" s="36">
        <f t="shared" si="0"/>
        <v>29903475.800000001</v>
      </c>
      <c r="H3" s="36">
        <f t="shared" si="0"/>
        <v>32617055.199999999</v>
      </c>
      <c r="I3" s="36">
        <f t="shared" si="0"/>
        <v>70572362.799999997</v>
      </c>
      <c r="J3" s="36">
        <f t="shared" si="0"/>
        <v>11814357.449999999</v>
      </c>
      <c r="K3" s="36">
        <f t="shared" si="0"/>
        <v>18166875.199999999</v>
      </c>
      <c r="L3" s="36">
        <f t="shared" si="0"/>
        <v>17005490.199999999</v>
      </c>
      <c r="M3" s="36">
        <f t="shared" si="0"/>
        <v>13366344.15</v>
      </c>
      <c r="N3" s="36">
        <f t="shared" si="0"/>
        <v>14243165</v>
      </c>
      <c r="O3" s="36">
        <f t="shared" si="0"/>
        <v>52212743.149999999</v>
      </c>
      <c r="P3" s="36">
        <f t="shared" si="0"/>
        <v>1808500.2</v>
      </c>
      <c r="Q3" s="36">
        <f t="shared" si="0"/>
        <v>12718641.699999999</v>
      </c>
      <c r="R3" s="36">
        <f t="shared" si="0"/>
        <v>10565115.6</v>
      </c>
      <c r="S3" s="36">
        <f t="shared" ref="S3:S66" si="1">SUM(E3:R3)</f>
        <v>354260790.8499999</v>
      </c>
    </row>
    <row r="4" spans="1:19">
      <c r="A4" s="33" t="s">
        <v>186</v>
      </c>
      <c r="B4" s="34" t="s">
        <v>128</v>
      </c>
      <c r="C4" s="34"/>
      <c r="D4" s="35" t="s">
        <v>185</v>
      </c>
      <c r="E4" s="36">
        <f t="shared" ref="E4:R4" si="2">E5+E8+E13+E17+E20+E22+E25+E27+E29+E30</f>
        <v>38001296</v>
      </c>
      <c r="F4" s="36">
        <f t="shared" si="2"/>
        <v>22250596</v>
      </c>
      <c r="G4" s="36">
        <f t="shared" si="2"/>
        <v>26112774</v>
      </c>
      <c r="H4" s="36">
        <f t="shared" si="2"/>
        <v>28475734</v>
      </c>
      <c r="I4" s="36">
        <f t="shared" si="2"/>
        <v>59414862</v>
      </c>
      <c r="J4" s="36">
        <f t="shared" si="2"/>
        <v>9662151</v>
      </c>
      <c r="K4" s="36">
        <f t="shared" si="2"/>
        <v>15139964</v>
      </c>
      <c r="L4" s="36">
        <f t="shared" si="2"/>
        <v>14582946</v>
      </c>
      <c r="M4" s="36">
        <f t="shared" si="2"/>
        <v>11107848</v>
      </c>
      <c r="N4" s="36">
        <f t="shared" si="2"/>
        <v>12135712</v>
      </c>
      <c r="O4" s="36">
        <f t="shared" si="2"/>
        <v>45941196</v>
      </c>
      <c r="P4" s="36">
        <f t="shared" si="2"/>
        <v>1522957</v>
      </c>
      <c r="Q4" s="36">
        <f t="shared" si="2"/>
        <v>10433627</v>
      </c>
      <c r="R4" s="36">
        <f t="shared" si="2"/>
        <v>8831830</v>
      </c>
      <c r="S4" s="36">
        <f t="shared" si="1"/>
        <v>303613493</v>
      </c>
    </row>
    <row r="5" spans="1:19">
      <c r="A5" s="33" t="s">
        <v>187</v>
      </c>
      <c r="B5" s="34" t="s">
        <v>188</v>
      </c>
      <c r="C5" s="34"/>
      <c r="D5" s="35" t="s">
        <v>185</v>
      </c>
      <c r="E5" s="36">
        <f>E6+E7</f>
        <v>5106072</v>
      </c>
      <c r="F5" s="36">
        <f t="shared" ref="F5:R5" si="3">F6+F7</f>
        <v>3266028</v>
      </c>
      <c r="G5" s="36">
        <f t="shared" si="3"/>
        <v>3784992</v>
      </c>
      <c r="H5" s="36">
        <f t="shared" si="3"/>
        <v>3894816</v>
      </c>
      <c r="I5" s="36">
        <f t="shared" si="3"/>
        <v>7668684</v>
      </c>
      <c r="J5" s="36">
        <f t="shared" si="3"/>
        <v>1167624</v>
      </c>
      <c r="K5" s="36">
        <f t="shared" si="3"/>
        <v>2046408</v>
      </c>
      <c r="L5" s="36">
        <f t="shared" si="3"/>
        <v>2015844</v>
      </c>
      <c r="M5" s="36">
        <f t="shared" si="3"/>
        <v>1455192</v>
      </c>
      <c r="N5" s="36">
        <f t="shared" si="3"/>
        <v>1559724</v>
      </c>
      <c r="O5" s="36">
        <f t="shared" si="3"/>
        <v>5347776</v>
      </c>
      <c r="P5" s="36">
        <f t="shared" si="3"/>
        <v>205200</v>
      </c>
      <c r="Q5" s="36">
        <f t="shared" si="3"/>
        <v>1122036</v>
      </c>
      <c r="R5" s="36">
        <f t="shared" si="3"/>
        <v>1132968</v>
      </c>
      <c r="S5" s="36">
        <f t="shared" si="1"/>
        <v>39773364</v>
      </c>
    </row>
    <row r="6" spans="1:19">
      <c r="A6" s="33" t="s">
        <v>189</v>
      </c>
      <c r="B6" s="34" t="s">
        <v>190</v>
      </c>
      <c r="C6" s="34" t="s">
        <v>191</v>
      </c>
      <c r="D6" s="35" t="s">
        <v>192</v>
      </c>
      <c r="E6" s="37">
        <f>260180*12</f>
        <v>3122160</v>
      </c>
      <c r="F6" s="37">
        <f>154545*12</f>
        <v>1854540</v>
      </c>
      <c r="G6" s="37">
        <f>171955*12</f>
        <v>2063460</v>
      </c>
      <c r="H6" s="37">
        <f>185620*12</f>
        <v>2227440</v>
      </c>
      <c r="I6" s="37">
        <f>406738*12</f>
        <v>4880856</v>
      </c>
      <c r="J6" s="37">
        <f>64362*12</f>
        <v>772344</v>
      </c>
      <c r="K6" s="37">
        <f>103092*12</f>
        <v>1237104</v>
      </c>
      <c r="L6" s="37">
        <f>102749*12</f>
        <v>1232988</v>
      </c>
      <c r="M6" s="37">
        <f>76708*12</f>
        <v>920496</v>
      </c>
      <c r="N6" s="37">
        <f>84709*12</f>
        <v>1016508</v>
      </c>
      <c r="O6" s="37">
        <f>285537*12</f>
        <v>3426444</v>
      </c>
      <c r="P6" s="37">
        <f>10395*12</f>
        <v>124740</v>
      </c>
      <c r="Q6" s="37">
        <f>77901*12</f>
        <v>934812</v>
      </c>
      <c r="R6" s="37">
        <f>58567*12</f>
        <v>702804</v>
      </c>
      <c r="S6" s="36">
        <f t="shared" si="1"/>
        <v>24516696</v>
      </c>
    </row>
    <row r="7" spans="1:19">
      <c r="A7" s="33" t="s">
        <v>193</v>
      </c>
      <c r="B7" s="34" t="s">
        <v>194</v>
      </c>
      <c r="C7" s="34" t="s">
        <v>191</v>
      </c>
      <c r="D7" s="35" t="s">
        <v>192</v>
      </c>
      <c r="E7" s="37">
        <f>165326*12</f>
        <v>1983912</v>
      </c>
      <c r="F7" s="37">
        <f>117624*12</f>
        <v>1411488</v>
      </c>
      <c r="G7" s="37">
        <f>143461*12</f>
        <v>1721532</v>
      </c>
      <c r="H7" s="37">
        <f>138948*12</f>
        <v>1667376</v>
      </c>
      <c r="I7" s="37">
        <f>232319*12</f>
        <v>2787828</v>
      </c>
      <c r="J7" s="37">
        <f>32940*12</f>
        <v>395280</v>
      </c>
      <c r="K7" s="37">
        <f>67442*12</f>
        <v>809304</v>
      </c>
      <c r="L7" s="37">
        <f>65238*12</f>
        <v>782856</v>
      </c>
      <c r="M7" s="37">
        <f>44558*12</f>
        <v>534696</v>
      </c>
      <c r="N7" s="37">
        <f>45268*12</f>
        <v>543216</v>
      </c>
      <c r="O7" s="37">
        <f>160111*12</f>
        <v>1921332</v>
      </c>
      <c r="P7" s="37">
        <f>6705*12</f>
        <v>80460</v>
      </c>
      <c r="Q7" s="37">
        <f>15602*12</f>
        <v>187224</v>
      </c>
      <c r="R7" s="37">
        <f>35847*12</f>
        <v>430164</v>
      </c>
      <c r="S7" s="36">
        <f t="shared" si="1"/>
        <v>15256668</v>
      </c>
    </row>
    <row r="8" spans="1:19">
      <c r="A8" s="33" t="s">
        <v>195</v>
      </c>
      <c r="B8" s="34" t="s">
        <v>196</v>
      </c>
      <c r="C8" s="34"/>
      <c r="D8" s="35" t="s">
        <v>185</v>
      </c>
      <c r="E8" s="36">
        <f>E9+E10</f>
        <v>660348</v>
      </c>
      <c r="F8" s="36">
        <f t="shared" ref="F8:R8" si="4">F9+F10</f>
        <v>380040</v>
      </c>
      <c r="G8" s="36">
        <f t="shared" si="4"/>
        <v>456684</v>
      </c>
      <c r="H8" s="36">
        <f t="shared" si="4"/>
        <v>509268</v>
      </c>
      <c r="I8" s="36">
        <f t="shared" si="4"/>
        <v>1069104</v>
      </c>
      <c r="J8" s="36">
        <f t="shared" si="4"/>
        <v>178080</v>
      </c>
      <c r="K8" s="36">
        <f t="shared" si="4"/>
        <v>287208</v>
      </c>
      <c r="L8" s="36">
        <f t="shared" si="4"/>
        <v>276240</v>
      </c>
      <c r="M8" s="36">
        <f t="shared" si="4"/>
        <v>210864</v>
      </c>
      <c r="N8" s="36">
        <f t="shared" si="4"/>
        <v>232272</v>
      </c>
      <c r="O8" s="36">
        <f t="shared" si="4"/>
        <v>809436</v>
      </c>
      <c r="P8" s="36">
        <f t="shared" si="4"/>
        <v>27036</v>
      </c>
      <c r="Q8" s="36">
        <f t="shared" si="4"/>
        <v>188136</v>
      </c>
      <c r="R8" s="36">
        <f t="shared" si="4"/>
        <v>167508</v>
      </c>
      <c r="S8" s="36">
        <f t="shared" si="1"/>
        <v>5452224</v>
      </c>
    </row>
    <row r="9" spans="1:19">
      <c r="A9" s="33" t="s">
        <v>197</v>
      </c>
      <c r="B9" s="34" t="s">
        <v>198</v>
      </c>
      <c r="C9" s="34" t="s">
        <v>191</v>
      </c>
      <c r="D9" s="35" t="s">
        <v>192</v>
      </c>
      <c r="E9" s="37">
        <f>617*12</f>
        <v>7404</v>
      </c>
      <c r="F9" s="37">
        <f>450*12</f>
        <v>5400</v>
      </c>
      <c r="G9" s="37">
        <f>593*12</f>
        <v>7116</v>
      </c>
      <c r="H9" s="37">
        <f>515*12</f>
        <v>6180</v>
      </c>
      <c r="I9" s="37">
        <f>784*12</f>
        <v>9408</v>
      </c>
      <c r="J9" s="37">
        <f>122*12</f>
        <v>1464</v>
      </c>
      <c r="K9" s="37">
        <f>296*12</f>
        <v>3552</v>
      </c>
      <c r="L9" s="37">
        <f>274*12</f>
        <v>3288</v>
      </c>
      <c r="M9" s="37">
        <f>178*12</f>
        <v>2136</v>
      </c>
      <c r="N9" s="37">
        <f>178*12</f>
        <v>2136</v>
      </c>
      <c r="O9" s="37">
        <f>553*12</f>
        <v>6636</v>
      </c>
      <c r="P9" s="37">
        <f>23*12</f>
        <v>276</v>
      </c>
      <c r="Q9" s="37">
        <f>68*12</f>
        <v>816</v>
      </c>
      <c r="R9" s="37">
        <f>133*12</f>
        <v>1596</v>
      </c>
      <c r="S9" s="36">
        <f t="shared" si="1"/>
        <v>57408</v>
      </c>
    </row>
    <row r="10" spans="1:19">
      <c r="A10" s="33" t="s">
        <v>199</v>
      </c>
      <c r="B10" s="34" t="s">
        <v>200</v>
      </c>
      <c r="C10" s="34"/>
      <c r="D10" s="35" t="s">
        <v>185</v>
      </c>
      <c r="E10" s="36">
        <f>E11+E12</f>
        <v>652944</v>
      </c>
      <c r="F10" s="36">
        <f t="shared" ref="F10:R10" si="5">F11+F12</f>
        <v>374640</v>
      </c>
      <c r="G10" s="36">
        <f t="shared" si="5"/>
        <v>449568</v>
      </c>
      <c r="H10" s="36">
        <f t="shared" si="5"/>
        <v>503088</v>
      </c>
      <c r="I10" s="36">
        <f t="shared" si="5"/>
        <v>1059696</v>
      </c>
      <c r="J10" s="36">
        <f t="shared" si="5"/>
        <v>176616</v>
      </c>
      <c r="K10" s="36">
        <f t="shared" si="5"/>
        <v>283656</v>
      </c>
      <c r="L10" s="36">
        <f t="shared" si="5"/>
        <v>272952</v>
      </c>
      <c r="M10" s="36">
        <f t="shared" si="5"/>
        <v>208728</v>
      </c>
      <c r="N10" s="36">
        <f t="shared" si="5"/>
        <v>230136</v>
      </c>
      <c r="O10" s="36">
        <f t="shared" si="5"/>
        <v>802800</v>
      </c>
      <c r="P10" s="36">
        <f t="shared" si="5"/>
        <v>26760</v>
      </c>
      <c r="Q10" s="36">
        <f t="shared" si="5"/>
        <v>187320</v>
      </c>
      <c r="R10" s="36">
        <f t="shared" si="5"/>
        <v>165912</v>
      </c>
      <c r="S10" s="36">
        <f t="shared" si="1"/>
        <v>5394816</v>
      </c>
    </row>
    <row r="11" spans="1:19" s="40" customFormat="1">
      <c r="A11" s="33" t="s">
        <v>201</v>
      </c>
      <c r="B11" s="38" t="s">
        <v>202</v>
      </c>
      <c r="C11" s="38" t="s">
        <v>191</v>
      </c>
      <c r="D11" s="39" t="s">
        <v>185</v>
      </c>
      <c r="E11" s="36">
        <f>72*E96</f>
        <v>8784</v>
      </c>
      <c r="F11" s="36">
        <f t="shared" ref="F11:R11" si="6">72*F96</f>
        <v>5040</v>
      </c>
      <c r="G11" s="36">
        <f t="shared" si="6"/>
        <v>6048</v>
      </c>
      <c r="H11" s="36">
        <f t="shared" si="6"/>
        <v>6768</v>
      </c>
      <c r="I11" s="36">
        <f t="shared" si="6"/>
        <v>14256</v>
      </c>
      <c r="J11" s="36">
        <f t="shared" si="6"/>
        <v>2376</v>
      </c>
      <c r="K11" s="36">
        <f t="shared" si="6"/>
        <v>3816</v>
      </c>
      <c r="L11" s="36">
        <f t="shared" si="6"/>
        <v>3672</v>
      </c>
      <c r="M11" s="36">
        <f t="shared" si="6"/>
        <v>2808</v>
      </c>
      <c r="N11" s="36">
        <f t="shared" si="6"/>
        <v>3096</v>
      </c>
      <c r="O11" s="36">
        <f t="shared" si="6"/>
        <v>10800</v>
      </c>
      <c r="P11" s="36">
        <f t="shared" si="6"/>
        <v>360</v>
      </c>
      <c r="Q11" s="36">
        <f t="shared" si="6"/>
        <v>2520</v>
      </c>
      <c r="R11" s="36">
        <f t="shared" si="6"/>
        <v>2232</v>
      </c>
      <c r="S11" s="36">
        <f t="shared" si="1"/>
        <v>72576</v>
      </c>
    </row>
    <row r="12" spans="1:19" s="40" customFormat="1">
      <c r="A12" s="33" t="s">
        <v>203</v>
      </c>
      <c r="B12" s="38" t="s">
        <v>204</v>
      </c>
      <c r="C12" s="38" t="s">
        <v>191</v>
      </c>
      <c r="D12" s="39" t="s">
        <v>185</v>
      </c>
      <c r="E12" s="36">
        <f>440*12*E96</f>
        <v>644160</v>
      </c>
      <c r="F12" s="36">
        <f t="shared" ref="F12:R12" si="7">440*12*F96</f>
        <v>369600</v>
      </c>
      <c r="G12" s="36">
        <f t="shared" si="7"/>
        <v>443520</v>
      </c>
      <c r="H12" s="36">
        <f t="shared" si="7"/>
        <v>496320</v>
      </c>
      <c r="I12" s="36">
        <f t="shared" si="7"/>
        <v>1045440</v>
      </c>
      <c r="J12" s="36">
        <f t="shared" si="7"/>
        <v>174240</v>
      </c>
      <c r="K12" s="36">
        <f t="shared" si="7"/>
        <v>279840</v>
      </c>
      <c r="L12" s="36">
        <f t="shared" si="7"/>
        <v>269280</v>
      </c>
      <c r="M12" s="36">
        <f t="shared" si="7"/>
        <v>205920</v>
      </c>
      <c r="N12" s="36">
        <f t="shared" si="7"/>
        <v>227040</v>
      </c>
      <c r="O12" s="36">
        <f t="shared" si="7"/>
        <v>792000</v>
      </c>
      <c r="P12" s="36">
        <f t="shared" si="7"/>
        <v>26400</v>
      </c>
      <c r="Q12" s="36">
        <f t="shared" si="7"/>
        <v>184800</v>
      </c>
      <c r="R12" s="36">
        <f t="shared" si="7"/>
        <v>163680</v>
      </c>
      <c r="S12" s="36">
        <f t="shared" si="1"/>
        <v>5322240</v>
      </c>
    </row>
    <row r="13" spans="1:19">
      <c r="A13" s="33" t="s">
        <v>205</v>
      </c>
      <c r="B13" s="34" t="s">
        <v>206</v>
      </c>
      <c r="C13" s="34"/>
      <c r="D13" s="35" t="s">
        <v>207</v>
      </c>
      <c r="E13" s="36">
        <f>E14+E15+E16</f>
        <v>605886</v>
      </c>
      <c r="F13" s="36">
        <f t="shared" ref="F13:R13" si="8">F14+F15+F16</f>
        <v>353382</v>
      </c>
      <c r="G13" s="36">
        <f t="shared" si="8"/>
        <v>400146.00000000006</v>
      </c>
      <c r="H13" s="36">
        <f t="shared" si="8"/>
        <v>426564</v>
      </c>
      <c r="I13" s="36">
        <f t="shared" si="8"/>
        <v>897084</v>
      </c>
      <c r="J13" s="36">
        <f t="shared" si="8"/>
        <v>142686</v>
      </c>
      <c r="K13" s="36">
        <f t="shared" si="8"/>
        <v>231551.99999999997</v>
      </c>
      <c r="L13" s="36">
        <f t="shared" si="8"/>
        <v>221118.00000000003</v>
      </c>
      <c r="M13" s="36">
        <f t="shared" si="8"/>
        <v>171348</v>
      </c>
      <c r="N13" s="36">
        <f t="shared" si="8"/>
        <v>185424</v>
      </c>
      <c r="O13" s="36">
        <f t="shared" si="8"/>
        <v>752886</v>
      </c>
      <c r="P13" s="36">
        <f t="shared" si="8"/>
        <v>26603.999999999996</v>
      </c>
      <c r="Q13" s="36">
        <f t="shared" si="8"/>
        <v>167280</v>
      </c>
      <c r="R13" s="36">
        <f t="shared" si="8"/>
        <v>137586</v>
      </c>
      <c r="S13" s="36">
        <f t="shared" si="1"/>
        <v>4719546</v>
      </c>
    </row>
    <row r="14" spans="1:19" s="40" customFormat="1">
      <c r="A14" s="33" t="s">
        <v>208</v>
      </c>
      <c r="B14" s="38" t="s">
        <v>209</v>
      </c>
      <c r="C14" s="38" t="s">
        <v>191</v>
      </c>
      <c r="D14" s="39" t="s">
        <v>210</v>
      </c>
      <c r="E14" s="36">
        <f>E16*3</f>
        <v>363531.60000000003</v>
      </c>
      <c r="F14" s="36">
        <f t="shared" ref="F14:R14" si="9">F16*3</f>
        <v>212029.19999999998</v>
      </c>
      <c r="G14" s="36">
        <f t="shared" si="9"/>
        <v>240087.60000000003</v>
      </c>
      <c r="H14" s="36">
        <f t="shared" si="9"/>
        <v>255938.40000000002</v>
      </c>
      <c r="I14" s="36">
        <f t="shared" si="9"/>
        <v>538250.39999999991</v>
      </c>
      <c r="J14" s="36">
        <f t="shared" si="9"/>
        <v>85611.599999999991</v>
      </c>
      <c r="K14" s="36">
        <f t="shared" si="9"/>
        <v>138931.19999999998</v>
      </c>
      <c r="L14" s="36">
        <f t="shared" si="9"/>
        <v>132670.80000000002</v>
      </c>
      <c r="M14" s="36">
        <f t="shared" si="9"/>
        <v>102808.79999999999</v>
      </c>
      <c r="N14" s="36">
        <f t="shared" si="9"/>
        <v>111254.40000000001</v>
      </c>
      <c r="O14" s="36">
        <f t="shared" si="9"/>
        <v>451731.60000000003</v>
      </c>
      <c r="P14" s="36">
        <f t="shared" si="9"/>
        <v>15962.399999999998</v>
      </c>
      <c r="Q14" s="36">
        <f t="shared" si="9"/>
        <v>100368</v>
      </c>
      <c r="R14" s="36">
        <f t="shared" si="9"/>
        <v>82551.600000000006</v>
      </c>
      <c r="S14" s="36">
        <f t="shared" si="1"/>
        <v>2831727.6000000006</v>
      </c>
    </row>
    <row r="15" spans="1:19" s="40" customFormat="1">
      <c r="A15" s="33" t="s">
        <v>211</v>
      </c>
      <c r="B15" s="38" t="s">
        <v>212</v>
      </c>
      <c r="C15" s="38" t="s">
        <v>191</v>
      </c>
      <c r="D15" s="39" t="s">
        <v>210</v>
      </c>
      <c r="E15" s="36">
        <f>E16</f>
        <v>121177.20000000001</v>
      </c>
      <c r="F15" s="36">
        <f t="shared" ref="F15:R15" si="10">F16</f>
        <v>70676.399999999994</v>
      </c>
      <c r="G15" s="36">
        <f t="shared" si="10"/>
        <v>80029.200000000012</v>
      </c>
      <c r="H15" s="36">
        <f t="shared" si="10"/>
        <v>85312.8</v>
      </c>
      <c r="I15" s="36">
        <f t="shared" si="10"/>
        <v>179416.8</v>
      </c>
      <c r="J15" s="36">
        <f t="shared" si="10"/>
        <v>28537.199999999997</v>
      </c>
      <c r="K15" s="36">
        <f t="shared" si="10"/>
        <v>46310.399999999994</v>
      </c>
      <c r="L15" s="36">
        <f t="shared" si="10"/>
        <v>44223.600000000006</v>
      </c>
      <c r="M15" s="36">
        <f t="shared" si="10"/>
        <v>34269.599999999999</v>
      </c>
      <c r="N15" s="36">
        <f t="shared" si="10"/>
        <v>37084.800000000003</v>
      </c>
      <c r="O15" s="36">
        <f t="shared" si="10"/>
        <v>150577.20000000001</v>
      </c>
      <c r="P15" s="36">
        <f t="shared" si="10"/>
        <v>5320.7999999999993</v>
      </c>
      <c r="Q15" s="36">
        <f t="shared" si="10"/>
        <v>33456</v>
      </c>
      <c r="R15" s="36">
        <f t="shared" si="10"/>
        <v>27517.200000000001</v>
      </c>
      <c r="S15" s="36">
        <f t="shared" si="1"/>
        <v>943909.2</v>
      </c>
    </row>
    <row r="16" spans="1:19" s="40" customFormat="1">
      <c r="A16" s="33" t="s">
        <v>213</v>
      </c>
      <c r="B16" s="38" t="s">
        <v>214</v>
      </c>
      <c r="C16" s="38" t="s">
        <v>191</v>
      </c>
      <c r="D16" s="39" t="s">
        <v>210</v>
      </c>
      <c r="E16" s="37">
        <f>10098.1*12</f>
        <v>121177.20000000001</v>
      </c>
      <c r="F16" s="37">
        <f>5889.7*12</f>
        <v>70676.399999999994</v>
      </c>
      <c r="G16" s="62">
        <f>6669.1*12</f>
        <v>80029.200000000012</v>
      </c>
      <c r="H16" s="89">
        <v>85312.8</v>
      </c>
      <c r="I16" s="37">
        <f>14951.4*12</f>
        <v>179416.8</v>
      </c>
      <c r="J16" s="37">
        <f>2378.1*12</f>
        <v>28537.199999999997</v>
      </c>
      <c r="K16" s="37">
        <f>3859.2*12</f>
        <v>46310.399999999994</v>
      </c>
      <c r="L16" s="37">
        <f>3685.3*12</f>
        <v>44223.600000000006</v>
      </c>
      <c r="M16" s="89">
        <v>34269.599999999999</v>
      </c>
      <c r="N16" s="89">
        <v>37084.800000000003</v>
      </c>
      <c r="O16" s="37">
        <f>12548.1*12</f>
        <v>150577.20000000001</v>
      </c>
      <c r="P16" s="37">
        <f>443.4*12</f>
        <v>5320.7999999999993</v>
      </c>
      <c r="Q16" s="89">
        <v>33456</v>
      </c>
      <c r="R16" s="89">
        <v>27517.200000000001</v>
      </c>
      <c r="S16" s="36">
        <f t="shared" si="1"/>
        <v>943909.2</v>
      </c>
    </row>
    <row r="17" spans="1:19">
      <c r="A17" s="33" t="s">
        <v>215</v>
      </c>
      <c r="B17" s="34" t="s">
        <v>216</v>
      </c>
      <c r="C17" s="34"/>
      <c r="D17" s="35" t="s">
        <v>185</v>
      </c>
      <c r="E17" s="36">
        <v>19551842</v>
      </c>
      <c r="F17" s="36">
        <v>11218270</v>
      </c>
      <c r="G17" s="36">
        <v>13461924</v>
      </c>
      <c r="H17" s="36">
        <v>15064534</v>
      </c>
      <c r="I17" s="36">
        <v>31731678</v>
      </c>
      <c r="J17" s="36">
        <v>5288613</v>
      </c>
      <c r="K17" s="36">
        <v>7898060</v>
      </c>
      <c r="L17" s="36">
        <v>7600020</v>
      </c>
      <c r="M17" s="36">
        <v>5811780</v>
      </c>
      <c r="N17" s="36">
        <v>6407860</v>
      </c>
      <c r="O17" s="36">
        <v>24039150</v>
      </c>
      <c r="P17" s="36">
        <v>737245</v>
      </c>
      <c r="Q17" s="36">
        <v>5609135</v>
      </c>
      <c r="R17" s="36">
        <v>4619620</v>
      </c>
      <c r="S17" s="36">
        <f t="shared" si="1"/>
        <v>159039731</v>
      </c>
    </row>
    <row r="18" spans="1:19" ht="22.5">
      <c r="A18" s="33" t="s">
        <v>217</v>
      </c>
      <c r="B18" s="41" t="s">
        <v>218</v>
      </c>
      <c r="C18" s="41" t="s">
        <v>191</v>
      </c>
      <c r="D18" s="42" t="s">
        <v>219</v>
      </c>
      <c r="E18" s="43">
        <f>E17-E19</f>
        <v>19183220</v>
      </c>
      <c r="F18" s="43">
        <f t="shared" ref="F18:R18" si="11">F17-F19</f>
        <v>11038998</v>
      </c>
      <c r="G18" s="43">
        <f t="shared" si="11"/>
        <v>13022844</v>
      </c>
      <c r="H18" s="43">
        <f t="shared" si="11"/>
        <v>14659466</v>
      </c>
      <c r="I18" s="43">
        <f t="shared" si="11"/>
        <v>31461938</v>
      </c>
      <c r="J18" s="43">
        <f t="shared" si="11"/>
        <v>5128901</v>
      </c>
      <c r="K18" s="43">
        <f t="shared" si="11"/>
        <v>7650354</v>
      </c>
      <c r="L18" s="43">
        <f t="shared" si="11"/>
        <v>7419048</v>
      </c>
      <c r="M18" s="43">
        <f t="shared" si="11"/>
        <v>5630904</v>
      </c>
      <c r="N18" s="43">
        <f t="shared" si="11"/>
        <v>6250996</v>
      </c>
      <c r="O18" s="43">
        <f t="shared" si="11"/>
        <v>23811634</v>
      </c>
      <c r="P18" s="43">
        <f t="shared" si="11"/>
        <v>737245</v>
      </c>
      <c r="Q18" s="43">
        <f t="shared" si="11"/>
        <v>5470728</v>
      </c>
      <c r="R18" s="43">
        <f t="shared" si="11"/>
        <v>4480706</v>
      </c>
      <c r="S18" s="36">
        <f t="shared" si="1"/>
        <v>155946982</v>
      </c>
    </row>
    <row r="19" spans="1:19">
      <c r="A19" s="33" t="s">
        <v>220</v>
      </c>
      <c r="B19" s="41" t="s">
        <v>221</v>
      </c>
      <c r="C19" s="41" t="s">
        <v>191</v>
      </c>
      <c r="D19" s="42" t="s">
        <v>222</v>
      </c>
      <c r="E19" s="43">
        <v>368622</v>
      </c>
      <c r="F19" s="43">
        <f>179272</f>
        <v>179272</v>
      </c>
      <c r="G19" s="43">
        <f>241236+197844</f>
        <v>439080</v>
      </c>
      <c r="H19" s="43">
        <f>186652+218416</f>
        <v>405068</v>
      </c>
      <c r="I19" s="43">
        <f>269740</f>
        <v>269740</v>
      </c>
      <c r="J19" s="43">
        <v>159712</v>
      </c>
      <c r="K19" s="43">
        <v>247706</v>
      </c>
      <c r="L19" s="43">
        <v>180972</v>
      </c>
      <c r="M19" s="43">
        <v>180876</v>
      </c>
      <c r="N19" s="43">
        <v>156864</v>
      </c>
      <c r="O19" s="43">
        <v>227516</v>
      </c>
      <c r="P19" s="43"/>
      <c r="Q19" s="43">
        <v>138407</v>
      </c>
      <c r="R19" s="43">
        <v>138914</v>
      </c>
      <c r="S19" s="36">
        <f t="shared" si="1"/>
        <v>3092749</v>
      </c>
    </row>
    <row r="20" spans="1:19">
      <c r="A20" s="33" t="s">
        <v>223</v>
      </c>
      <c r="B20" s="34" t="s">
        <v>224</v>
      </c>
      <c r="C20" s="34"/>
      <c r="D20" s="42" t="s">
        <v>185</v>
      </c>
      <c r="E20" s="45">
        <f>E21</f>
        <v>2423544</v>
      </c>
      <c r="F20" s="45">
        <f t="shared" ref="F20:R20" si="12">F21</f>
        <v>1413528</v>
      </c>
      <c r="G20" s="45">
        <f t="shared" si="12"/>
        <v>1600584.0000000002</v>
      </c>
      <c r="H20" s="45">
        <f t="shared" si="12"/>
        <v>1706256</v>
      </c>
      <c r="I20" s="45">
        <f t="shared" si="12"/>
        <v>3588336</v>
      </c>
      <c r="J20" s="45">
        <f t="shared" si="12"/>
        <v>570744</v>
      </c>
      <c r="K20" s="45">
        <f t="shared" si="12"/>
        <v>926207.99999999988</v>
      </c>
      <c r="L20" s="45">
        <f t="shared" si="12"/>
        <v>884472.00000000012</v>
      </c>
      <c r="M20" s="45">
        <f t="shared" si="12"/>
        <v>685392</v>
      </c>
      <c r="N20" s="45">
        <f t="shared" si="12"/>
        <v>741696</v>
      </c>
      <c r="O20" s="45">
        <f t="shared" si="12"/>
        <v>3011544</v>
      </c>
      <c r="P20" s="45">
        <f t="shared" si="12"/>
        <v>106415.99999999999</v>
      </c>
      <c r="Q20" s="45">
        <f t="shared" si="12"/>
        <v>669120</v>
      </c>
      <c r="R20" s="45">
        <f t="shared" si="12"/>
        <v>550344</v>
      </c>
      <c r="S20" s="36">
        <f t="shared" si="1"/>
        <v>18878184</v>
      </c>
    </row>
    <row r="21" spans="1:19">
      <c r="A21" s="33" t="s">
        <v>225</v>
      </c>
      <c r="B21" s="34" t="s">
        <v>226</v>
      </c>
      <c r="C21" s="34" t="s">
        <v>227</v>
      </c>
      <c r="D21" s="42" t="s">
        <v>185</v>
      </c>
      <c r="E21" s="45">
        <f>E16*20</f>
        <v>2423544</v>
      </c>
      <c r="F21" s="45">
        <f t="shared" ref="F21:R21" si="13">F16*20</f>
        <v>1413528</v>
      </c>
      <c r="G21" s="45">
        <f t="shared" si="13"/>
        <v>1600584.0000000002</v>
      </c>
      <c r="H21" s="45">
        <f t="shared" si="13"/>
        <v>1706256</v>
      </c>
      <c r="I21" s="45">
        <f t="shared" si="13"/>
        <v>3588336</v>
      </c>
      <c r="J21" s="45">
        <f t="shared" si="13"/>
        <v>570744</v>
      </c>
      <c r="K21" s="45">
        <f t="shared" si="13"/>
        <v>926207.99999999988</v>
      </c>
      <c r="L21" s="45">
        <f t="shared" si="13"/>
        <v>884472.00000000012</v>
      </c>
      <c r="M21" s="45">
        <f t="shared" si="13"/>
        <v>685392</v>
      </c>
      <c r="N21" s="45">
        <f t="shared" si="13"/>
        <v>741696</v>
      </c>
      <c r="O21" s="45">
        <f t="shared" si="13"/>
        <v>3011544</v>
      </c>
      <c r="P21" s="45">
        <f t="shared" si="13"/>
        <v>106415.99999999999</v>
      </c>
      <c r="Q21" s="45">
        <f t="shared" si="13"/>
        <v>669120</v>
      </c>
      <c r="R21" s="45">
        <f t="shared" si="13"/>
        <v>550344</v>
      </c>
      <c r="S21" s="36">
        <f t="shared" si="1"/>
        <v>18878184</v>
      </c>
    </row>
    <row r="22" spans="1:19">
      <c r="A22" s="33" t="s">
        <v>228</v>
      </c>
      <c r="B22" s="34" t="s">
        <v>229</v>
      </c>
      <c r="C22" s="34"/>
      <c r="D22" s="42" t="s">
        <v>210</v>
      </c>
      <c r="E22" s="45">
        <f>E23+E24</f>
        <v>969417.60000000009</v>
      </c>
      <c r="F22" s="45">
        <f t="shared" ref="F22:R22" si="14">F23+F24</f>
        <v>565411.19999999995</v>
      </c>
      <c r="G22" s="45">
        <f t="shared" si="14"/>
        <v>640233.60000000009</v>
      </c>
      <c r="H22" s="45">
        <f t="shared" si="14"/>
        <v>682502.4</v>
      </c>
      <c r="I22" s="45">
        <f t="shared" si="14"/>
        <v>1435334.4</v>
      </c>
      <c r="J22" s="45">
        <f t="shared" si="14"/>
        <v>228297.59999999998</v>
      </c>
      <c r="K22" s="45">
        <f t="shared" si="14"/>
        <v>370483.19999999995</v>
      </c>
      <c r="L22" s="45">
        <f t="shared" si="14"/>
        <v>353788.80000000005</v>
      </c>
      <c r="M22" s="45">
        <f t="shared" si="14"/>
        <v>274156.79999999999</v>
      </c>
      <c r="N22" s="45">
        <f t="shared" si="14"/>
        <v>296678.40000000002</v>
      </c>
      <c r="O22" s="45">
        <f t="shared" si="14"/>
        <v>1204617.6000000001</v>
      </c>
      <c r="P22" s="45">
        <f t="shared" si="14"/>
        <v>42566.399999999994</v>
      </c>
      <c r="Q22" s="45">
        <f t="shared" si="14"/>
        <v>267648</v>
      </c>
      <c r="R22" s="45">
        <f t="shared" si="14"/>
        <v>220137.60000000001</v>
      </c>
      <c r="S22" s="36">
        <f t="shared" si="1"/>
        <v>7551273.5999999996</v>
      </c>
    </row>
    <row r="23" spans="1:19">
      <c r="A23" s="33" t="s">
        <v>230</v>
      </c>
      <c r="B23" s="34" t="s">
        <v>472</v>
      </c>
      <c r="C23" s="34" t="s">
        <v>232</v>
      </c>
      <c r="D23" s="42" t="s">
        <v>210</v>
      </c>
      <c r="E23" s="45">
        <f>E16*4</f>
        <v>484708.80000000005</v>
      </c>
      <c r="F23" s="45">
        <f t="shared" ref="F23:R23" si="15">F16*4</f>
        <v>282705.59999999998</v>
      </c>
      <c r="G23" s="45">
        <f t="shared" si="15"/>
        <v>320116.80000000005</v>
      </c>
      <c r="H23" s="45">
        <f t="shared" si="15"/>
        <v>341251.2</v>
      </c>
      <c r="I23" s="45">
        <f t="shared" si="15"/>
        <v>717667.2</v>
      </c>
      <c r="J23" s="45">
        <f t="shared" si="15"/>
        <v>114148.79999999999</v>
      </c>
      <c r="K23" s="45">
        <f t="shared" si="15"/>
        <v>185241.59999999998</v>
      </c>
      <c r="L23" s="45">
        <f t="shared" si="15"/>
        <v>176894.40000000002</v>
      </c>
      <c r="M23" s="45">
        <f t="shared" si="15"/>
        <v>137078.39999999999</v>
      </c>
      <c r="N23" s="45">
        <f t="shared" si="15"/>
        <v>148339.20000000001</v>
      </c>
      <c r="O23" s="45">
        <f t="shared" si="15"/>
        <v>602308.80000000005</v>
      </c>
      <c r="P23" s="45">
        <f t="shared" si="15"/>
        <v>21283.199999999997</v>
      </c>
      <c r="Q23" s="45">
        <f t="shared" si="15"/>
        <v>133824</v>
      </c>
      <c r="R23" s="45">
        <f t="shared" si="15"/>
        <v>110068.8</v>
      </c>
      <c r="S23" s="36">
        <f t="shared" si="1"/>
        <v>3775636.8</v>
      </c>
    </row>
    <row r="24" spans="1:19">
      <c r="A24" s="33" t="s">
        <v>233</v>
      </c>
      <c r="B24" s="34" t="s">
        <v>473</v>
      </c>
      <c r="C24" s="34" t="s">
        <v>232</v>
      </c>
      <c r="D24" s="42" t="s">
        <v>210</v>
      </c>
      <c r="E24" s="45">
        <f>E16*4</f>
        <v>484708.80000000005</v>
      </c>
      <c r="F24" s="45">
        <f t="shared" ref="F24:R24" si="16">F16*4</f>
        <v>282705.59999999998</v>
      </c>
      <c r="G24" s="45">
        <f t="shared" si="16"/>
        <v>320116.80000000005</v>
      </c>
      <c r="H24" s="45">
        <f t="shared" si="16"/>
        <v>341251.2</v>
      </c>
      <c r="I24" s="45">
        <f t="shared" si="16"/>
        <v>717667.2</v>
      </c>
      <c r="J24" s="45">
        <f t="shared" si="16"/>
        <v>114148.79999999999</v>
      </c>
      <c r="K24" s="45">
        <f t="shared" si="16"/>
        <v>185241.59999999998</v>
      </c>
      <c r="L24" s="45">
        <f t="shared" si="16"/>
        <v>176894.40000000002</v>
      </c>
      <c r="M24" s="45">
        <f t="shared" si="16"/>
        <v>137078.39999999999</v>
      </c>
      <c r="N24" s="45">
        <f t="shared" si="16"/>
        <v>148339.20000000001</v>
      </c>
      <c r="O24" s="45">
        <f t="shared" si="16"/>
        <v>602308.80000000005</v>
      </c>
      <c r="P24" s="45">
        <f t="shared" si="16"/>
        <v>21283.199999999997</v>
      </c>
      <c r="Q24" s="45">
        <f t="shared" si="16"/>
        <v>133824</v>
      </c>
      <c r="R24" s="45">
        <f t="shared" si="16"/>
        <v>110068.8</v>
      </c>
      <c r="S24" s="36">
        <f t="shared" si="1"/>
        <v>3775636.8</v>
      </c>
    </row>
    <row r="25" spans="1:19">
      <c r="A25" s="33" t="s">
        <v>235</v>
      </c>
      <c r="B25" s="34" t="s">
        <v>236</v>
      </c>
      <c r="C25" s="34"/>
      <c r="D25" s="35" t="s">
        <v>185</v>
      </c>
      <c r="E25" s="36">
        <f>E26</f>
        <v>3877670.4000000004</v>
      </c>
      <c r="F25" s="36">
        <f t="shared" ref="F25:R25" si="17">F26</f>
        <v>2261644.7999999998</v>
      </c>
      <c r="G25" s="36">
        <f t="shared" si="17"/>
        <v>2560934.4000000004</v>
      </c>
      <c r="H25" s="36">
        <f t="shared" si="17"/>
        <v>2730009.6</v>
      </c>
      <c r="I25" s="36">
        <f t="shared" si="17"/>
        <v>5741337.5999999996</v>
      </c>
      <c r="J25" s="36">
        <f t="shared" si="17"/>
        <v>913190.39999999991</v>
      </c>
      <c r="K25" s="36">
        <f t="shared" si="17"/>
        <v>1481932.7999999998</v>
      </c>
      <c r="L25" s="36">
        <f t="shared" si="17"/>
        <v>1415155.2000000002</v>
      </c>
      <c r="M25" s="36">
        <f t="shared" si="17"/>
        <v>1096627.2</v>
      </c>
      <c r="N25" s="36">
        <f t="shared" si="17"/>
        <v>1186713.6000000001</v>
      </c>
      <c r="O25" s="36">
        <f t="shared" si="17"/>
        <v>4818470.4000000004</v>
      </c>
      <c r="P25" s="36">
        <f t="shared" si="17"/>
        <v>170265.59999999998</v>
      </c>
      <c r="Q25" s="36">
        <f t="shared" si="17"/>
        <v>1070592</v>
      </c>
      <c r="R25" s="36">
        <f t="shared" si="17"/>
        <v>880550.40000000002</v>
      </c>
      <c r="S25" s="36">
        <f t="shared" si="1"/>
        <v>30205094.399999999</v>
      </c>
    </row>
    <row r="26" spans="1:19" s="40" customFormat="1">
      <c r="A26" s="33" t="s">
        <v>237</v>
      </c>
      <c r="B26" s="38" t="s">
        <v>238</v>
      </c>
      <c r="C26" s="38" t="s">
        <v>239</v>
      </c>
      <c r="D26" s="39" t="s">
        <v>210</v>
      </c>
      <c r="E26" s="36">
        <f>E16*32</f>
        <v>3877670.4000000004</v>
      </c>
      <c r="F26" s="36">
        <f t="shared" ref="F26:R26" si="18">F16*32</f>
        <v>2261644.7999999998</v>
      </c>
      <c r="G26" s="36">
        <f t="shared" si="18"/>
        <v>2560934.4000000004</v>
      </c>
      <c r="H26" s="36">
        <f t="shared" si="18"/>
        <v>2730009.6</v>
      </c>
      <c r="I26" s="36">
        <f t="shared" si="18"/>
        <v>5741337.5999999996</v>
      </c>
      <c r="J26" s="36">
        <f t="shared" si="18"/>
        <v>913190.39999999991</v>
      </c>
      <c r="K26" s="36">
        <f t="shared" si="18"/>
        <v>1481932.7999999998</v>
      </c>
      <c r="L26" s="36">
        <f t="shared" si="18"/>
        <v>1415155.2000000002</v>
      </c>
      <c r="M26" s="36">
        <f t="shared" si="18"/>
        <v>1096627.2</v>
      </c>
      <c r="N26" s="36">
        <f t="shared" si="18"/>
        <v>1186713.6000000001</v>
      </c>
      <c r="O26" s="36">
        <f t="shared" si="18"/>
        <v>4818470.4000000004</v>
      </c>
      <c r="P26" s="36">
        <f t="shared" si="18"/>
        <v>170265.59999999998</v>
      </c>
      <c r="Q26" s="36">
        <f t="shared" si="18"/>
        <v>1070592</v>
      </c>
      <c r="R26" s="36">
        <f t="shared" si="18"/>
        <v>880550.40000000002</v>
      </c>
      <c r="S26" s="36">
        <f t="shared" si="1"/>
        <v>30205094.399999999</v>
      </c>
    </row>
    <row r="27" spans="1:19">
      <c r="A27" s="33" t="s">
        <v>240</v>
      </c>
      <c r="B27" s="34" t="s">
        <v>241</v>
      </c>
      <c r="C27" s="34"/>
      <c r="D27" s="35" t="s">
        <v>185</v>
      </c>
      <c r="E27" s="36">
        <f>E28</f>
        <v>1938835.2000000002</v>
      </c>
      <c r="F27" s="36">
        <f t="shared" ref="F27:R27" si="19">F28</f>
        <v>1130822.3999999999</v>
      </c>
      <c r="G27" s="36">
        <f t="shared" si="19"/>
        <v>1280467.2000000002</v>
      </c>
      <c r="H27" s="36">
        <f t="shared" si="19"/>
        <v>1365004.8</v>
      </c>
      <c r="I27" s="36">
        <f t="shared" si="19"/>
        <v>2870668.8</v>
      </c>
      <c r="J27" s="36">
        <f t="shared" si="19"/>
        <v>456595.19999999995</v>
      </c>
      <c r="K27" s="36">
        <f t="shared" si="19"/>
        <v>740966.39999999991</v>
      </c>
      <c r="L27" s="36">
        <f t="shared" si="19"/>
        <v>707577.60000000009</v>
      </c>
      <c r="M27" s="36">
        <f t="shared" si="19"/>
        <v>548313.59999999998</v>
      </c>
      <c r="N27" s="36">
        <f t="shared" si="19"/>
        <v>593356.80000000005</v>
      </c>
      <c r="O27" s="36">
        <f t="shared" si="19"/>
        <v>2409235.2000000002</v>
      </c>
      <c r="P27" s="36">
        <f t="shared" si="19"/>
        <v>85132.799999999988</v>
      </c>
      <c r="Q27" s="36">
        <f t="shared" si="19"/>
        <v>535296</v>
      </c>
      <c r="R27" s="36">
        <f t="shared" si="19"/>
        <v>440275.20000000001</v>
      </c>
      <c r="S27" s="36">
        <f t="shared" si="1"/>
        <v>15102547.199999999</v>
      </c>
    </row>
    <row r="28" spans="1:19" s="40" customFormat="1">
      <c r="A28" s="33" t="s">
        <v>242</v>
      </c>
      <c r="B28" s="38" t="s">
        <v>243</v>
      </c>
      <c r="C28" s="38" t="s">
        <v>244</v>
      </c>
      <c r="D28" s="39" t="s">
        <v>210</v>
      </c>
      <c r="E28" s="36">
        <f>E16*16</f>
        <v>1938835.2000000002</v>
      </c>
      <c r="F28" s="36">
        <f t="shared" ref="F28:R28" si="20">F16*16</f>
        <v>1130822.3999999999</v>
      </c>
      <c r="G28" s="36">
        <f t="shared" si="20"/>
        <v>1280467.2000000002</v>
      </c>
      <c r="H28" s="36">
        <f t="shared" si="20"/>
        <v>1365004.8</v>
      </c>
      <c r="I28" s="36">
        <f t="shared" si="20"/>
        <v>2870668.8</v>
      </c>
      <c r="J28" s="36">
        <f t="shared" si="20"/>
        <v>456595.19999999995</v>
      </c>
      <c r="K28" s="36">
        <f t="shared" si="20"/>
        <v>740966.39999999991</v>
      </c>
      <c r="L28" s="36">
        <f t="shared" si="20"/>
        <v>707577.60000000009</v>
      </c>
      <c r="M28" s="36">
        <f t="shared" si="20"/>
        <v>548313.59999999998</v>
      </c>
      <c r="N28" s="36">
        <f t="shared" si="20"/>
        <v>593356.80000000005</v>
      </c>
      <c r="O28" s="36">
        <f t="shared" si="20"/>
        <v>2409235.2000000002</v>
      </c>
      <c r="P28" s="36">
        <f t="shared" si="20"/>
        <v>85132.799999999988</v>
      </c>
      <c r="Q28" s="36">
        <f t="shared" si="20"/>
        <v>535296</v>
      </c>
      <c r="R28" s="36">
        <f t="shared" si="20"/>
        <v>440275.20000000001</v>
      </c>
      <c r="S28" s="36">
        <f t="shared" si="1"/>
        <v>15102547.199999999</v>
      </c>
    </row>
    <row r="29" spans="1:19" ht="22.5">
      <c r="A29" s="33" t="s">
        <v>245</v>
      </c>
      <c r="B29" s="34" t="s">
        <v>246</v>
      </c>
      <c r="C29" s="41" t="s">
        <v>191</v>
      </c>
      <c r="D29" s="39" t="s">
        <v>247</v>
      </c>
      <c r="E29" s="36">
        <f>9600*E96</f>
        <v>1171200</v>
      </c>
      <c r="F29" s="36">
        <f t="shared" ref="F29:R29" si="21">9600*F96</f>
        <v>672000</v>
      </c>
      <c r="G29" s="36">
        <f t="shared" si="21"/>
        <v>806400</v>
      </c>
      <c r="H29" s="36">
        <f t="shared" si="21"/>
        <v>902400</v>
      </c>
      <c r="I29" s="36">
        <f t="shared" si="21"/>
        <v>1900800</v>
      </c>
      <c r="J29" s="36">
        <f t="shared" si="21"/>
        <v>316800</v>
      </c>
      <c r="K29" s="36">
        <f t="shared" si="21"/>
        <v>508800</v>
      </c>
      <c r="L29" s="36">
        <f t="shared" si="21"/>
        <v>489600</v>
      </c>
      <c r="M29" s="36">
        <f t="shared" si="21"/>
        <v>374400</v>
      </c>
      <c r="N29" s="36">
        <f t="shared" si="21"/>
        <v>412800</v>
      </c>
      <c r="O29" s="36">
        <f t="shared" si="21"/>
        <v>1440000</v>
      </c>
      <c r="P29" s="36">
        <f t="shared" si="21"/>
        <v>48000</v>
      </c>
      <c r="Q29" s="36">
        <f t="shared" si="21"/>
        <v>336000</v>
      </c>
      <c r="R29" s="36">
        <f t="shared" si="21"/>
        <v>297600</v>
      </c>
      <c r="S29" s="36">
        <f t="shared" si="1"/>
        <v>9676800</v>
      </c>
    </row>
    <row r="30" spans="1:19">
      <c r="A30" s="33" t="s">
        <v>248</v>
      </c>
      <c r="B30" s="34" t="s">
        <v>249</v>
      </c>
      <c r="C30" s="34" t="s">
        <v>249</v>
      </c>
      <c r="D30" s="39" t="s">
        <v>210</v>
      </c>
      <c r="E30" s="45">
        <f>E16*14</f>
        <v>1696480.8000000003</v>
      </c>
      <c r="F30" s="45">
        <f t="shared" ref="F30:R30" si="22">F16*14</f>
        <v>989469.59999999986</v>
      </c>
      <c r="G30" s="45">
        <f t="shared" si="22"/>
        <v>1120408.8000000003</v>
      </c>
      <c r="H30" s="45">
        <f t="shared" si="22"/>
        <v>1194379.2</v>
      </c>
      <c r="I30" s="45">
        <f t="shared" si="22"/>
        <v>2511835.1999999997</v>
      </c>
      <c r="J30" s="45">
        <f t="shared" si="22"/>
        <v>399520.79999999993</v>
      </c>
      <c r="K30" s="45">
        <f t="shared" si="22"/>
        <v>648345.59999999986</v>
      </c>
      <c r="L30" s="45">
        <f t="shared" si="22"/>
        <v>619130.40000000014</v>
      </c>
      <c r="M30" s="45">
        <f t="shared" si="22"/>
        <v>479774.39999999997</v>
      </c>
      <c r="N30" s="45">
        <f t="shared" si="22"/>
        <v>519187.20000000007</v>
      </c>
      <c r="O30" s="45">
        <f t="shared" si="22"/>
        <v>2108080.8000000003</v>
      </c>
      <c r="P30" s="45">
        <f t="shared" si="22"/>
        <v>74491.199999999983</v>
      </c>
      <c r="Q30" s="45">
        <f t="shared" si="22"/>
        <v>468384</v>
      </c>
      <c r="R30" s="45">
        <f t="shared" si="22"/>
        <v>385240.8</v>
      </c>
      <c r="S30" s="36">
        <f t="shared" si="1"/>
        <v>13214728.800000001</v>
      </c>
    </row>
    <row r="31" spans="1:19">
      <c r="A31" s="33" t="s">
        <v>250</v>
      </c>
      <c r="B31" s="34" t="s">
        <v>251</v>
      </c>
      <c r="C31" s="34"/>
      <c r="D31" s="35" t="s">
        <v>185</v>
      </c>
      <c r="E31" s="36">
        <f>E32+E40+E42+E45+E47</f>
        <v>14380</v>
      </c>
      <c r="F31" s="36">
        <f t="shared" ref="F31:R31" si="23">F32+F40+F42+F45+F47</f>
        <v>12840</v>
      </c>
      <c r="G31" s="36">
        <f t="shared" si="23"/>
        <v>7380</v>
      </c>
      <c r="H31" s="36">
        <f t="shared" si="23"/>
        <v>4950</v>
      </c>
      <c r="I31" s="36">
        <f t="shared" si="23"/>
        <v>25220</v>
      </c>
      <c r="J31" s="36">
        <f t="shared" si="23"/>
        <v>2360</v>
      </c>
      <c r="K31" s="36">
        <f t="shared" si="23"/>
        <v>8540</v>
      </c>
      <c r="L31" s="36">
        <f t="shared" si="23"/>
        <v>5820</v>
      </c>
      <c r="M31" s="36">
        <f t="shared" si="23"/>
        <v>9140</v>
      </c>
      <c r="N31" s="36">
        <f t="shared" si="23"/>
        <v>6320</v>
      </c>
      <c r="O31" s="36">
        <f t="shared" si="23"/>
        <v>16380</v>
      </c>
      <c r="P31" s="36">
        <f t="shared" si="23"/>
        <v>0</v>
      </c>
      <c r="Q31" s="36">
        <f t="shared" si="23"/>
        <v>2450</v>
      </c>
      <c r="R31" s="36">
        <f t="shared" si="23"/>
        <v>4260</v>
      </c>
      <c r="S31" s="36">
        <f t="shared" si="1"/>
        <v>120040</v>
      </c>
    </row>
    <row r="32" spans="1:19">
      <c r="A32" s="33" t="s">
        <v>252</v>
      </c>
      <c r="B32" s="34" t="s">
        <v>253</v>
      </c>
      <c r="C32" s="34"/>
      <c r="D32" s="35" t="s">
        <v>185</v>
      </c>
      <c r="E32" s="36">
        <f>E33+E34+E35+E36+E37+E38+E39</f>
        <v>0</v>
      </c>
      <c r="F32" s="36">
        <f t="shared" ref="F32:R32" si="24">F33+F34+F35+F36+F37+F38+F39</f>
        <v>0</v>
      </c>
      <c r="G32" s="36">
        <f t="shared" si="24"/>
        <v>0</v>
      </c>
      <c r="H32" s="36">
        <f t="shared" si="24"/>
        <v>0</v>
      </c>
      <c r="I32" s="36">
        <f t="shared" si="24"/>
        <v>0</v>
      </c>
      <c r="J32" s="36">
        <f t="shared" si="24"/>
        <v>0</v>
      </c>
      <c r="K32" s="36">
        <f t="shared" si="24"/>
        <v>0</v>
      </c>
      <c r="L32" s="36">
        <f t="shared" si="24"/>
        <v>0</v>
      </c>
      <c r="M32" s="36">
        <f t="shared" si="24"/>
        <v>0</v>
      </c>
      <c r="N32" s="36">
        <f t="shared" si="24"/>
        <v>0</v>
      </c>
      <c r="O32" s="36">
        <f t="shared" si="24"/>
        <v>0</v>
      </c>
      <c r="P32" s="36">
        <f t="shared" si="24"/>
        <v>0</v>
      </c>
      <c r="Q32" s="36">
        <f t="shared" si="24"/>
        <v>0</v>
      </c>
      <c r="R32" s="36">
        <f t="shared" si="24"/>
        <v>0</v>
      </c>
      <c r="S32" s="36">
        <f t="shared" si="1"/>
        <v>0</v>
      </c>
    </row>
    <row r="33" spans="1:19">
      <c r="A33" s="33" t="s">
        <v>254</v>
      </c>
      <c r="B33" s="34" t="s">
        <v>255</v>
      </c>
      <c r="C33" s="34" t="s">
        <v>256</v>
      </c>
      <c r="D33" s="42" t="s">
        <v>257</v>
      </c>
      <c r="E33" s="43"/>
      <c r="F33" s="43"/>
      <c r="G33" s="43"/>
      <c r="H33" s="43"/>
      <c r="I33" s="43"/>
      <c r="J33" s="43"/>
      <c r="K33" s="43"/>
      <c r="L33" s="43"/>
      <c r="M33" s="43"/>
      <c r="N33" s="43"/>
      <c r="O33" s="43"/>
      <c r="P33" s="43"/>
      <c r="Q33" s="43"/>
      <c r="R33" s="43"/>
      <c r="S33" s="36">
        <f t="shared" si="1"/>
        <v>0</v>
      </c>
    </row>
    <row r="34" spans="1:19">
      <c r="A34" s="33" t="s">
        <v>258</v>
      </c>
      <c r="B34" s="34" t="s">
        <v>259</v>
      </c>
      <c r="C34" s="34" t="s">
        <v>256</v>
      </c>
      <c r="D34" s="42" t="s">
        <v>257</v>
      </c>
      <c r="E34" s="43"/>
      <c r="F34" s="43"/>
      <c r="G34" s="43"/>
      <c r="H34" s="43"/>
      <c r="I34" s="43"/>
      <c r="J34" s="43"/>
      <c r="K34" s="43"/>
      <c r="L34" s="43"/>
      <c r="M34" s="43"/>
      <c r="N34" s="43"/>
      <c r="O34" s="43"/>
      <c r="P34" s="43"/>
      <c r="Q34" s="43"/>
      <c r="R34" s="43"/>
      <c r="S34" s="36">
        <f t="shared" si="1"/>
        <v>0</v>
      </c>
    </row>
    <row r="35" spans="1:19">
      <c r="A35" s="33" t="s">
        <v>260</v>
      </c>
      <c r="B35" s="34" t="s">
        <v>261</v>
      </c>
      <c r="C35" s="34" t="s">
        <v>256</v>
      </c>
      <c r="D35" s="42" t="s">
        <v>262</v>
      </c>
      <c r="E35" s="43"/>
      <c r="F35" s="43"/>
      <c r="G35" s="43"/>
      <c r="H35" s="43"/>
      <c r="I35" s="43"/>
      <c r="J35" s="43"/>
      <c r="K35" s="43"/>
      <c r="L35" s="43"/>
      <c r="M35" s="43"/>
      <c r="N35" s="43"/>
      <c r="O35" s="43"/>
      <c r="P35" s="43"/>
      <c r="Q35" s="43"/>
      <c r="R35" s="43"/>
      <c r="S35" s="36">
        <f t="shared" si="1"/>
        <v>0</v>
      </c>
    </row>
    <row r="36" spans="1:19">
      <c r="A36" s="33" t="s">
        <v>263</v>
      </c>
      <c r="B36" s="34" t="s">
        <v>264</v>
      </c>
      <c r="C36" s="34" t="s">
        <v>256</v>
      </c>
      <c r="D36" s="42" t="s">
        <v>257</v>
      </c>
      <c r="E36" s="43"/>
      <c r="F36" s="43"/>
      <c r="G36" s="43"/>
      <c r="H36" s="43"/>
      <c r="I36" s="43"/>
      <c r="J36" s="43"/>
      <c r="K36" s="43"/>
      <c r="L36" s="43"/>
      <c r="M36" s="43"/>
      <c r="N36" s="43"/>
      <c r="O36" s="43"/>
      <c r="P36" s="43"/>
      <c r="Q36" s="43"/>
      <c r="R36" s="43"/>
      <c r="S36" s="36">
        <f t="shared" si="1"/>
        <v>0</v>
      </c>
    </row>
    <row r="37" spans="1:19">
      <c r="A37" s="33" t="s">
        <v>265</v>
      </c>
      <c r="B37" s="34" t="s">
        <v>266</v>
      </c>
      <c r="C37" s="34" t="s">
        <v>256</v>
      </c>
      <c r="D37" s="42" t="s">
        <v>257</v>
      </c>
      <c r="E37" s="43"/>
      <c r="F37" s="43"/>
      <c r="G37" s="43"/>
      <c r="H37" s="43"/>
      <c r="I37" s="43"/>
      <c r="J37" s="43"/>
      <c r="K37" s="43"/>
      <c r="L37" s="43"/>
      <c r="M37" s="43"/>
      <c r="N37" s="43"/>
      <c r="O37" s="43"/>
      <c r="P37" s="43"/>
      <c r="Q37" s="43"/>
      <c r="R37" s="43"/>
      <c r="S37" s="36">
        <f t="shared" si="1"/>
        <v>0</v>
      </c>
    </row>
    <row r="38" spans="1:19">
      <c r="A38" s="33" t="s">
        <v>267</v>
      </c>
      <c r="B38" s="34" t="s">
        <v>268</v>
      </c>
      <c r="C38" s="34" t="s">
        <v>256</v>
      </c>
      <c r="D38" s="42" t="s">
        <v>257</v>
      </c>
      <c r="E38" s="43"/>
      <c r="F38" s="43"/>
      <c r="G38" s="43"/>
      <c r="H38" s="43"/>
      <c r="I38" s="43"/>
      <c r="J38" s="43"/>
      <c r="K38" s="43"/>
      <c r="L38" s="43"/>
      <c r="M38" s="43"/>
      <c r="N38" s="43"/>
      <c r="O38" s="43"/>
      <c r="P38" s="43"/>
      <c r="Q38" s="43"/>
      <c r="R38" s="43"/>
      <c r="S38" s="36">
        <f t="shared" si="1"/>
        <v>0</v>
      </c>
    </row>
    <row r="39" spans="1:19">
      <c r="A39" s="33" t="s">
        <v>269</v>
      </c>
      <c r="B39" s="34" t="s">
        <v>270</v>
      </c>
      <c r="C39" s="34" t="s">
        <v>256</v>
      </c>
      <c r="D39" s="42" t="s">
        <v>257</v>
      </c>
      <c r="E39" s="43"/>
      <c r="F39" s="43"/>
      <c r="G39" s="43"/>
      <c r="H39" s="43"/>
      <c r="I39" s="43"/>
      <c r="J39" s="43"/>
      <c r="K39" s="43"/>
      <c r="L39" s="43"/>
      <c r="M39" s="43"/>
      <c r="N39" s="43"/>
      <c r="O39" s="43"/>
      <c r="P39" s="43"/>
      <c r="Q39" s="43"/>
      <c r="R39" s="43"/>
      <c r="S39" s="36">
        <f t="shared" si="1"/>
        <v>0</v>
      </c>
    </row>
    <row r="40" spans="1:19">
      <c r="A40" s="33" t="s">
        <v>271</v>
      </c>
      <c r="B40" s="34" t="s">
        <v>272</v>
      </c>
      <c r="C40" s="34"/>
      <c r="D40" s="35" t="s">
        <v>185</v>
      </c>
      <c r="E40" s="36">
        <f>E41</f>
        <v>0</v>
      </c>
      <c r="F40" s="36">
        <f t="shared" ref="F40:R40" si="25">F41</f>
        <v>0</v>
      </c>
      <c r="G40" s="36">
        <f t="shared" si="25"/>
        <v>0</v>
      </c>
      <c r="H40" s="36">
        <f t="shared" si="25"/>
        <v>0</v>
      </c>
      <c r="I40" s="36">
        <f t="shared" si="25"/>
        <v>0</v>
      </c>
      <c r="J40" s="36">
        <f t="shared" si="25"/>
        <v>0</v>
      </c>
      <c r="K40" s="36">
        <f t="shared" si="25"/>
        <v>0</v>
      </c>
      <c r="L40" s="36">
        <f t="shared" si="25"/>
        <v>0</v>
      </c>
      <c r="M40" s="36">
        <f t="shared" si="25"/>
        <v>0</v>
      </c>
      <c r="N40" s="36">
        <f t="shared" si="25"/>
        <v>0</v>
      </c>
      <c r="O40" s="36">
        <f t="shared" si="25"/>
        <v>0</v>
      </c>
      <c r="P40" s="36">
        <f t="shared" si="25"/>
        <v>0</v>
      </c>
      <c r="Q40" s="36">
        <f t="shared" si="25"/>
        <v>0</v>
      </c>
      <c r="R40" s="36">
        <f t="shared" si="25"/>
        <v>0</v>
      </c>
      <c r="S40" s="36">
        <f t="shared" si="1"/>
        <v>0</v>
      </c>
    </row>
    <row r="41" spans="1:19" s="40" customFormat="1">
      <c r="A41" s="33" t="s">
        <v>273</v>
      </c>
      <c r="B41" s="38" t="s">
        <v>274</v>
      </c>
      <c r="C41" s="38" t="s">
        <v>191</v>
      </c>
      <c r="D41" s="39" t="s">
        <v>275</v>
      </c>
      <c r="E41" s="46"/>
      <c r="F41" s="46"/>
      <c r="G41" s="46"/>
      <c r="H41" s="46"/>
      <c r="I41" s="46"/>
      <c r="J41" s="46"/>
      <c r="K41" s="46"/>
      <c r="L41" s="46"/>
      <c r="M41" s="46"/>
      <c r="N41" s="46"/>
      <c r="O41" s="46"/>
      <c r="P41" s="46"/>
      <c r="Q41" s="46"/>
      <c r="R41" s="46"/>
      <c r="S41" s="36">
        <f t="shared" si="1"/>
        <v>0</v>
      </c>
    </row>
    <row r="42" spans="1:19">
      <c r="A42" s="33" t="s">
        <v>276</v>
      </c>
      <c r="B42" s="34" t="s">
        <v>277</v>
      </c>
      <c r="C42" s="34"/>
      <c r="D42" s="35" t="s">
        <v>185</v>
      </c>
      <c r="E42" s="36">
        <f>E43+E44</f>
        <v>0</v>
      </c>
      <c r="F42" s="36">
        <f t="shared" ref="F42:R42" si="26">F43+F44</f>
        <v>0</v>
      </c>
      <c r="G42" s="36">
        <f t="shared" si="26"/>
        <v>0</v>
      </c>
      <c r="H42" s="36">
        <f t="shared" si="26"/>
        <v>0</v>
      </c>
      <c r="I42" s="36">
        <f t="shared" si="26"/>
        <v>0</v>
      </c>
      <c r="J42" s="36">
        <f t="shared" si="26"/>
        <v>0</v>
      </c>
      <c r="K42" s="36">
        <f t="shared" si="26"/>
        <v>0</v>
      </c>
      <c r="L42" s="36">
        <f t="shared" si="26"/>
        <v>0</v>
      </c>
      <c r="M42" s="36">
        <f t="shared" si="26"/>
        <v>0</v>
      </c>
      <c r="N42" s="36">
        <f t="shared" si="26"/>
        <v>0</v>
      </c>
      <c r="O42" s="36">
        <f t="shared" si="26"/>
        <v>0</v>
      </c>
      <c r="P42" s="36">
        <f t="shared" si="26"/>
        <v>0</v>
      </c>
      <c r="Q42" s="36">
        <f t="shared" si="26"/>
        <v>0</v>
      </c>
      <c r="R42" s="36">
        <f t="shared" si="26"/>
        <v>0</v>
      </c>
      <c r="S42" s="36">
        <f t="shared" si="1"/>
        <v>0</v>
      </c>
    </row>
    <row r="43" spans="1:19" s="40" customFormat="1">
      <c r="A43" s="33" t="s">
        <v>278</v>
      </c>
      <c r="B43" s="38" t="s">
        <v>279</v>
      </c>
      <c r="C43" s="38" t="s">
        <v>191</v>
      </c>
      <c r="D43" s="39" t="s">
        <v>262</v>
      </c>
      <c r="E43" s="46"/>
      <c r="F43" s="46"/>
      <c r="G43" s="46"/>
      <c r="H43" s="46"/>
      <c r="I43" s="46"/>
      <c r="J43" s="46"/>
      <c r="K43" s="46"/>
      <c r="L43" s="46"/>
      <c r="M43" s="46"/>
      <c r="N43" s="46"/>
      <c r="O43" s="46"/>
      <c r="P43" s="46"/>
      <c r="Q43" s="46"/>
      <c r="R43" s="46"/>
      <c r="S43" s="36">
        <f t="shared" si="1"/>
        <v>0</v>
      </c>
    </row>
    <row r="44" spans="1:19" s="40" customFormat="1">
      <c r="A44" s="33" t="s">
        <v>280</v>
      </c>
      <c r="B44" s="38" t="s">
        <v>281</v>
      </c>
      <c r="C44" s="38" t="s">
        <v>191</v>
      </c>
      <c r="D44" s="39" t="s">
        <v>262</v>
      </c>
      <c r="E44" s="46"/>
      <c r="F44" s="46"/>
      <c r="G44" s="46"/>
      <c r="H44" s="46"/>
      <c r="I44" s="46"/>
      <c r="J44" s="46"/>
      <c r="K44" s="46"/>
      <c r="L44" s="46"/>
      <c r="M44" s="46"/>
      <c r="N44" s="46"/>
      <c r="O44" s="46"/>
      <c r="P44" s="46"/>
      <c r="Q44" s="46"/>
      <c r="R44" s="46"/>
      <c r="S44" s="36">
        <f t="shared" si="1"/>
        <v>0</v>
      </c>
    </row>
    <row r="45" spans="1:19">
      <c r="A45" s="33" t="s">
        <v>282</v>
      </c>
      <c r="B45" s="34" t="s">
        <v>283</v>
      </c>
      <c r="C45" s="34"/>
      <c r="D45" s="35" t="s">
        <v>185</v>
      </c>
      <c r="E45" s="36">
        <f>E46</f>
        <v>8280</v>
      </c>
      <c r="F45" s="36">
        <f t="shared" ref="F45:R45" si="27">F46</f>
        <v>6840</v>
      </c>
      <c r="G45" s="36">
        <f t="shared" si="27"/>
        <v>4680</v>
      </c>
      <c r="H45" s="36">
        <f t="shared" si="27"/>
        <v>3600</v>
      </c>
      <c r="I45" s="36">
        <f t="shared" si="27"/>
        <v>4320</v>
      </c>
      <c r="J45" s="36">
        <f t="shared" si="27"/>
        <v>2160</v>
      </c>
      <c r="K45" s="36">
        <f t="shared" si="27"/>
        <v>5040</v>
      </c>
      <c r="L45" s="36">
        <f t="shared" si="27"/>
        <v>4320</v>
      </c>
      <c r="M45" s="36">
        <f t="shared" si="27"/>
        <v>5040</v>
      </c>
      <c r="N45" s="36">
        <f t="shared" si="27"/>
        <v>4320</v>
      </c>
      <c r="O45" s="36">
        <f t="shared" si="27"/>
        <v>10080</v>
      </c>
      <c r="P45" s="36">
        <f t="shared" si="27"/>
        <v>0</v>
      </c>
      <c r="Q45" s="36">
        <f t="shared" si="27"/>
        <v>1800</v>
      </c>
      <c r="R45" s="36">
        <f t="shared" si="27"/>
        <v>2160</v>
      </c>
      <c r="S45" s="36">
        <f t="shared" si="1"/>
        <v>62640</v>
      </c>
    </row>
    <row r="46" spans="1:19">
      <c r="A46" s="33" t="s">
        <v>284</v>
      </c>
      <c r="B46" s="34" t="s">
        <v>285</v>
      </c>
      <c r="C46" s="34" t="s">
        <v>191</v>
      </c>
      <c r="D46" s="35" t="s">
        <v>192</v>
      </c>
      <c r="E46" s="37">
        <f>690*12</f>
        <v>8280</v>
      </c>
      <c r="F46" s="37">
        <f>570*12</f>
        <v>6840</v>
      </c>
      <c r="G46" s="37">
        <f>390*12</f>
        <v>4680</v>
      </c>
      <c r="H46" s="37">
        <f>300*12</f>
        <v>3600</v>
      </c>
      <c r="I46" s="37">
        <f>360*12</f>
        <v>4320</v>
      </c>
      <c r="J46" s="37">
        <f>180*12</f>
        <v>2160</v>
      </c>
      <c r="K46" s="37">
        <f>420*12</f>
        <v>5040</v>
      </c>
      <c r="L46" s="37">
        <f>360*12</f>
        <v>4320</v>
      </c>
      <c r="M46" s="37">
        <f>420*12</f>
        <v>5040</v>
      </c>
      <c r="N46" s="37">
        <f>360*12</f>
        <v>4320</v>
      </c>
      <c r="O46" s="37">
        <f>840*12</f>
        <v>10080</v>
      </c>
      <c r="P46" s="37"/>
      <c r="Q46" s="37">
        <f>150*12</f>
        <v>1800</v>
      </c>
      <c r="R46" s="37">
        <f>180*12</f>
        <v>2160</v>
      </c>
      <c r="S46" s="36">
        <f t="shared" si="1"/>
        <v>62640</v>
      </c>
    </row>
    <row r="47" spans="1:19">
      <c r="A47" s="33" t="s">
        <v>286</v>
      </c>
      <c r="B47" s="34" t="s">
        <v>287</v>
      </c>
      <c r="C47" s="34"/>
      <c r="D47" s="35" t="s">
        <v>185</v>
      </c>
      <c r="E47" s="36">
        <f>SUM(E48:E51)</f>
        <v>6100</v>
      </c>
      <c r="F47" s="36">
        <f t="shared" ref="F47:R47" si="28">SUM(F48:F51)</f>
        <v>6000</v>
      </c>
      <c r="G47" s="36">
        <f t="shared" si="28"/>
        <v>2700</v>
      </c>
      <c r="H47" s="36">
        <f t="shared" si="28"/>
        <v>1350</v>
      </c>
      <c r="I47" s="36">
        <f t="shared" si="28"/>
        <v>20900</v>
      </c>
      <c r="J47" s="36">
        <f t="shared" si="28"/>
        <v>200</v>
      </c>
      <c r="K47" s="36">
        <f t="shared" si="28"/>
        <v>3500</v>
      </c>
      <c r="L47" s="36">
        <f t="shared" si="28"/>
        <v>1500</v>
      </c>
      <c r="M47" s="36">
        <f t="shared" si="28"/>
        <v>4100</v>
      </c>
      <c r="N47" s="36">
        <f t="shared" si="28"/>
        <v>2000</v>
      </c>
      <c r="O47" s="36">
        <f t="shared" si="28"/>
        <v>6300</v>
      </c>
      <c r="P47" s="36">
        <f t="shared" si="28"/>
        <v>0</v>
      </c>
      <c r="Q47" s="36">
        <f t="shared" si="28"/>
        <v>650</v>
      </c>
      <c r="R47" s="36">
        <f t="shared" si="28"/>
        <v>2100</v>
      </c>
      <c r="S47" s="36">
        <f t="shared" si="1"/>
        <v>57400</v>
      </c>
    </row>
    <row r="48" spans="1:19" s="61" customFormat="1">
      <c r="A48" s="59" t="s">
        <v>288</v>
      </c>
      <c r="B48" s="63" t="s">
        <v>289</v>
      </c>
      <c r="C48" s="63" t="s">
        <v>191</v>
      </c>
      <c r="D48" s="64" t="s">
        <v>290</v>
      </c>
      <c r="E48" s="62">
        <v>6100</v>
      </c>
      <c r="F48" s="62">
        <v>6000</v>
      </c>
      <c r="G48" s="62">
        <v>2700</v>
      </c>
      <c r="H48" s="62">
        <v>1350</v>
      </c>
      <c r="I48" s="62">
        <v>20900</v>
      </c>
      <c r="J48" s="62">
        <v>200</v>
      </c>
      <c r="K48" s="62">
        <v>3500</v>
      </c>
      <c r="L48" s="62">
        <v>1500</v>
      </c>
      <c r="M48" s="62">
        <v>4100</v>
      </c>
      <c r="N48" s="62">
        <v>2000</v>
      </c>
      <c r="O48" s="62">
        <v>6300</v>
      </c>
      <c r="P48" s="62"/>
      <c r="Q48" s="62">
        <v>650</v>
      </c>
      <c r="R48" s="62">
        <v>2100</v>
      </c>
      <c r="S48" s="60">
        <f t="shared" si="1"/>
        <v>57400</v>
      </c>
    </row>
    <row r="49" spans="1:19" s="40" customFormat="1">
      <c r="A49" s="33" t="s">
        <v>291</v>
      </c>
      <c r="B49" s="38" t="s">
        <v>292</v>
      </c>
      <c r="C49" s="38" t="s">
        <v>191</v>
      </c>
      <c r="D49" s="39" t="s">
        <v>293</v>
      </c>
      <c r="E49" s="46"/>
      <c r="F49" s="46"/>
      <c r="G49" s="46"/>
      <c r="H49" s="46"/>
      <c r="I49" s="46"/>
      <c r="J49" s="46"/>
      <c r="K49" s="46"/>
      <c r="L49" s="46"/>
      <c r="M49" s="46"/>
      <c r="N49" s="46"/>
      <c r="O49" s="46"/>
      <c r="P49" s="46"/>
      <c r="Q49" s="46"/>
      <c r="R49" s="46"/>
      <c r="S49" s="36">
        <f t="shared" si="1"/>
        <v>0</v>
      </c>
    </row>
    <row r="50" spans="1:19" s="40" customFormat="1">
      <c r="A50" s="33" t="s">
        <v>294</v>
      </c>
      <c r="B50" s="38" t="s">
        <v>295</v>
      </c>
      <c r="C50" s="38" t="s">
        <v>191</v>
      </c>
      <c r="D50" s="39" t="s">
        <v>293</v>
      </c>
      <c r="E50" s="46"/>
      <c r="F50" s="46"/>
      <c r="G50" s="46"/>
      <c r="H50" s="46"/>
      <c r="I50" s="46"/>
      <c r="J50" s="46"/>
      <c r="K50" s="46"/>
      <c r="L50" s="46"/>
      <c r="M50" s="46"/>
      <c r="N50" s="46"/>
      <c r="O50" s="46"/>
      <c r="P50" s="46"/>
      <c r="Q50" s="46"/>
      <c r="R50" s="46"/>
      <c r="S50" s="36">
        <f t="shared" si="1"/>
        <v>0</v>
      </c>
    </row>
    <row r="51" spans="1:19" ht="33.75">
      <c r="A51" s="33" t="s">
        <v>296</v>
      </c>
      <c r="B51" s="34" t="s">
        <v>297</v>
      </c>
      <c r="C51" s="34" t="s">
        <v>191</v>
      </c>
      <c r="D51" s="42" t="s">
        <v>298</v>
      </c>
      <c r="E51" s="43"/>
      <c r="F51" s="43"/>
      <c r="G51" s="43"/>
      <c r="H51" s="43"/>
      <c r="I51" s="43"/>
      <c r="J51" s="43"/>
      <c r="K51" s="43"/>
      <c r="L51" s="43"/>
      <c r="M51" s="43"/>
      <c r="N51" s="43"/>
      <c r="O51" s="43"/>
      <c r="P51" s="43"/>
      <c r="Q51" s="43"/>
      <c r="R51" s="43"/>
      <c r="S51" s="36">
        <f t="shared" si="1"/>
        <v>0</v>
      </c>
    </row>
    <row r="52" spans="1:19">
      <c r="A52" s="33" t="s">
        <v>299</v>
      </c>
      <c r="B52" s="34" t="s">
        <v>300</v>
      </c>
      <c r="C52" s="34"/>
      <c r="D52" s="35" t="s">
        <v>185</v>
      </c>
      <c r="E52" s="36">
        <f>E53+E71+E73+E75+E77+E79+E81+E83+E85+E93</f>
        <v>5961030.7999999998</v>
      </c>
      <c r="F52" s="36">
        <f t="shared" ref="F52:R52" si="29">F53+F71+F73+F75+F77+F79+F81+F83+F85+F93</f>
        <v>3026521.6</v>
      </c>
      <c r="G52" s="36">
        <f t="shared" si="29"/>
        <v>3783321.8</v>
      </c>
      <c r="H52" s="36">
        <f t="shared" si="29"/>
        <v>4136371.2</v>
      </c>
      <c r="I52" s="36">
        <f t="shared" si="29"/>
        <v>11132280.799999999</v>
      </c>
      <c r="J52" s="36">
        <f t="shared" si="29"/>
        <v>2149846.4499999997</v>
      </c>
      <c r="K52" s="36">
        <f t="shared" si="29"/>
        <v>3018371.2</v>
      </c>
      <c r="L52" s="36">
        <f t="shared" si="29"/>
        <v>2416724.1999999997</v>
      </c>
      <c r="M52" s="36">
        <f t="shared" si="29"/>
        <v>2249356.15</v>
      </c>
      <c r="N52" s="36">
        <f t="shared" si="29"/>
        <v>2101133</v>
      </c>
      <c r="O52" s="36">
        <f t="shared" si="29"/>
        <v>6255167.1499999994</v>
      </c>
      <c r="P52" s="36">
        <f t="shared" si="29"/>
        <v>285543.2</v>
      </c>
      <c r="Q52" s="36">
        <f t="shared" si="29"/>
        <v>2282564.7000000002</v>
      </c>
      <c r="R52" s="36">
        <f t="shared" si="29"/>
        <v>1729025.6</v>
      </c>
      <c r="S52" s="36">
        <f t="shared" si="1"/>
        <v>50527257.850000001</v>
      </c>
    </row>
    <row r="53" spans="1:19">
      <c r="A53" s="33" t="s">
        <v>301</v>
      </c>
      <c r="B53" s="34" t="s">
        <v>302</v>
      </c>
      <c r="C53" s="34"/>
      <c r="D53" s="35" t="s">
        <v>303</v>
      </c>
      <c r="E53" s="36">
        <f>SUM(E54:E70)</f>
        <v>3715760</v>
      </c>
      <c r="F53" s="36">
        <f t="shared" ref="F53:R53" si="30">SUM(F54:F70)</f>
        <v>1949870</v>
      </c>
      <c r="G53" s="36">
        <f t="shared" si="30"/>
        <v>2388720</v>
      </c>
      <c r="H53" s="36">
        <f t="shared" si="30"/>
        <v>2760350</v>
      </c>
      <c r="I53" s="36">
        <f t="shared" si="30"/>
        <v>8831270</v>
      </c>
      <c r="J53" s="36">
        <f t="shared" si="30"/>
        <v>1614000</v>
      </c>
      <c r="K53" s="36">
        <f t="shared" si="30"/>
        <v>2232240</v>
      </c>
      <c r="L53" s="36">
        <f t="shared" si="30"/>
        <v>1740140</v>
      </c>
      <c r="M53" s="36">
        <f t="shared" si="30"/>
        <v>1657180</v>
      </c>
      <c r="N53" s="36">
        <f t="shared" si="30"/>
        <v>1556600</v>
      </c>
      <c r="O53" s="36">
        <f t="shared" si="30"/>
        <v>4234380</v>
      </c>
      <c r="P53" s="36">
        <f t="shared" si="30"/>
        <v>160000</v>
      </c>
      <c r="Q53" s="36">
        <f t="shared" si="30"/>
        <v>1698000</v>
      </c>
      <c r="R53" s="36">
        <f t="shared" si="30"/>
        <v>1311380</v>
      </c>
      <c r="S53" s="36">
        <f t="shared" si="1"/>
        <v>35849890</v>
      </c>
    </row>
    <row r="54" spans="1:19">
      <c r="A54" s="33" t="s">
        <v>304</v>
      </c>
      <c r="B54" s="34" t="s">
        <v>305</v>
      </c>
      <c r="C54" s="34" t="s">
        <v>191</v>
      </c>
      <c r="D54" s="47"/>
      <c r="E54" s="37">
        <f>[2]公用定额!E5</f>
        <v>591972</v>
      </c>
      <c r="F54" s="37">
        <f>[2]公用定额!F5</f>
        <v>150000</v>
      </c>
      <c r="G54" s="37">
        <f>[2]公用定额!G5</f>
        <v>212796</v>
      </c>
      <c r="H54" s="37">
        <f>[2]公用定额!H5</f>
        <v>232508.5</v>
      </c>
      <c r="I54" s="37">
        <f>[2]公用定额!I5</f>
        <v>1166580.5</v>
      </c>
      <c r="J54" s="37">
        <f>[2]公用定额!J5</f>
        <v>208430</v>
      </c>
      <c r="K54" s="37">
        <f>[2]公用定额!K5</f>
        <v>156327</v>
      </c>
      <c r="L54" s="37">
        <f>[2]公用定额!L5</f>
        <v>144681</v>
      </c>
      <c r="M54" s="37">
        <f>[2]公用定额!M5</f>
        <v>120216</v>
      </c>
      <c r="N54" s="37">
        <f>[2]公用定额!N5</f>
        <v>404356</v>
      </c>
      <c r="O54" s="37">
        <f>[2]公用定额!O5</f>
        <v>323262.5</v>
      </c>
      <c r="P54" s="37">
        <f>[2]公用定额!P5</f>
        <v>18100</v>
      </c>
      <c r="Q54" s="37">
        <f>[2]公用定额!Q5</f>
        <v>125045.5</v>
      </c>
      <c r="R54" s="37">
        <f>[2]公用定额!R5</f>
        <v>216264</v>
      </c>
      <c r="S54" s="36">
        <f t="shared" si="1"/>
        <v>4070539</v>
      </c>
    </row>
    <row r="55" spans="1:19">
      <c r="A55" s="33" t="s">
        <v>306</v>
      </c>
      <c r="B55" s="34" t="s">
        <v>307</v>
      </c>
      <c r="C55" s="34" t="s">
        <v>191</v>
      </c>
      <c r="D55" s="47"/>
      <c r="E55" s="37">
        <f>[2]公用定额!E6</f>
        <v>50000</v>
      </c>
      <c r="F55" s="37">
        <f>[2]公用定额!F6</f>
        <v>90000</v>
      </c>
      <c r="G55" s="37">
        <f>[2]公用定额!G6</f>
        <v>4000</v>
      </c>
      <c r="H55" s="37">
        <f>[2]公用定额!H6</f>
        <v>100000</v>
      </c>
      <c r="I55" s="37">
        <f>[2]公用定额!I6</f>
        <v>15000</v>
      </c>
      <c r="J55" s="37">
        <f>[2]公用定额!J6</f>
        <v>0</v>
      </c>
      <c r="K55" s="37">
        <f>[2]公用定额!K6</f>
        <v>10000</v>
      </c>
      <c r="L55" s="37">
        <f>[2]公用定额!L6</f>
        <v>10000</v>
      </c>
      <c r="M55" s="37">
        <f>[2]公用定额!M6</f>
        <v>0</v>
      </c>
      <c r="N55" s="37">
        <f>[2]公用定额!N6</f>
        <v>10000</v>
      </c>
      <c r="O55" s="37">
        <f>[2]公用定额!O6</f>
        <v>0</v>
      </c>
      <c r="P55" s="37">
        <f>[2]公用定额!P6</f>
        <v>0</v>
      </c>
      <c r="Q55" s="37">
        <f>[2]公用定额!Q6</f>
        <v>0</v>
      </c>
      <c r="R55" s="37">
        <f>[2]公用定额!R6</f>
        <v>0</v>
      </c>
      <c r="S55" s="36">
        <f t="shared" si="1"/>
        <v>289000</v>
      </c>
    </row>
    <row r="56" spans="1:19">
      <c r="A56" s="33" t="s">
        <v>308</v>
      </c>
      <c r="B56" s="34" t="s">
        <v>309</v>
      </c>
      <c r="C56" s="34" t="s">
        <v>191</v>
      </c>
      <c r="D56" s="47"/>
      <c r="E56" s="37">
        <f>[2]公用定额!E7</f>
        <v>0</v>
      </c>
      <c r="F56" s="37">
        <f>[2]公用定额!F7</f>
        <v>0</v>
      </c>
      <c r="G56" s="37">
        <f>[2]公用定额!G7</f>
        <v>0</v>
      </c>
      <c r="H56" s="37">
        <f>[2]公用定额!H7</f>
        <v>0</v>
      </c>
      <c r="I56" s="37">
        <f>[2]公用定额!I7</f>
        <v>0</v>
      </c>
      <c r="J56" s="37">
        <f>[2]公用定额!J7</f>
        <v>0</v>
      </c>
      <c r="K56" s="37">
        <f>[2]公用定额!K7</f>
        <v>0</v>
      </c>
      <c r="L56" s="37">
        <f>[2]公用定额!L7</f>
        <v>10000</v>
      </c>
      <c r="M56" s="37">
        <f>[2]公用定额!M7</f>
        <v>0</v>
      </c>
      <c r="N56" s="37">
        <f>[2]公用定额!N7</f>
        <v>100000</v>
      </c>
      <c r="O56" s="37">
        <f>[2]公用定额!O7</f>
        <v>0</v>
      </c>
      <c r="P56" s="37">
        <f>[2]公用定额!P7</f>
        <v>0</v>
      </c>
      <c r="Q56" s="37">
        <f>[2]公用定额!Q7</f>
        <v>0</v>
      </c>
      <c r="R56" s="37">
        <f>[2]公用定额!R7</f>
        <v>20000</v>
      </c>
      <c r="S56" s="36">
        <f t="shared" si="1"/>
        <v>130000</v>
      </c>
    </row>
    <row r="57" spans="1:19">
      <c r="A57" s="33" t="s">
        <v>310</v>
      </c>
      <c r="B57" s="34" t="s">
        <v>311</v>
      </c>
      <c r="C57" s="34" t="s">
        <v>191</v>
      </c>
      <c r="D57" s="47"/>
      <c r="E57" s="37">
        <f>[2]公用定额!E8</f>
        <v>180000</v>
      </c>
      <c r="F57" s="37">
        <f>[2]公用定额!F8</f>
        <v>156000</v>
      </c>
      <c r="G57" s="37">
        <f>[2]公用定额!G8</f>
        <v>160000</v>
      </c>
      <c r="H57" s="37">
        <f>[2]公用定额!H8</f>
        <v>150000</v>
      </c>
      <c r="I57" s="37">
        <f>[2]公用定额!I8</f>
        <v>120000</v>
      </c>
      <c r="J57" s="37">
        <f>[2]公用定额!J8</f>
        <v>20000</v>
      </c>
      <c r="K57" s="37">
        <f>[2]公用定额!K8</f>
        <v>50000</v>
      </c>
      <c r="L57" s="37">
        <f>[2]公用定额!L8</f>
        <v>40000</v>
      </c>
      <c r="M57" s="37">
        <f>[2]公用定额!M8</f>
        <v>50000</v>
      </c>
      <c r="N57" s="37">
        <f>[2]公用定额!N8</f>
        <v>50000</v>
      </c>
      <c r="O57" s="37">
        <f>[2]公用定额!O8</f>
        <v>150000</v>
      </c>
      <c r="P57" s="37">
        <f>[2]公用定额!P8</f>
        <v>0</v>
      </c>
      <c r="Q57" s="37">
        <f>[2]公用定额!Q8</f>
        <v>30000</v>
      </c>
      <c r="R57" s="37">
        <f>[2]公用定额!R8</f>
        <v>30000</v>
      </c>
      <c r="S57" s="36">
        <f t="shared" si="1"/>
        <v>1186000</v>
      </c>
    </row>
    <row r="58" spans="1:19">
      <c r="A58" s="33" t="s">
        <v>312</v>
      </c>
      <c r="B58" s="34" t="s">
        <v>313</v>
      </c>
      <c r="C58" s="34" t="s">
        <v>191</v>
      </c>
      <c r="D58" s="47"/>
      <c r="E58" s="37">
        <f>[2]公用定额!E9</f>
        <v>260000</v>
      </c>
      <c r="F58" s="37">
        <f>[2]公用定额!F9</f>
        <v>140000</v>
      </c>
      <c r="G58" s="37">
        <f>[2]公用定额!G9</f>
        <v>120000</v>
      </c>
      <c r="H58" s="37">
        <f>[2]公用定额!H9</f>
        <v>200000</v>
      </c>
      <c r="I58" s="37">
        <f>[2]公用定额!I9</f>
        <v>450000</v>
      </c>
      <c r="J58" s="37">
        <f>[2]公用定额!J9</f>
        <v>150000</v>
      </c>
      <c r="K58" s="37">
        <f>[2]公用定额!K9</f>
        <v>200000</v>
      </c>
      <c r="L58" s="37">
        <f>[2]公用定额!L9</f>
        <v>90000</v>
      </c>
      <c r="M58" s="37">
        <f>[2]公用定额!M9</f>
        <v>200000</v>
      </c>
      <c r="N58" s="37">
        <f>[2]公用定额!N9</f>
        <v>150000</v>
      </c>
      <c r="O58" s="37">
        <f>[2]公用定额!O9</f>
        <v>300000</v>
      </c>
      <c r="P58" s="37">
        <f>[2]公用定额!P9</f>
        <v>0</v>
      </c>
      <c r="Q58" s="37">
        <f>[2]公用定额!Q9</f>
        <v>50000</v>
      </c>
      <c r="R58" s="37">
        <f>[2]公用定额!R9</f>
        <v>130000</v>
      </c>
      <c r="S58" s="36">
        <f t="shared" si="1"/>
        <v>2440000</v>
      </c>
    </row>
    <row r="59" spans="1:19">
      <c r="A59" s="33" t="s">
        <v>314</v>
      </c>
      <c r="B59" s="34" t="s">
        <v>315</v>
      </c>
      <c r="C59" s="34" t="s">
        <v>191</v>
      </c>
      <c r="D59" s="47"/>
      <c r="E59" s="37">
        <f>[2]公用定额!E10</f>
        <v>50000</v>
      </c>
      <c r="F59" s="37">
        <f>[2]公用定额!F10</f>
        <v>80000</v>
      </c>
      <c r="G59" s="37">
        <f>[2]公用定额!G10</f>
        <v>3000</v>
      </c>
      <c r="H59" s="37">
        <f>[2]公用定额!H10</f>
        <v>5000</v>
      </c>
      <c r="I59" s="37">
        <f>[2]公用定额!I10</f>
        <v>50000</v>
      </c>
      <c r="J59" s="37">
        <f>[2]公用定额!J10</f>
        <v>6000</v>
      </c>
      <c r="K59" s="37">
        <f>[2]公用定额!K10</f>
        <v>10000</v>
      </c>
      <c r="L59" s="37">
        <f>[2]公用定额!L10</f>
        <v>10000</v>
      </c>
      <c r="M59" s="37">
        <f>[2]公用定额!M10</f>
        <v>10000</v>
      </c>
      <c r="N59" s="37">
        <f>[2]公用定额!N10</f>
        <v>50000</v>
      </c>
      <c r="O59" s="37">
        <f>[2]公用定额!O10</f>
        <v>40000</v>
      </c>
      <c r="P59" s="37">
        <f>[2]公用定额!P10</f>
        <v>5000</v>
      </c>
      <c r="Q59" s="37">
        <f>[2]公用定额!Q10</f>
        <v>10000</v>
      </c>
      <c r="R59" s="37">
        <f>[2]公用定额!R10</f>
        <v>30000</v>
      </c>
      <c r="S59" s="36">
        <f t="shared" si="1"/>
        <v>359000</v>
      </c>
    </row>
    <row r="60" spans="1:19">
      <c r="A60" s="33" t="s">
        <v>316</v>
      </c>
      <c r="B60" s="34" t="s">
        <v>317</v>
      </c>
      <c r="C60" s="34" t="s">
        <v>191</v>
      </c>
      <c r="D60" s="47"/>
      <c r="E60" s="37">
        <f>[2]公用定额!E11</f>
        <v>68000</v>
      </c>
      <c r="F60" s="37">
        <f>[2]公用定额!F11</f>
        <v>56000</v>
      </c>
      <c r="G60" s="37">
        <f>[2]公用定额!G11</f>
        <v>20000</v>
      </c>
      <c r="H60" s="37">
        <f>[2]公用定额!H11</f>
        <v>5000</v>
      </c>
      <c r="I60" s="37">
        <f>[2]公用定额!I11</f>
        <v>10000</v>
      </c>
      <c r="J60" s="37">
        <f>[2]公用定额!J11</f>
        <v>20000</v>
      </c>
      <c r="K60" s="37">
        <f>[2]公用定额!K11</f>
        <v>5000</v>
      </c>
      <c r="L60" s="37">
        <f>[2]公用定额!L11</f>
        <v>2000</v>
      </c>
      <c r="M60" s="37">
        <f>[2]公用定额!M11</f>
        <v>10000</v>
      </c>
      <c r="N60" s="37">
        <f>[2]公用定额!N11</f>
        <v>20000</v>
      </c>
      <c r="O60" s="37">
        <f>[2]公用定额!O11</f>
        <v>0</v>
      </c>
      <c r="P60" s="37">
        <f>[2]公用定额!P11</f>
        <v>1000</v>
      </c>
      <c r="Q60" s="37">
        <f>[2]公用定额!Q11</f>
        <v>1000</v>
      </c>
      <c r="R60" s="37">
        <f>[2]公用定额!R11</f>
        <v>5000</v>
      </c>
      <c r="S60" s="36">
        <f t="shared" si="1"/>
        <v>223000</v>
      </c>
    </row>
    <row r="61" spans="1:19">
      <c r="A61" s="33" t="s">
        <v>318</v>
      </c>
      <c r="B61" s="34" t="s">
        <v>319</v>
      </c>
      <c r="C61" s="34" t="s">
        <v>191</v>
      </c>
      <c r="D61" s="47"/>
      <c r="E61" s="37">
        <f>[2]公用定额!E12</f>
        <v>500000</v>
      </c>
      <c r="F61" s="37">
        <f>[2]公用定额!F12</f>
        <v>200000</v>
      </c>
      <c r="G61" s="37">
        <f>[2]公用定额!G12</f>
        <v>300000</v>
      </c>
      <c r="H61" s="37">
        <f>[2]公用定额!H12</f>
        <v>300000</v>
      </c>
      <c r="I61" s="37">
        <f>[2]公用定额!I12</f>
        <v>50000</v>
      </c>
      <c r="J61" s="37">
        <f>[2]公用定额!J12</f>
        <v>500000</v>
      </c>
      <c r="K61" s="37">
        <f>[2]公用定额!K12</f>
        <v>577797</v>
      </c>
      <c r="L61" s="37">
        <f>[2]公用定额!L12</f>
        <v>250000</v>
      </c>
      <c r="M61" s="37">
        <f>[2]公用定额!M12</f>
        <v>502700</v>
      </c>
      <c r="N61" s="37">
        <f>[2]公用定额!N12</f>
        <v>300000</v>
      </c>
      <c r="O61" s="37">
        <f>[2]公用定额!O12</f>
        <v>750000</v>
      </c>
      <c r="P61" s="37">
        <f>[2]公用定额!P12</f>
        <v>15000</v>
      </c>
      <c r="Q61" s="37">
        <f>[2]公用定额!Q12</f>
        <v>500000</v>
      </c>
      <c r="R61" s="37">
        <f>[2]公用定额!R12</f>
        <v>250000</v>
      </c>
      <c r="S61" s="36">
        <f t="shared" si="1"/>
        <v>4995497</v>
      </c>
    </row>
    <row r="62" spans="1:19">
      <c r="A62" s="33" t="s">
        <v>320</v>
      </c>
      <c r="B62" s="34" t="s">
        <v>321</v>
      </c>
      <c r="C62" s="34" t="s">
        <v>191</v>
      </c>
      <c r="D62" s="47"/>
      <c r="E62" s="37">
        <f>[2]公用定额!E13</f>
        <v>0</v>
      </c>
      <c r="F62" s="37">
        <f>[2]公用定额!F13</f>
        <v>0</v>
      </c>
      <c r="G62" s="37">
        <f>[2]公用定额!G13</f>
        <v>0</v>
      </c>
      <c r="H62" s="37">
        <f>[2]公用定额!H13</f>
        <v>0</v>
      </c>
      <c r="I62" s="37">
        <f>[2]公用定额!I13</f>
        <v>0</v>
      </c>
      <c r="J62" s="37">
        <f>[2]公用定额!J13</f>
        <v>0</v>
      </c>
      <c r="K62" s="37">
        <f>[2]公用定额!K13</f>
        <v>0</v>
      </c>
      <c r="L62" s="37">
        <f>[2]公用定额!L13</f>
        <v>0</v>
      </c>
      <c r="M62" s="37">
        <f>[2]公用定额!M13</f>
        <v>0</v>
      </c>
      <c r="N62" s="37">
        <f>[2]公用定额!N13</f>
        <v>0</v>
      </c>
      <c r="O62" s="37">
        <f>[2]公用定额!O13</f>
        <v>0</v>
      </c>
      <c r="P62" s="37">
        <f>[2]公用定额!P13</f>
        <v>0</v>
      </c>
      <c r="Q62" s="37">
        <f>[2]公用定额!Q13</f>
        <v>0</v>
      </c>
      <c r="R62" s="37">
        <f>[2]公用定额!R13</f>
        <v>0</v>
      </c>
      <c r="S62" s="36">
        <f t="shared" si="1"/>
        <v>0</v>
      </c>
    </row>
    <row r="63" spans="1:19">
      <c r="A63" s="33" t="s">
        <v>322</v>
      </c>
      <c r="B63" s="34" t="s">
        <v>323</v>
      </c>
      <c r="C63" s="34" t="s">
        <v>324</v>
      </c>
      <c r="D63" s="47" t="s">
        <v>325</v>
      </c>
      <c r="E63" s="37">
        <f>[2]公用定额!E14</f>
        <v>185788</v>
      </c>
      <c r="F63" s="37">
        <f>[2]公用定额!F14</f>
        <v>97493.5</v>
      </c>
      <c r="G63" s="37">
        <f>[2]公用定额!G14</f>
        <v>119436</v>
      </c>
      <c r="H63" s="37">
        <f>[2]公用定额!H14</f>
        <v>138017.5</v>
      </c>
      <c r="I63" s="37">
        <f>[2]公用定额!I14</f>
        <v>441563.5</v>
      </c>
      <c r="J63" s="37">
        <f>[2]公用定额!J14</f>
        <v>34970</v>
      </c>
      <c r="K63" s="37">
        <f>[2]公用定额!K14</f>
        <v>110814</v>
      </c>
      <c r="L63" s="37">
        <f>[2]公用定额!L14</f>
        <v>67855</v>
      </c>
      <c r="M63" s="37">
        <f>[2]公用定额!M14</f>
        <v>62643</v>
      </c>
      <c r="N63" s="37">
        <f>[2]公用定额!N14</f>
        <v>72244</v>
      </c>
      <c r="O63" s="37">
        <f>[2]公用定额!O14</f>
        <v>211719</v>
      </c>
      <c r="P63" s="37">
        <v>8000</v>
      </c>
      <c r="Q63" s="37">
        <f>[2]公用定额!Q14</f>
        <v>59854.5</v>
      </c>
      <c r="R63" s="37">
        <f>[2]公用定额!R14</f>
        <v>60116</v>
      </c>
      <c r="S63" s="36">
        <f t="shared" si="1"/>
        <v>1670514</v>
      </c>
    </row>
    <row r="64" spans="1:19">
      <c r="A64" s="33" t="s">
        <v>326</v>
      </c>
      <c r="B64" s="34" t="s">
        <v>327</v>
      </c>
      <c r="C64" s="34" t="s">
        <v>191</v>
      </c>
      <c r="D64" s="47"/>
      <c r="E64" s="37">
        <f>[2]公用定额!E15</f>
        <v>0</v>
      </c>
      <c r="F64" s="37">
        <f>[2]公用定额!F15</f>
        <v>0</v>
      </c>
      <c r="G64" s="37">
        <f>[2]公用定额!G15</f>
        <v>0</v>
      </c>
      <c r="H64" s="37">
        <f>[2]公用定额!H15</f>
        <v>0</v>
      </c>
      <c r="I64" s="37">
        <f>[2]公用定额!I15</f>
        <v>0</v>
      </c>
      <c r="J64" s="37">
        <f>[2]公用定额!J15</f>
        <v>0</v>
      </c>
      <c r="K64" s="37">
        <f>[2]公用定额!K15</f>
        <v>0</v>
      </c>
      <c r="L64" s="37">
        <f>[2]公用定额!L15</f>
        <v>0</v>
      </c>
      <c r="M64" s="37">
        <f>[2]公用定额!M15</f>
        <v>0</v>
      </c>
      <c r="N64" s="37">
        <f>[2]公用定额!N15</f>
        <v>0</v>
      </c>
      <c r="O64" s="37">
        <f>[2]公用定额!O15</f>
        <v>0</v>
      </c>
      <c r="P64" s="37">
        <f>[2]公用定额!P15</f>
        <v>0</v>
      </c>
      <c r="Q64" s="37">
        <f>[2]公用定额!Q15</f>
        <v>0</v>
      </c>
      <c r="R64" s="37">
        <f>[2]公用定额!R15</f>
        <v>0</v>
      </c>
      <c r="S64" s="36">
        <f t="shared" si="1"/>
        <v>0</v>
      </c>
    </row>
    <row r="65" spans="1:19">
      <c r="A65" s="33" t="s">
        <v>328</v>
      </c>
      <c r="B65" s="34" t="s">
        <v>329</v>
      </c>
      <c r="C65" s="34" t="s">
        <v>191</v>
      </c>
      <c r="D65" s="47"/>
      <c r="E65" s="37">
        <f>[2]公用定额!E16</f>
        <v>850000</v>
      </c>
      <c r="F65" s="37">
        <f>[2]公用定额!F16</f>
        <v>400376.5</v>
      </c>
      <c r="G65" s="37">
        <f>[2]公用定额!G16</f>
        <v>619488</v>
      </c>
      <c r="H65" s="37">
        <f>[2]公用定额!H16</f>
        <v>600000</v>
      </c>
      <c r="I65" s="37">
        <f>[2]公用定额!I16</f>
        <v>3498126</v>
      </c>
      <c r="J65" s="37">
        <f>[2]公用定额!J16</f>
        <v>250000</v>
      </c>
      <c r="K65" s="37">
        <f>[2]公用定额!K16</f>
        <v>742302</v>
      </c>
      <c r="L65" s="37">
        <f>[2]公用定额!L16</f>
        <v>30000</v>
      </c>
      <c r="M65" s="37">
        <f>[2]公用定额!M16</f>
        <v>30000</v>
      </c>
      <c r="N65" s="37">
        <f>[2]公用定额!N16</f>
        <v>120000</v>
      </c>
      <c r="O65" s="37">
        <f>[2]公用定额!O16</f>
        <v>250000</v>
      </c>
      <c r="P65" s="37">
        <f>[2]公用定额!P16</f>
        <v>20000</v>
      </c>
      <c r="Q65" s="37">
        <f>[2]公用定额!Q16</f>
        <v>500000</v>
      </c>
      <c r="R65" s="37">
        <f>[2]公用定额!R16</f>
        <v>150000</v>
      </c>
      <c r="S65" s="36">
        <f t="shared" si="1"/>
        <v>8060292.5</v>
      </c>
    </row>
    <row r="66" spans="1:19">
      <c r="A66" s="33" t="s">
        <v>330</v>
      </c>
      <c r="B66" s="34" t="s">
        <v>331</v>
      </c>
      <c r="C66" s="34" t="s">
        <v>191</v>
      </c>
      <c r="D66" s="47"/>
      <c r="E66" s="37">
        <f>[2]公用定额!E17</f>
        <v>0</v>
      </c>
      <c r="F66" s="37">
        <f>[2]公用定额!F17</f>
        <v>0</v>
      </c>
      <c r="G66" s="37">
        <f>[2]公用定额!G17</f>
        <v>0</v>
      </c>
      <c r="H66" s="37">
        <f>[2]公用定额!H17</f>
        <v>20000</v>
      </c>
      <c r="I66" s="37">
        <f>[2]公用定额!I17</f>
        <v>0</v>
      </c>
      <c r="J66" s="37">
        <f>[2]公用定额!J17</f>
        <v>10000</v>
      </c>
      <c r="K66" s="37">
        <f>[2]公用定额!K17</f>
        <v>20000</v>
      </c>
      <c r="L66" s="37">
        <f>[2]公用定额!L17</f>
        <v>0</v>
      </c>
      <c r="M66" s="37">
        <f>[2]公用定额!M17</f>
        <v>0</v>
      </c>
      <c r="N66" s="37">
        <f>[2]公用定额!N17</f>
        <v>20000</v>
      </c>
      <c r="O66" s="37">
        <f>[2]公用定额!O17</f>
        <v>0</v>
      </c>
      <c r="P66" s="37">
        <f>[2]公用定额!P17</f>
        <v>0</v>
      </c>
      <c r="Q66" s="37">
        <f>[2]公用定额!Q17</f>
        <v>10000</v>
      </c>
      <c r="R66" s="37">
        <f>[2]公用定额!R17</f>
        <v>0</v>
      </c>
      <c r="S66" s="36">
        <f t="shared" si="1"/>
        <v>80000</v>
      </c>
    </row>
    <row r="67" spans="1:19">
      <c r="A67" s="33" t="s">
        <v>332</v>
      </c>
      <c r="B67" s="34" t="s">
        <v>333</v>
      </c>
      <c r="C67" s="34" t="s">
        <v>191</v>
      </c>
      <c r="D67" s="47"/>
      <c r="E67" s="37">
        <f>[2]公用定额!E18</f>
        <v>0</v>
      </c>
      <c r="F67" s="37">
        <f>[2]公用定额!F18</f>
        <v>0</v>
      </c>
      <c r="G67" s="37">
        <f>[2]公用定额!G18</f>
        <v>0</v>
      </c>
      <c r="H67" s="37">
        <f>[2]公用定额!H18</f>
        <v>150000</v>
      </c>
      <c r="I67" s="37">
        <f>[2]公用定额!I18</f>
        <v>0</v>
      </c>
      <c r="J67" s="37">
        <f>[2]公用定额!J18</f>
        <v>50000</v>
      </c>
      <c r="K67" s="37">
        <f>[2]公用定额!K18</f>
        <v>50000</v>
      </c>
      <c r="L67" s="37">
        <f>[2]公用定额!L18</f>
        <v>250000</v>
      </c>
      <c r="M67" s="37">
        <f>[2]公用定额!M18</f>
        <v>50000</v>
      </c>
      <c r="N67" s="37">
        <f>[2]公用定额!N18</f>
        <v>10000</v>
      </c>
      <c r="O67" s="37">
        <f>[2]公用定额!O18</f>
        <v>100000</v>
      </c>
      <c r="P67" s="37">
        <f>[2]公用定额!P18</f>
        <v>0</v>
      </c>
      <c r="Q67" s="37">
        <f>[2]公用定额!Q18</f>
        <v>0</v>
      </c>
      <c r="R67" s="37">
        <f>[2]公用定额!R18</f>
        <v>20000</v>
      </c>
      <c r="S67" s="36">
        <f t="shared" ref="S67:S109" si="31">SUM(E67:R67)</f>
        <v>680000</v>
      </c>
    </row>
    <row r="68" spans="1:19">
      <c r="A68" s="33" t="s">
        <v>334</v>
      </c>
      <c r="B68" s="34" t="s">
        <v>335</v>
      </c>
      <c r="C68" s="34" t="s">
        <v>191</v>
      </c>
      <c r="D68" s="47"/>
      <c r="E68" s="37">
        <f>[2]公用定额!E19</f>
        <v>200000</v>
      </c>
      <c r="F68" s="37">
        <f>[2]公用定额!F19</f>
        <v>180000</v>
      </c>
      <c r="G68" s="37">
        <f>[2]公用定额!G19</f>
        <v>600000</v>
      </c>
      <c r="H68" s="37">
        <f>[2]公用定额!H19</f>
        <v>759824</v>
      </c>
      <c r="I68" s="37">
        <f>[2]公用定额!I19</f>
        <v>2420000</v>
      </c>
      <c r="J68" s="37">
        <f>[2]公用定额!J19</f>
        <v>0</v>
      </c>
      <c r="K68" s="37">
        <f>[2]公用定额!K19</f>
        <v>50000</v>
      </c>
      <c r="L68" s="37">
        <f>[2]公用定额!L19</f>
        <v>835604</v>
      </c>
      <c r="M68" s="37">
        <f>[2]公用定额!M19</f>
        <v>121621</v>
      </c>
      <c r="N68" s="37">
        <f>[2]公用定额!N19</f>
        <v>50000</v>
      </c>
      <c r="O68" s="37">
        <f>[2]公用定额!O19</f>
        <v>0</v>
      </c>
      <c r="P68" s="37">
        <f>[2]公用定额!P19</f>
        <v>0</v>
      </c>
      <c r="Q68" s="37">
        <f>[2]公用定额!Q19</f>
        <v>100000</v>
      </c>
      <c r="R68" s="37">
        <f>[2]公用定额!R19</f>
        <v>50000</v>
      </c>
      <c r="S68" s="36">
        <f t="shared" si="31"/>
        <v>5367049</v>
      </c>
    </row>
    <row r="69" spans="1:19">
      <c r="A69" s="33" t="s">
        <v>336</v>
      </c>
      <c r="B69" s="34" t="s">
        <v>337</v>
      </c>
      <c r="C69" s="34" t="s">
        <v>191</v>
      </c>
      <c r="D69" s="47"/>
      <c r="E69" s="37">
        <f>[2]公用定额!E20</f>
        <v>350000</v>
      </c>
      <c r="F69" s="37">
        <f>[2]公用定额!F20</f>
        <v>150000</v>
      </c>
      <c r="G69" s="37">
        <f>[2]公用定额!G20</f>
        <v>230000</v>
      </c>
      <c r="H69" s="37">
        <f>[2]公用定额!H20</f>
        <v>100000</v>
      </c>
      <c r="I69" s="37">
        <f>[2]公用定额!I20</f>
        <v>110000</v>
      </c>
      <c r="J69" s="37">
        <f>[2]公用定额!J20</f>
        <v>364600</v>
      </c>
      <c r="K69" s="37">
        <f>[2]公用定额!K20</f>
        <v>150000</v>
      </c>
      <c r="L69" s="37">
        <f>[2]公用定额!L20</f>
        <v>0</v>
      </c>
      <c r="M69" s="37">
        <f>[2]公用定额!M20</f>
        <v>500000</v>
      </c>
      <c r="N69" s="37">
        <f>[2]公用定额!N20</f>
        <v>100000</v>
      </c>
      <c r="O69" s="37">
        <f>[2]公用定额!O20</f>
        <v>950000</v>
      </c>
      <c r="P69" s="37">
        <f>[2]公用定额!P20</f>
        <v>12900</v>
      </c>
      <c r="Q69" s="37">
        <f>[2]公用定额!Q20</f>
        <v>312100</v>
      </c>
      <c r="R69" s="37">
        <f>[2]公用定额!R20</f>
        <v>200000</v>
      </c>
      <c r="S69" s="36">
        <f t="shared" si="31"/>
        <v>3529600</v>
      </c>
    </row>
    <row r="70" spans="1:19">
      <c r="A70" s="33" t="s">
        <v>338</v>
      </c>
      <c r="B70" s="34" t="s">
        <v>339</v>
      </c>
      <c r="C70" s="34" t="s">
        <v>191</v>
      </c>
      <c r="D70" s="47"/>
      <c r="E70" s="37">
        <f>[2]公用定额!E21</f>
        <v>430000</v>
      </c>
      <c r="F70" s="37">
        <f>[2]公用定额!F21</f>
        <v>250000</v>
      </c>
      <c r="G70" s="37">
        <f>[2]公用定额!G21</f>
        <v>0</v>
      </c>
      <c r="H70" s="37">
        <f>[2]公用定额!H21</f>
        <v>0</v>
      </c>
      <c r="I70" s="37">
        <f>[2]公用定额!I21</f>
        <v>500000</v>
      </c>
      <c r="J70" s="37">
        <f>[2]公用定额!J21</f>
        <v>0</v>
      </c>
      <c r="K70" s="37">
        <f>[2]公用定额!K21</f>
        <v>100000</v>
      </c>
      <c r="L70" s="37">
        <f>[2]公用定额!L21</f>
        <v>0</v>
      </c>
      <c r="M70" s="37">
        <f>[2]公用定额!M21</f>
        <v>0</v>
      </c>
      <c r="N70" s="37">
        <f>[2]公用定额!N21</f>
        <v>100000</v>
      </c>
      <c r="O70" s="37">
        <f>[2]公用定额!O21</f>
        <v>1159398.5</v>
      </c>
      <c r="P70" s="37">
        <f>[2]公用定额!P21</f>
        <v>80000</v>
      </c>
      <c r="Q70" s="37">
        <f>[2]公用定额!Q21</f>
        <v>0</v>
      </c>
      <c r="R70" s="37">
        <f>[2]公用定额!R21</f>
        <v>150000</v>
      </c>
      <c r="S70" s="36">
        <f t="shared" si="31"/>
        <v>2769398.5</v>
      </c>
    </row>
    <row r="71" spans="1:19">
      <c r="A71" s="33" t="s">
        <v>340</v>
      </c>
      <c r="B71" s="34" t="s">
        <v>341</v>
      </c>
      <c r="C71" s="34"/>
      <c r="D71" s="35"/>
      <c r="E71" s="36">
        <f>E72</f>
        <v>48800</v>
      </c>
      <c r="F71" s="36">
        <f t="shared" ref="F71:R71" si="32">F72</f>
        <v>28000</v>
      </c>
      <c r="G71" s="36">
        <f t="shared" si="32"/>
        <v>33600</v>
      </c>
      <c r="H71" s="36">
        <f t="shared" si="32"/>
        <v>37600</v>
      </c>
      <c r="I71" s="36">
        <f t="shared" si="32"/>
        <v>79200</v>
      </c>
      <c r="J71" s="36">
        <f t="shared" si="32"/>
        <v>13200</v>
      </c>
      <c r="K71" s="36">
        <f t="shared" si="32"/>
        <v>21200</v>
      </c>
      <c r="L71" s="36">
        <f t="shared" si="32"/>
        <v>20400</v>
      </c>
      <c r="M71" s="36">
        <f t="shared" si="32"/>
        <v>15600</v>
      </c>
      <c r="N71" s="36">
        <f t="shared" si="32"/>
        <v>17200</v>
      </c>
      <c r="O71" s="36">
        <f t="shared" si="32"/>
        <v>60000</v>
      </c>
      <c r="P71" s="36">
        <f t="shared" si="32"/>
        <v>2000</v>
      </c>
      <c r="Q71" s="36">
        <f t="shared" si="32"/>
        <v>14000</v>
      </c>
      <c r="R71" s="36">
        <f t="shared" si="32"/>
        <v>12400</v>
      </c>
      <c r="S71" s="36">
        <f t="shared" si="31"/>
        <v>403200</v>
      </c>
    </row>
    <row r="72" spans="1:19" s="40" customFormat="1" ht="22.5">
      <c r="A72" s="33" t="s">
        <v>342</v>
      </c>
      <c r="B72" s="38" t="s">
        <v>343</v>
      </c>
      <c r="C72" s="38" t="s">
        <v>191</v>
      </c>
      <c r="D72" s="48" t="s">
        <v>344</v>
      </c>
      <c r="E72" s="36">
        <f>E96*400</f>
        <v>48800</v>
      </c>
      <c r="F72" s="36">
        <f t="shared" ref="F72:R72" si="33">F96*400</f>
        <v>28000</v>
      </c>
      <c r="G72" s="36">
        <f t="shared" si="33"/>
        <v>33600</v>
      </c>
      <c r="H72" s="36">
        <f t="shared" si="33"/>
        <v>37600</v>
      </c>
      <c r="I72" s="36">
        <f t="shared" si="33"/>
        <v>79200</v>
      </c>
      <c r="J72" s="36">
        <f t="shared" si="33"/>
        <v>13200</v>
      </c>
      <c r="K72" s="36">
        <f t="shared" si="33"/>
        <v>21200</v>
      </c>
      <c r="L72" s="36">
        <f t="shared" si="33"/>
        <v>20400</v>
      </c>
      <c r="M72" s="36">
        <f t="shared" si="33"/>
        <v>15600</v>
      </c>
      <c r="N72" s="36">
        <f t="shared" si="33"/>
        <v>17200</v>
      </c>
      <c r="O72" s="36">
        <f t="shared" si="33"/>
        <v>60000</v>
      </c>
      <c r="P72" s="36">
        <f t="shared" si="33"/>
        <v>2000</v>
      </c>
      <c r="Q72" s="36">
        <f t="shared" si="33"/>
        <v>14000</v>
      </c>
      <c r="R72" s="36">
        <f t="shared" si="33"/>
        <v>12400</v>
      </c>
      <c r="S72" s="36">
        <f t="shared" si="31"/>
        <v>403200</v>
      </c>
    </row>
    <row r="73" spans="1:19">
      <c r="A73" s="33" t="s">
        <v>345</v>
      </c>
      <c r="B73" s="34" t="s">
        <v>346</v>
      </c>
      <c r="C73" s="34"/>
      <c r="D73" s="35" t="s">
        <v>185</v>
      </c>
      <c r="E73" s="36">
        <f>E74</f>
        <v>489330</v>
      </c>
      <c r="F73" s="36">
        <f t="shared" ref="F73:R73" si="34">F74</f>
        <v>135690</v>
      </c>
      <c r="G73" s="36">
        <f t="shared" si="34"/>
        <v>204405</v>
      </c>
      <c r="H73" s="36">
        <f t="shared" si="34"/>
        <v>268530</v>
      </c>
      <c r="I73" s="36">
        <f t="shared" si="34"/>
        <v>386583.60000000003</v>
      </c>
      <c r="J73" s="36">
        <f t="shared" si="34"/>
        <v>196585.65</v>
      </c>
      <c r="K73" s="36">
        <f t="shared" si="34"/>
        <v>205953.60000000003</v>
      </c>
      <c r="L73" s="36">
        <f t="shared" si="34"/>
        <v>99419.4</v>
      </c>
      <c r="M73" s="36">
        <f t="shared" si="34"/>
        <v>172176.15</v>
      </c>
      <c r="N73" s="36">
        <f t="shared" si="34"/>
        <v>136753.79999999999</v>
      </c>
      <c r="O73" s="36">
        <f t="shared" si="34"/>
        <v>509998.35</v>
      </c>
      <c r="P73" s="36">
        <f t="shared" si="34"/>
        <v>34500</v>
      </c>
      <c r="Q73" s="36">
        <f t="shared" si="34"/>
        <v>199268.7</v>
      </c>
      <c r="R73" s="36">
        <f t="shared" si="34"/>
        <v>59392.800000000003</v>
      </c>
      <c r="S73" s="36">
        <f t="shared" si="31"/>
        <v>3098587.05</v>
      </c>
    </row>
    <row r="74" spans="1:19" s="40" customFormat="1">
      <c r="A74" s="33" t="s">
        <v>347</v>
      </c>
      <c r="B74" s="38" t="s">
        <v>348</v>
      </c>
      <c r="C74" s="38" t="s">
        <v>191</v>
      </c>
      <c r="D74" s="48" t="s">
        <v>349</v>
      </c>
      <c r="E74" s="36">
        <f>E108*15</f>
        <v>489330</v>
      </c>
      <c r="F74" s="36">
        <f t="shared" ref="F74:R74" si="35">F108*15</f>
        <v>135690</v>
      </c>
      <c r="G74" s="36">
        <f t="shared" si="35"/>
        <v>204405</v>
      </c>
      <c r="H74" s="36">
        <f t="shared" si="35"/>
        <v>268530</v>
      </c>
      <c r="I74" s="36">
        <f t="shared" si="35"/>
        <v>386583.60000000003</v>
      </c>
      <c r="J74" s="36">
        <f t="shared" si="35"/>
        <v>196585.65</v>
      </c>
      <c r="K74" s="36">
        <f t="shared" si="35"/>
        <v>205953.60000000003</v>
      </c>
      <c r="L74" s="36">
        <f t="shared" si="35"/>
        <v>99419.4</v>
      </c>
      <c r="M74" s="36">
        <f t="shared" si="35"/>
        <v>172176.15</v>
      </c>
      <c r="N74" s="36">
        <f t="shared" si="35"/>
        <v>136753.79999999999</v>
      </c>
      <c r="O74" s="36">
        <f t="shared" si="35"/>
        <v>509998.35</v>
      </c>
      <c r="P74" s="36">
        <f t="shared" si="35"/>
        <v>34500</v>
      </c>
      <c r="Q74" s="36">
        <f t="shared" si="35"/>
        <v>199268.7</v>
      </c>
      <c r="R74" s="36">
        <f t="shared" si="35"/>
        <v>59392.800000000003</v>
      </c>
      <c r="S74" s="36">
        <f t="shared" si="31"/>
        <v>3098587.05</v>
      </c>
    </row>
    <row r="75" spans="1:19">
      <c r="A75" s="33" t="s">
        <v>350</v>
      </c>
      <c r="B75" s="34" t="s">
        <v>351</v>
      </c>
      <c r="C75" s="34"/>
      <c r="D75" s="35" t="s">
        <v>185</v>
      </c>
      <c r="E75" s="36">
        <f>E76</f>
        <v>238592</v>
      </c>
      <c r="F75" s="36">
        <f t="shared" ref="F75:R75" si="36">F76</f>
        <v>69296</v>
      </c>
      <c r="G75" s="36">
        <f t="shared" si="36"/>
        <v>64000</v>
      </c>
      <c r="H75" s="36">
        <f t="shared" si="36"/>
        <v>64000</v>
      </c>
      <c r="I75" s="36">
        <f t="shared" si="36"/>
        <v>126840</v>
      </c>
      <c r="J75" s="36">
        <f t="shared" si="36"/>
        <v>37352</v>
      </c>
      <c r="K75" s="36">
        <f t="shared" si="36"/>
        <v>51136</v>
      </c>
      <c r="L75" s="36">
        <f t="shared" si="36"/>
        <v>37310.400000000001</v>
      </c>
      <c r="M75" s="36">
        <f t="shared" si="36"/>
        <v>52681.599999999999</v>
      </c>
      <c r="N75" s="36">
        <f t="shared" si="36"/>
        <v>24480</v>
      </c>
      <c r="O75" s="36">
        <f t="shared" si="36"/>
        <v>168480</v>
      </c>
      <c r="P75" s="36">
        <f t="shared" si="36"/>
        <v>0</v>
      </c>
      <c r="Q75" s="36">
        <f t="shared" si="36"/>
        <v>54272</v>
      </c>
      <c r="R75" s="36">
        <f t="shared" si="36"/>
        <v>32104</v>
      </c>
      <c r="S75" s="36">
        <f t="shared" si="31"/>
        <v>1020544</v>
      </c>
    </row>
    <row r="76" spans="1:19" s="40" customFormat="1">
      <c r="A76" s="33" t="s">
        <v>352</v>
      </c>
      <c r="B76" s="38" t="s">
        <v>353</v>
      </c>
      <c r="C76" s="38" t="s">
        <v>191</v>
      </c>
      <c r="D76" s="48" t="s">
        <v>354</v>
      </c>
      <c r="E76" s="36">
        <f>E109*8</f>
        <v>238592</v>
      </c>
      <c r="F76" s="36">
        <f t="shared" ref="F76:R76" si="37">F109*8</f>
        <v>69296</v>
      </c>
      <c r="G76" s="36">
        <f t="shared" si="37"/>
        <v>64000</v>
      </c>
      <c r="H76" s="36">
        <f t="shared" si="37"/>
        <v>64000</v>
      </c>
      <c r="I76" s="36">
        <f t="shared" si="37"/>
        <v>126840</v>
      </c>
      <c r="J76" s="36">
        <f t="shared" si="37"/>
        <v>37352</v>
      </c>
      <c r="K76" s="36">
        <f t="shared" si="37"/>
        <v>51136</v>
      </c>
      <c r="L76" s="36">
        <f t="shared" si="37"/>
        <v>37310.400000000001</v>
      </c>
      <c r="M76" s="36">
        <f t="shared" si="37"/>
        <v>52681.599999999999</v>
      </c>
      <c r="N76" s="36">
        <f t="shared" si="37"/>
        <v>24480</v>
      </c>
      <c r="O76" s="36">
        <f t="shared" si="37"/>
        <v>168480</v>
      </c>
      <c r="P76" s="36">
        <f t="shared" si="37"/>
        <v>0</v>
      </c>
      <c r="Q76" s="36">
        <f t="shared" si="37"/>
        <v>54272</v>
      </c>
      <c r="R76" s="36">
        <f t="shared" si="37"/>
        <v>32104</v>
      </c>
      <c r="S76" s="36">
        <f t="shared" si="31"/>
        <v>1020544</v>
      </c>
    </row>
    <row r="77" spans="1:19">
      <c r="A77" s="33" t="s">
        <v>355</v>
      </c>
      <c r="B77" s="34" t="s">
        <v>356</v>
      </c>
      <c r="C77" s="34"/>
      <c r="D77" s="35" t="s">
        <v>185</v>
      </c>
      <c r="E77" s="36">
        <f>E78</f>
        <v>0</v>
      </c>
      <c r="F77" s="36">
        <f t="shared" ref="F77:R77" si="38">F78</f>
        <v>0</v>
      </c>
      <c r="G77" s="36">
        <f t="shared" si="38"/>
        <v>0</v>
      </c>
      <c r="H77" s="36">
        <f t="shared" si="38"/>
        <v>0</v>
      </c>
      <c r="I77" s="36">
        <f t="shared" si="38"/>
        <v>0</v>
      </c>
      <c r="J77" s="36">
        <f t="shared" si="38"/>
        <v>0</v>
      </c>
      <c r="K77" s="36">
        <f t="shared" si="38"/>
        <v>0</v>
      </c>
      <c r="L77" s="36">
        <f t="shared" si="38"/>
        <v>0</v>
      </c>
      <c r="M77" s="36">
        <f t="shared" si="38"/>
        <v>0</v>
      </c>
      <c r="N77" s="36">
        <f t="shared" si="38"/>
        <v>0</v>
      </c>
      <c r="O77" s="36">
        <f t="shared" si="38"/>
        <v>0</v>
      </c>
      <c r="P77" s="36">
        <f t="shared" si="38"/>
        <v>0</v>
      </c>
      <c r="Q77" s="36">
        <f t="shared" si="38"/>
        <v>0</v>
      </c>
      <c r="R77" s="36">
        <f t="shared" si="38"/>
        <v>0</v>
      </c>
      <c r="S77" s="36">
        <f t="shared" si="31"/>
        <v>0</v>
      </c>
    </row>
    <row r="78" spans="1:19" s="40" customFormat="1">
      <c r="A78" s="33" t="s">
        <v>357</v>
      </c>
      <c r="B78" s="38" t="s">
        <v>358</v>
      </c>
      <c r="C78" s="38" t="s">
        <v>191</v>
      </c>
      <c r="D78" s="48" t="s">
        <v>293</v>
      </c>
      <c r="E78" s="46"/>
      <c r="F78" s="46"/>
      <c r="G78" s="46"/>
      <c r="H78" s="46"/>
      <c r="I78" s="46"/>
      <c r="J78" s="46"/>
      <c r="K78" s="46"/>
      <c r="L78" s="46"/>
      <c r="M78" s="46"/>
      <c r="N78" s="46"/>
      <c r="O78" s="46"/>
      <c r="P78" s="46"/>
      <c r="Q78" s="46"/>
      <c r="R78" s="46"/>
      <c r="S78" s="36">
        <f t="shared" si="31"/>
        <v>0</v>
      </c>
    </row>
    <row r="79" spans="1:19">
      <c r="A79" s="33" t="s">
        <v>359</v>
      </c>
      <c r="B79" s="34" t="s">
        <v>360</v>
      </c>
      <c r="C79" s="34"/>
      <c r="D79" s="35" t="s">
        <v>185</v>
      </c>
      <c r="E79" s="36">
        <f>E80</f>
        <v>527040</v>
      </c>
      <c r="F79" s="36">
        <f t="shared" ref="F79:R79" si="39">F80</f>
        <v>302400</v>
      </c>
      <c r="G79" s="36">
        <f t="shared" si="39"/>
        <v>362880</v>
      </c>
      <c r="H79" s="36">
        <f t="shared" si="39"/>
        <v>406080</v>
      </c>
      <c r="I79" s="36">
        <f t="shared" si="39"/>
        <v>855360</v>
      </c>
      <c r="J79" s="36">
        <f t="shared" si="39"/>
        <v>142560</v>
      </c>
      <c r="K79" s="36">
        <f t="shared" si="39"/>
        <v>228960</v>
      </c>
      <c r="L79" s="36">
        <f t="shared" si="39"/>
        <v>220320</v>
      </c>
      <c r="M79" s="36">
        <f t="shared" si="39"/>
        <v>168480</v>
      </c>
      <c r="N79" s="36">
        <f t="shared" si="39"/>
        <v>185760</v>
      </c>
      <c r="O79" s="36">
        <f t="shared" si="39"/>
        <v>648000</v>
      </c>
      <c r="P79" s="36">
        <f t="shared" si="39"/>
        <v>21600</v>
      </c>
      <c r="Q79" s="36">
        <f t="shared" si="39"/>
        <v>151200</v>
      </c>
      <c r="R79" s="36">
        <f t="shared" si="39"/>
        <v>133920</v>
      </c>
      <c r="S79" s="36">
        <f t="shared" si="31"/>
        <v>4354560</v>
      </c>
    </row>
    <row r="80" spans="1:19" s="40" customFormat="1" ht="22.5">
      <c r="A80" s="33" t="s">
        <v>361</v>
      </c>
      <c r="B80" s="38" t="s">
        <v>362</v>
      </c>
      <c r="C80" s="38" t="s">
        <v>191</v>
      </c>
      <c r="D80" s="48" t="s">
        <v>363</v>
      </c>
      <c r="E80" s="36">
        <f>E96*4320</f>
        <v>527040</v>
      </c>
      <c r="F80" s="36">
        <f t="shared" ref="F80:R80" si="40">F96*4320</f>
        <v>302400</v>
      </c>
      <c r="G80" s="36">
        <f t="shared" si="40"/>
        <v>362880</v>
      </c>
      <c r="H80" s="36">
        <f t="shared" si="40"/>
        <v>406080</v>
      </c>
      <c r="I80" s="36">
        <f t="shared" si="40"/>
        <v>855360</v>
      </c>
      <c r="J80" s="36">
        <f t="shared" si="40"/>
        <v>142560</v>
      </c>
      <c r="K80" s="36">
        <f t="shared" si="40"/>
        <v>228960</v>
      </c>
      <c r="L80" s="36">
        <f t="shared" si="40"/>
        <v>220320</v>
      </c>
      <c r="M80" s="36">
        <f t="shared" si="40"/>
        <v>168480</v>
      </c>
      <c r="N80" s="36">
        <f t="shared" si="40"/>
        <v>185760</v>
      </c>
      <c r="O80" s="36">
        <f t="shared" si="40"/>
        <v>648000</v>
      </c>
      <c r="P80" s="36">
        <f t="shared" si="40"/>
        <v>21600</v>
      </c>
      <c r="Q80" s="36">
        <f t="shared" si="40"/>
        <v>151200</v>
      </c>
      <c r="R80" s="36">
        <f t="shared" si="40"/>
        <v>133920</v>
      </c>
      <c r="S80" s="36">
        <f t="shared" si="31"/>
        <v>4354560</v>
      </c>
    </row>
    <row r="81" spans="1:19">
      <c r="A81" s="33" t="s">
        <v>364</v>
      </c>
      <c r="B81" s="34" t="s">
        <v>365</v>
      </c>
      <c r="C81" s="34"/>
      <c r="D81" s="35" t="s">
        <v>185</v>
      </c>
      <c r="E81" s="36">
        <f>E82</f>
        <v>484708.80000000005</v>
      </c>
      <c r="F81" s="36">
        <f t="shared" ref="F81:R81" si="41">F82</f>
        <v>282705.59999999998</v>
      </c>
      <c r="G81" s="36">
        <f t="shared" si="41"/>
        <v>320116.80000000005</v>
      </c>
      <c r="H81" s="36">
        <f t="shared" si="41"/>
        <v>341251.2</v>
      </c>
      <c r="I81" s="36">
        <f t="shared" si="41"/>
        <v>717667.2</v>
      </c>
      <c r="J81" s="36">
        <f t="shared" si="41"/>
        <v>114148.79999999999</v>
      </c>
      <c r="K81" s="36">
        <f t="shared" si="41"/>
        <v>185241.59999999998</v>
      </c>
      <c r="L81" s="36">
        <f t="shared" si="41"/>
        <v>176894.40000000002</v>
      </c>
      <c r="M81" s="36">
        <f t="shared" si="41"/>
        <v>137078.39999999999</v>
      </c>
      <c r="N81" s="36">
        <f t="shared" si="41"/>
        <v>148339.20000000001</v>
      </c>
      <c r="O81" s="36">
        <f t="shared" si="41"/>
        <v>602308.80000000005</v>
      </c>
      <c r="P81" s="36">
        <f t="shared" si="41"/>
        <v>21283.199999999997</v>
      </c>
      <c r="Q81" s="36">
        <f t="shared" si="41"/>
        <v>133824</v>
      </c>
      <c r="R81" s="36">
        <f t="shared" si="41"/>
        <v>110068.8</v>
      </c>
      <c r="S81" s="36">
        <f t="shared" si="31"/>
        <v>3775636.8</v>
      </c>
    </row>
    <row r="82" spans="1:19" s="40" customFormat="1">
      <c r="A82" s="33" t="s">
        <v>366</v>
      </c>
      <c r="B82" s="38" t="s">
        <v>367</v>
      </c>
      <c r="C82" s="38" t="s">
        <v>191</v>
      </c>
      <c r="D82" s="39" t="s">
        <v>210</v>
      </c>
      <c r="E82" s="36">
        <f>E16*4</f>
        <v>484708.80000000005</v>
      </c>
      <c r="F82" s="36">
        <f t="shared" ref="F82:R82" si="42">F16*4</f>
        <v>282705.59999999998</v>
      </c>
      <c r="G82" s="36">
        <f t="shared" si="42"/>
        <v>320116.80000000005</v>
      </c>
      <c r="H82" s="36">
        <f t="shared" si="42"/>
        <v>341251.2</v>
      </c>
      <c r="I82" s="36">
        <f t="shared" si="42"/>
        <v>717667.2</v>
      </c>
      <c r="J82" s="36">
        <f t="shared" si="42"/>
        <v>114148.79999999999</v>
      </c>
      <c r="K82" s="36">
        <f t="shared" si="42"/>
        <v>185241.59999999998</v>
      </c>
      <c r="L82" s="36">
        <f t="shared" si="42"/>
        <v>176894.40000000002</v>
      </c>
      <c r="M82" s="36">
        <f t="shared" si="42"/>
        <v>137078.39999999999</v>
      </c>
      <c r="N82" s="36">
        <f t="shared" si="42"/>
        <v>148339.20000000001</v>
      </c>
      <c r="O82" s="36">
        <f t="shared" si="42"/>
        <v>602308.80000000005</v>
      </c>
      <c r="P82" s="36">
        <f t="shared" si="42"/>
        <v>21283.199999999997</v>
      </c>
      <c r="Q82" s="36">
        <f t="shared" si="42"/>
        <v>133824</v>
      </c>
      <c r="R82" s="36">
        <f t="shared" si="42"/>
        <v>110068.8</v>
      </c>
      <c r="S82" s="36">
        <f t="shared" si="31"/>
        <v>3775636.8</v>
      </c>
    </row>
    <row r="83" spans="1:19">
      <c r="A83" s="33" t="s">
        <v>368</v>
      </c>
      <c r="B83" s="34" t="s">
        <v>369</v>
      </c>
      <c r="C83" s="34"/>
      <c r="D83" s="35" t="s">
        <v>185</v>
      </c>
      <c r="E83" s="36">
        <f>E84</f>
        <v>32000</v>
      </c>
      <c r="F83" s="36">
        <f t="shared" ref="F83:R83" si="43">F84</f>
        <v>32000</v>
      </c>
      <c r="G83" s="36">
        <f t="shared" si="43"/>
        <v>32000</v>
      </c>
      <c r="H83" s="36">
        <f t="shared" si="43"/>
        <v>32000</v>
      </c>
      <c r="I83" s="36">
        <f t="shared" si="43"/>
        <v>64000</v>
      </c>
      <c r="J83" s="36">
        <f t="shared" si="43"/>
        <v>0</v>
      </c>
      <c r="K83" s="36">
        <f t="shared" si="43"/>
        <v>32000</v>
      </c>
      <c r="L83" s="36">
        <f t="shared" si="43"/>
        <v>32000</v>
      </c>
      <c r="M83" s="36">
        <f t="shared" si="43"/>
        <v>0</v>
      </c>
      <c r="N83" s="36">
        <f t="shared" si="43"/>
        <v>0</v>
      </c>
      <c r="O83" s="36">
        <f t="shared" si="43"/>
        <v>32000</v>
      </c>
      <c r="P83" s="36">
        <f t="shared" si="43"/>
        <v>32000</v>
      </c>
      <c r="Q83" s="36">
        <f t="shared" si="43"/>
        <v>0</v>
      </c>
      <c r="R83" s="36">
        <f t="shared" si="43"/>
        <v>0</v>
      </c>
      <c r="S83" s="36">
        <f t="shared" si="31"/>
        <v>320000</v>
      </c>
    </row>
    <row r="84" spans="1:19" ht="33.75">
      <c r="A84" s="33" t="s">
        <v>370</v>
      </c>
      <c r="B84" s="34" t="s">
        <v>371</v>
      </c>
      <c r="C84" s="34" t="s">
        <v>191</v>
      </c>
      <c r="D84" s="47" t="s">
        <v>372</v>
      </c>
      <c r="E84" s="37">
        <v>32000</v>
      </c>
      <c r="F84" s="37">
        <v>32000</v>
      </c>
      <c r="G84" s="37">
        <v>32000</v>
      </c>
      <c r="H84" s="37">
        <v>32000</v>
      </c>
      <c r="I84" s="37">
        <v>64000</v>
      </c>
      <c r="J84" s="37"/>
      <c r="K84" s="37">
        <v>32000</v>
      </c>
      <c r="L84" s="37">
        <v>32000</v>
      </c>
      <c r="M84" s="37"/>
      <c r="N84" s="37"/>
      <c r="O84" s="37">
        <v>32000</v>
      </c>
      <c r="P84" s="37">
        <v>32000</v>
      </c>
      <c r="Q84" s="37"/>
      <c r="R84" s="37"/>
      <c r="S84" s="36">
        <f t="shared" si="31"/>
        <v>320000</v>
      </c>
    </row>
    <row r="85" spans="1:19">
      <c r="A85" s="33" t="s">
        <v>373</v>
      </c>
      <c r="B85" s="34" t="s">
        <v>374</v>
      </c>
      <c r="C85" s="34"/>
      <c r="D85" s="35" t="s">
        <v>185</v>
      </c>
      <c r="E85" s="36">
        <f>E86+E89+E92</f>
        <v>424800</v>
      </c>
      <c r="F85" s="36">
        <f t="shared" ref="F85:R85" si="44">F86+F89+F92</f>
        <v>226560</v>
      </c>
      <c r="G85" s="36">
        <f t="shared" si="44"/>
        <v>377600</v>
      </c>
      <c r="H85" s="36">
        <f t="shared" si="44"/>
        <v>226560</v>
      </c>
      <c r="I85" s="36">
        <f t="shared" si="44"/>
        <v>61360</v>
      </c>
      <c r="J85" s="36">
        <f t="shared" si="44"/>
        <v>0</v>
      </c>
      <c r="K85" s="36">
        <f t="shared" si="44"/>
        <v>56640</v>
      </c>
      <c r="L85" s="36">
        <f t="shared" si="44"/>
        <v>80240</v>
      </c>
      <c r="M85" s="36">
        <f t="shared" si="44"/>
        <v>14160</v>
      </c>
      <c r="N85" s="36">
        <f t="shared" si="44"/>
        <v>0</v>
      </c>
      <c r="O85" s="36">
        <f t="shared" si="44"/>
        <v>0</v>
      </c>
      <c r="P85" s="36">
        <f t="shared" si="44"/>
        <v>14160</v>
      </c>
      <c r="Q85" s="36">
        <f t="shared" si="44"/>
        <v>0</v>
      </c>
      <c r="R85" s="36">
        <f t="shared" si="44"/>
        <v>37760</v>
      </c>
      <c r="S85" s="36">
        <f t="shared" si="31"/>
        <v>1519840</v>
      </c>
    </row>
    <row r="86" spans="1:19">
      <c r="A86" s="33" t="s">
        <v>375</v>
      </c>
      <c r="B86" s="34" t="s">
        <v>376</v>
      </c>
      <c r="C86" s="34"/>
      <c r="D86" s="35" t="s">
        <v>185</v>
      </c>
      <c r="E86" s="36">
        <f>E87+E88</f>
        <v>0</v>
      </c>
      <c r="F86" s="36">
        <f t="shared" ref="F86:R86" si="45">F87+F88</f>
        <v>0</v>
      </c>
      <c r="G86" s="36">
        <f t="shared" si="45"/>
        <v>0</v>
      </c>
      <c r="H86" s="36">
        <f t="shared" si="45"/>
        <v>0</v>
      </c>
      <c r="I86" s="36">
        <f t="shared" si="45"/>
        <v>0</v>
      </c>
      <c r="J86" s="36">
        <f t="shared" si="45"/>
        <v>0</v>
      </c>
      <c r="K86" s="36">
        <f t="shared" si="45"/>
        <v>0</v>
      </c>
      <c r="L86" s="36">
        <f t="shared" si="45"/>
        <v>0</v>
      </c>
      <c r="M86" s="36">
        <f t="shared" si="45"/>
        <v>0</v>
      </c>
      <c r="N86" s="36">
        <f t="shared" si="45"/>
        <v>0</v>
      </c>
      <c r="O86" s="36">
        <f t="shared" si="45"/>
        <v>0</v>
      </c>
      <c r="P86" s="36">
        <f t="shared" si="45"/>
        <v>0</v>
      </c>
      <c r="Q86" s="36">
        <f t="shared" si="45"/>
        <v>0</v>
      </c>
      <c r="R86" s="36">
        <f t="shared" si="45"/>
        <v>0</v>
      </c>
      <c r="S86" s="36">
        <f t="shared" si="31"/>
        <v>0</v>
      </c>
    </row>
    <row r="87" spans="1:19">
      <c r="A87" s="33" t="s">
        <v>377</v>
      </c>
      <c r="B87" s="34" t="s">
        <v>378</v>
      </c>
      <c r="C87" s="34" t="s">
        <v>191</v>
      </c>
      <c r="D87" s="47" t="s">
        <v>293</v>
      </c>
      <c r="E87" s="43"/>
      <c r="F87" s="43"/>
      <c r="G87" s="43"/>
      <c r="H87" s="43"/>
      <c r="I87" s="43"/>
      <c r="J87" s="43"/>
      <c r="K87" s="43"/>
      <c r="L87" s="43"/>
      <c r="M87" s="43"/>
      <c r="N87" s="43"/>
      <c r="O87" s="43"/>
      <c r="P87" s="43"/>
      <c r="Q87" s="43"/>
      <c r="R87" s="43"/>
      <c r="S87" s="36">
        <f t="shared" si="31"/>
        <v>0</v>
      </c>
    </row>
    <row r="88" spans="1:19">
      <c r="A88" s="33" t="s">
        <v>379</v>
      </c>
      <c r="B88" s="34" t="s">
        <v>380</v>
      </c>
      <c r="C88" s="34" t="s">
        <v>191</v>
      </c>
      <c r="D88" s="35" t="s">
        <v>381</v>
      </c>
      <c r="E88" s="43"/>
      <c r="F88" s="43"/>
      <c r="G88" s="43"/>
      <c r="H88" s="43"/>
      <c r="I88" s="43"/>
      <c r="J88" s="43"/>
      <c r="K88" s="43"/>
      <c r="L88" s="43"/>
      <c r="M88" s="43"/>
      <c r="N88" s="43"/>
      <c r="O88" s="43"/>
      <c r="P88" s="43"/>
      <c r="Q88" s="43"/>
      <c r="R88" s="43"/>
      <c r="S88" s="36">
        <f t="shared" si="31"/>
        <v>0</v>
      </c>
    </row>
    <row r="89" spans="1:19">
      <c r="A89" s="33" t="s">
        <v>382</v>
      </c>
      <c r="B89" s="34" t="s">
        <v>383</v>
      </c>
      <c r="C89" s="34"/>
      <c r="D89" s="35" t="s">
        <v>185</v>
      </c>
      <c r="E89" s="36">
        <f>E90+E91</f>
        <v>424800</v>
      </c>
      <c r="F89" s="36">
        <f t="shared" ref="F89:R89" si="46">F90+F91</f>
        <v>226560</v>
      </c>
      <c r="G89" s="36">
        <f t="shared" si="46"/>
        <v>377600</v>
      </c>
      <c r="H89" s="36">
        <f t="shared" si="46"/>
        <v>226560</v>
      </c>
      <c r="I89" s="36">
        <f t="shared" si="46"/>
        <v>61360</v>
      </c>
      <c r="J89" s="36">
        <f t="shared" si="46"/>
        <v>0</v>
      </c>
      <c r="K89" s="36">
        <f t="shared" si="46"/>
        <v>56640</v>
      </c>
      <c r="L89" s="36">
        <f t="shared" si="46"/>
        <v>80240</v>
      </c>
      <c r="M89" s="36">
        <f t="shared" si="46"/>
        <v>14160</v>
      </c>
      <c r="N89" s="36">
        <f t="shared" si="46"/>
        <v>0</v>
      </c>
      <c r="O89" s="36">
        <f t="shared" si="46"/>
        <v>0</v>
      </c>
      <c r="P89" s="36">
        <f t="shared" si="46"/>
        <v>14160</v>
      </c>
      <c r="Q89" s="36">
        <f t="shared" si="46"/>
        <v>0</v>
      </c>
      <c r="R89" s="36">
        <f t="shared" si="46"/>
        <v>37760</v>
      </c>
      <c r="S89" s="36">
        <f t="shared" si="31"/>
        <v>1519840</v>
      </c>
    </row>
    <row r="90" spans="1:19" s="40" customFormat="1" ht="22.5">
      <c r="A90" s="33" t="s">
        <v>384</v>
      </c>
      <c r="B90" s="38" t="s">
        <v>385</v>
      </c>
      <c r="C90" s="38" t="s">
        <v>191</v>
      </c>
      <c r="D90" s="48" t="s">
        <v>386</v>
      </c>
      <c r="E90" s="36">
        <f>E107*400</f>
        <v>36000</v>
      </c>
      <c r="F90" s="36">
        <f t="shared" ref="F90:R90" si="47">F107*400</f>
        <v>19200</v>
      </c>
      <c r="G90" s="36">
        <f t="shared" si="47"/>
        <v>32000</v>
      </c>
      <c r="H90" s="36">
        <f t="shared" si="47"/>
        <v>19200</v>
      </c>
      <c r="I90" s="36">
        <f t="shared" si="47"/>
        <v>5200</v>
      </c>
      <c r="J90" s="36">
        <f t="shared" si="47"/>
        <v>0</v>
      </c>
      <c r="K90" s="36">
        <f t="shared" si="47"/>
        <v>4800</v>
      </c>
      <c r="L90" s="36">
        <f t="shared" si="47"/>
        <v>6800</v>
      </c>
      <c r="M90" s="36">
        <f t="shared" si="47"/>
        <v>1200</v>
      </c>
      <c r="N90" s="36">
        <f t="shared" si="47"/>
        <v>0</v>
      </c>
      <c r="O90" s="36">
        <f t="shared" si="47"/>
        <v>0</v>
      </c>
      <c r="P90" s="36">
        <f t="shared" si="47"/>
        <v>1200</v>
      </c>
      <c r="Q90" s="36">
        <f t="shared" si="47"/>
        <v>0</v>
      </c>
      <c r="R90" s="36">
        <f t="shared" si="47"/>
        <v>3200</v>
      </c>
      <c r="S90" s="36">
        <f t="shared" si="31"/>
        <v>128800</v>
      </c>
    </row>
    <row r="91" spans="1:19" s="40" customFormat="1" ht="22.5">
      <c r="A91" s="33" t="s">
        <v>387</v>
      </c>
      <c r="B91" s="38" t="s">
        <v>388</v>
      </c>
      <c r="C91" s="38" t="s">
        <v>191</v>
      </c>
      <c r="D91" s="48" t="s">
        <v>389</v>
      </c>
      <c r="E91" s="36">
        <f>E107*4320</f>
        <v>388800</v>
      </c>
      <c r="F91" s="36">
        <f t="shared" ref="F91:R91" si="48">F107*4320</f>
        <v>207360</v>
      </c>
      <c r="G91" s="36">
        <f t="shared" si="48"/>
        <v>345600</v>
      </c>
      <c r="H91" s="36">
        <f t="shared" si="48"/>
        <v>207360</v>
      </c>
      <c r="I91" s="36">
        <f t="shared" si="48"/>
        <v>56160</v>
      </c>
      <c r="J91" s="36">
        <f t="shared" si="48"/>
        <v>0</v>
      </c>
      <c r="K91" s="36">
        <f t="shared" si="48"/>
        <v>51840</v>
      </c>
      <c r="L91" s="36">
        <f t="shared" si="48"/>
        <v>73440</v>
      </c>
      <c r="M91" s="36">
        <f t="shared" si="48"/>
        <v>12960</v>
      </c>
      <c r="N91" s="36">
        <f t="shared" si="48"/>
        <v>0</v>
      </c>
      <c r="O91" s="36">
        <f t="shared" si="48"/>
        <v>0</v>
      </c>
      <c r="P91" s="36">
        <f t="shared" si="48"/>
        <v>12960</v>
      </c>
      <c r="Q91" s="36">
        <f t="shared" si="48"/>
        <v>0</v>
      </c>
      <c r="R91" s="36">
        <f t="shared" si="48"/>
        <v>34560</v>
      </c>
      <c r="S91" s="36">
        <f t="shared" si="31"/>
        <v>1391040</v>
      </c>
    </row>
    <row r="92" spans="1:19">
      <c r="A92" s="33" t="s">
        <v>390</v>
      </c>
      <c r="B92" s="34" t="s">
        <v>391</v>
      </c>
      <c r="C92" s="34" t="s">
        <v>191</v>
      </c>
      <c r="D92" s="47" t="s">
        <v>293</v>
      </c>
      <c r="E92" s="49"/>
      <c r="F92" s="49"/>
      <c r="G92" s="49"/>
      <c r="H92" s="49"/>
      <c r="I92" s="49"/>
      <c r="J92" s="49"/>
      <c r="K92" s="49"/>
      <c r="L92" s="49"/>
      <c r="M92" s="49"/>
      <c r="N92" s="49"/>
      <c r="O92" s="49"/>
      <c r="P92" s="49"/>
      <c r="Q92" s="49"/>
      <c r="R92" s="49"/>
      <c r="S92" s="36">
        <f t="shared" si="31"/>
        <v>0</v>
      </c>
    </row>
    <row r="93" spans="1:19">
      <c r="A93" s="33" t="s">
        <v>392</v>
      </c>
      <c r="B93" s="34" t="s">
        <v>393</v>
      </c>
      <c r="C93" s="34"/>
      <c r="D93" s="35" t="s">
        <v>185</v>
      </c>
      <c r="E93" s="36">
        <f>E94</f>
        <v>0</v>
      </c>
      <c r="F93" s="36">
        <f t="shared" ref="F93:R93" si="49">F94</f>
        <v>0</v>
      </c>
      <c r="G93" s="36">
        <f t="shared" si="49"/>
        <v>0</v>
      </c>
      <c r="H93" s="36">
        <f t="shared" si="49"/>
        <v>0</v>
      </c>
      <c r="I93" s="36">
        <f t="shared" si="49"/>
        <v>10000</v>
      </c>
      <c r="J93" s="36">
        <f t="shared" si="49"/>
        <v>32000</v>
      </c>
      <c r="K93" s="36">
        <f t="shared" si="49"/>
        <v>5000</v>
      </c>
      <c r="L93" s="36">
        <f t="shared" si="49"/>
        <v>10000</v>
      </c>
      <c r="M93" s="36">
        <f t="shared" si="49"/>
        <v>32000</v>
      </c>
      <c r="N93" s="36">
        <f t="shared" si="49"/>
        <v>32000</v>
      </c>
      <c r="O93" s="36">
        <f t="shared" si="49"/>
        <v>0</v>
      </c>
      <c r="P93" s="36">
        <f t="shared" si="49"/>
        <v>0</v>
      </c>
      <c r="Q93" s="36">
        <f t="shared" si="49"/>
        <v>32000</v>
      </c>
      <c r="R93" s="36">
        <f t="shared" si="49"/>
        <v>32000</v>
      </c>
      <c r="S93" s="36">
        <f t="shared" si="31"/>
        <v>185000</v>
      </c>
    </row>
    <row r="94" spans="1:19" ht="57" thickBot="1">
      <c r="A94" s="33" t="s">
        <v>394</v>
      </c>
      <c r="B94" s="50" t="s">
        <v>395</v>
      </c>
      <c r="C94" s="34" t="s">
        <v>191</v>
      </c>
      <c r="D94" s="51" t="s">
        <v>520</v>
      </c>
      <c r="E94" s="52"/>
      <c r="F94" s="52"/>
      <c r="G94" s="52"/>
      <c r="H94" s="52"/>
      <c r="I94" s="52">
        <v>10000</v>
      </c>
      <c r="J94" s="52">
        <v>32000</v>
      </c>
      <c r="K94" s="52">
        <v>5000</v>
      </c>
      <c r="L94" s="52">
        <v>10000</v>
      </c>
      <c r="M94" s="52">
        <v>32000</v>
      </c>
      <c r="N94" s="52">
        <v>32000</v>
      </c>
      <c r="O94" s="52"/>
      <c r="P94" s="52"/>
      <c r="Q94" s="52">
        <v>32000</v>
      </c>
      <c r="R94" s="52">
        <v>32000</v>
      </c>
      <c r="S94" s="36">
        <f t="shared" si="31"/>
        <v>185000</v>
      </c>
    </row>
    <row r="95" spans="1:19" ht="23.25" customHeight="1" thickTop="1">
      <c r="A95" s="33" t="s">
        <v>397</v>
      </c>
      <c r="B95" s="53" t="s">
        <v>398</v>
      </c>
      <c r="C95" s="53"/>
      <c r="D95" s="54"/>
      <c r="E95" s="55"/>
      <c r="F95" s="55"/>
      <c r="G95" s="55"/>
      <c r="H95" s="55"/>
      <c r="I95" s="55"/>
      <c r="J95" s="55"/>
      <c r="K95" s="55"/>
      <c r="L95" s="55"/>
      <c r="M95" s="55"/>
      <c r="N95" s="55"/>
      <c r="O95" s="55"/>
      <c r="P95" s="55"/>
      <c r="Q95" s="55"/>
      <c r="R95" s="55"/>
      <c r="S95" s="36">
        <f t="shared" si="31"/>
        <v>0</v>
      </c>
    </row>
    <row r="96" spans="1:19" ht="22.5">
      <c r="A96" s="33" t="s">
        <v>399</v>
      </c>
      <c r="B96" s="34" t="s">
        <v>400</v>
      </c>
      <c r="C96" s="34"/>
      <c r="D96" s="35" t="s">
        <v>521</v>
      </c>
      <c r="E96" s="36">
        <f>E97+E98+E99+E100</f>
        <v>122</v>
      </c>
      <c r="F96" s="36">
        <f t="shared" ref="F96:R96" si="50">F97+F98+F99+F100</f>
        <v>70</v>
      </c>
      <c r="G96" s="36">
        <f t="shared" si="50"/>
        <v>84</v>
      </c>
      <c r="H96" s="36">
        <f t="shared" si="50"/>
        <v>94</v>
      </c>
      <c r="I96" s="36">
        <f t="shared" si="50"/>
        <v>198</v>
      </c>
      <c r="J96" s="36">
        <f t="shared" si="50"/>
        <v>33</v>
      </c>
      <c r="K96" s="36">
        <f t="shared" si="50"/>
        <v>53</v>
      </c>
      <c r="L96" s="36">
        <f t="shared" si="50"/>
        <v>51</v>
      </c>
      <c r="M96" s="36">
        <f t="shared" si="50"/>
        <v>39</v>
      </c>
      <c r="N96" s="36">
        <f t="shared" si="50"/>
        <v>43</v>
      </c>
      <c r="O96" s="36">
        <f t="shared" si="50"/>
        <v>150</v>
      </c>
      <c r="P96" s="36">
        <f t="shared" si="50"/>
        <v>5</v>
      </c>
      <c r="Q96" s="36">
        <f t="shared" si="50"/>
        <v>35</v>
      </c>
      <c r="R96" s="36">
        <f t="shared" si="50"/>
        <v>31</v>
      </c>
      <c r="S96" s="36">
        <f t="shared" si="31"/>
        <v>1008</v>
      </c>
    </row>
    <row r="97" spans="1:19">
      <c r="A97" s="33" t="s">
        <v>402</v>
      </c>
      <c r="B97" s="56" t="s">
        <v>403</v>
      </c>
      <c r="C97" s="56"/>
      <c r="D97" s="42"/>
      <c r="E97" s="43">
        <v>122</v>
      </c>
      <c r="F97" s="43">
        <v>70</v>
      </c>
      <c r="G97" s="43"/>
      <c r="H97" s="43"/>
      <c r="I97" s="43"/>
      <c r="J97" s="43"/>
      <c r="K97" s="43"/>
      <c r="L97" s="43"/>
      <c r="M97" s="43"/>
      <c r="N97" s="43"/>
      <c r="O97" s="43">
        <v>72</v>
      </c>
      <c r="P97" s="43"/>
      <c r="Q97" s="43">
        <v>35</v>
      </c>
      <c r="R97" s="43"/>
      <c r="S97" s="36">
        <f t="shared" si="31"/>
        <v>299</v>
      </c>
    </row>
    <row r="98" spans="1:19">
      <c r="A98" s="33" t="s">
        <v>404</v>
      </c>
      <c r="B98" s="56" t="s">
        <v>405</v>
      </c>
      <c r="C98" s="56"/>
      <c r="D98" s="35"/>
      <c r="E98" s="37"/>
      <c r="F98" s="37"/>
      <c r="G98" s="37">
        <v>84</v>
      </c>
      <c r="H98" s="37">
        <v>94</v>
      </c>
      <c r="I98" s="37">
        <v>198</v>
      </c>
      <c r="J98" s="37">
        <v>33</v>
      </c>
      <c r="K98" s="37"/>
      <c r="L98" s="37"/>
      <c r="M98" s="37"/>
      <c r="N98" s="37"/>
      <c r="O98" s="37">
        <v>78</v>
      </c>
      <c r="P98" s="37"/>
      <c r="Q98" s="37"/>
      <c r="R98" s="37"/>
      <c r="S98" s="36">
        <f t="shared" si="31"/>
        <v>487</v>
      </c>
    </row>
    <row r="99" spans="1:19">
      <c r="A99" s="33" t="s">
        <v>406</v>
      </c>
      <c r="B99" s="56" t="s">
        <v>407</v>
      </c>
      <c r="C99" s="56"/>
      <c r="D99" s="42"/>
      <c r="E99" s="43"/>
      <c r="F99" s="43"/>
      <c r="G99" s="43"/>
      <c r="H99" s="43"/>
      <c r="I99" s="43"/>
      <c r="J99" s="43"/>
      <c r="K99" s="43">
        <v>53</v>
      </c>
      <c r="L99" s="43">
        <v>51</v>
      </c>
      <c r="M99" s="43">
        <v>39</v>
      </c>
      <c r="N99" s="43">
        <v>43</v>
      </c>
      <c r="O99" s="43"/>
      <c r="P99" s="43"/>
      <c r="Q99" s="43">
        <v>0</v>
      </c>
      <c r="R99" s="43">
        <v>31</v>
      </c>
      <c r="S99" s="36">
        <f t="shared" si="31"/>
        <v>217</v>
      </c>
    </row>
    <row r="100" spans="1:19">
      <c r="A100" s="33" t="s">
        <v>408</v>
      </c>
      <c r="B100" s="56" t="s">
        <v>409</v>
      </c>
      <c r="C100" s="56"/>
      <c r="D100" s="42"/>
      <c r="E100" s="43"/>
      <c r="F100" s="43"/>
      <c r="G100" s="43"/>
      <c r="H100" s="43"/>
      <c r="I100" s="43"/>
      <c r="J100" s="43"/>
      <c r="K100" s="43"/>
      <c r="L100" s="43"/>
      <c r="M100" s="43"/>
      <c r="N100" s="43"/>
      <c r="O100" s="43"/>
      <c r="P100" s="43">
        <v>5</v>
      </c>
      <c r="Q100" s="43"/>
      <c r="R100" s="43"/>
      <c r="S100" s="36">
        <f t="shared" si="31"/>
        <v>5</v>
      </c>
    </row>
    <row r="101" spans="1:19" ht="33.75">
      <c r="A101" s="33" t="s">
        <v>410</v>
      </c>
      <c r="B101" s="34" t="s">
        <v>411</v>
      </c>
      <c r="C101" s="34"/>
      <c r="D101" s="35" t="s">
        <v>522</v>
      </c>
      <c r="E101" s="36">
        <f>E102+E103+E104+E105</f>
        <v>1307</v>
      </c>
      <c r="F101" s="36">
        <f t="shared" ref="F101:R101" si="51">F102+F103+F104+F105</f>
        <v>689</v>
      </c>
      <c r="G101" s="36">
        <f t="shared" si="51"/>
        <v>888</v>
      </c>
      <c r="H101" s="36">
        <f t="shared" si="51"/>
        <v>1024</v>
      </c>
      <c r="I101" s="36">
        <f t="shared" si="51"/>
        <v>3283</v>
      </c>
      <c r="J101" s="36">
        <f t="shared" si="51"/>
        <v>260</v>
      </c>
      <c r="K101" s="36">
        <f t="shared" si="51"/>
        <v>831</v>
      </c>
      <c r="L101" s="36">
        <f t="shared" si="51"/>
        <v>508</v>
      </c>
      <c r="M101" s="36">
        <f t="shared" si="51"/>
        <v>471</v>
      </c>
      <c r="N101" s="36">
        <f t="shared" si="51"/>
        <v>541</v>
      </c>
      <c r="O101" s="36">
        <f t="shared" si="51"/>
        <v>1536</v>
      </c>
      <c r="P101" s="36">
        <f t="shared" si="51"/>
        <v>0</v>
      </c>
      <c r="Q101" s="36">
        <f t="shared" si="51"/>
        <v>423</v>
      </c>
      <c r="R101" s="36">
        <f t="shared" si="51"/>
        <v>452</v>
      </c>
      <c r="S101" s="36">
        <f t="shared" si="31"/>
        <v>12213</v>
      </c>
    </row>
    <row r="102" spans="1:19">
      <c r="A102" s="33" t="s">
        <v>413</v>
      </c>
      <c r="B102" s="56" t="s">
        <v>403</v>
      </c>
      <c r="C102" s="56"/>
      <c r="D102" s="42"/>
      <c r="E102" s="43">
        <v>1307</v>
      </c>
      <c r="F102" s="43">
        <v>689</v>
      </c>
      <c r="G102" s="43"/>
      <c r="H102" s="43"/>
      <c r="I102" s="43"/>
      <c r="J102" s="43"/>
      <c r="K102" s="43"/>
      <c r="L102" s="43"/>
      <c r="M102" s="43"/>
      <c r="N102" s="43"/>
      <c r="O102" s="43">
        <v>567</v>
      </c>
      <c r="P102" s="43"/>
      <c r="Q102" s="43">
        <v>423</v>
      </c>
      <c r="R102" s="43"/>
      <c r="S102" s="36">
        <f t="shared" si="31"/>
        <v>2986</v>
      </c>
    </row>
    <row r="103" spans="1:19">
      <c r="A103" s="33" t="s">
        <v>414</v>
      </c>
      <c r="B103" s="56" t="s">
        <v>405</v>
      </c>
      <c r="C103" s="56"/>
      <c r="D103" s="35"/>
      <c r="E103" s="37"/>
      <c r="F103" s="37"/>
      <c r="G103" s="37">
        <v>888</v>
      </c>
      <c r="H103" s="37">
        <v>1024</v>
      </c>
      <c r="I103" s="37">
        <v>3283</v>
      </c>
      <c r="J103" s="37">
        <v>260</v>
      </c>
      <c r="K103" s="37"/>
      <c r="L103" s="37"/>
      <c r="M103" s="37"/>
      <c r="N103" s="37"/>
      <c r="O103" s="37">
        <v>969</v>
      </c>
      <c r="P103" s="37"/>
      <c r="Q103" s="37"/>
      <c r="R103" s="37"/>
      <c r="S103" s="36">
        <f t="shared" si="31"/>
        <v>6424</v>
      </c>
    </row>
    <row r="104" spans="1:19">
      <c r="A104" s="33" t="s">
        <v>415</v>
      </c>
      <c r="B104" s="56" t="s">
        <v>407</v>
      </c>
      <c r="C104" s="56"/>
      <c r="D104" s="42"/>
      <c r="E104" s="43"/>
      <c r="F104" s="43"/>
      <c r="G104" s="43"/>
      <c r="H104" s="43"/>
      <c r="I104" s="43"/>
      <c r="J104" s="43"/>
      <c r="K104" s="43">
        <f>587+244</f>
        <v>831</v>
      </c>
      <c r="L104" s="43">
        <f>202+97+209</f>
        <v>508</v>
      </c>
      <c r="M104" s="43">
        <f>323+148</f>
        <v>471</v>
      </c>
      <c r="N104" s="43">
        <f>383+158</f>
        <v>541</v>
      </c>
      <c r="O104" s="43"/>
      <c r="P104" s="43"/>
      <c r="Q104" s="43"/>
      <c r="R104" s="43">
        <f>293+159</f>
        <v>452</v>
      </c>
      <c r="S104" s="36">
        <f t="shared" si="31"/>
        <v>2803</v>
      </c>
    </row>
    <row r="105" spans="1:19">
      <c r="A105" s="33" t="s">
        <v>416</v>
      </c>
      <c r="B105" s="56" t="s">
        <v>409</v>
      </c>
      <c r="C105" s="56"/>
      <c r="D105" s="42"/>
      <c r="E105" s="43"/>
      <c r="F105" s="43"/>
      <c r="G105" s="43"/>
      <c r="H105" s="43"/>
      <c r="I105" s="43"/>
      <c r="J105" s="43"/>
      <c r="K105" s="43"/>
      <c r="L105" s="43"/>
      <c r="M105" s="43"/>
      <c r="N105" s="43"/>
      <c r="O105" s="43"/>
      <c r="P105" s="43"/>
      <c r="Q105" s="43"/>
      <c r="R105" s="43"/>
      <c r="S105" s="36">
        <f t="shared" si="31"/>
        <v>0</v>
      </c>
    </row>
    <row r="106" spans="1:19">
      <c r="A106" s="33" t="s">
        <v>417</v>
      </c>
      <c r="B106" s="34" t="s">
        <v>418</v>
      </c>
      <c r="C106" s="34"/>
      <c r="D106" s="47"/>
      <c r="E106" s="57"/>
      <c r="F106" s="57"/>
      <c r="G106" s="57"/>
      <c r="H106" s="57"/>
      <c r="I106" s="57"/>
      <c r="J106" s="57"/>
      <c r="K106" s="57"/>
      <c r="L106" s="57"/>
      <c r="M106" s="57"/>
      <c r="N106" s="57"/>
      <c r="O106" s="57"/>
      <c r="P106" s="57"/>
      <c r="Q106" s="57"/>
      <c r="R106" s="57"/>
      <c r="S106" s="36">
        <f t="shared" si="31"/>
        <v>0</v>
      </c>
    </row>
    <row r="107" spans="1:19">
      <c r="A107" s="33" t="s">
        <v>419</v>
      </c>
      <c r="B107" s="34" t="s">
        <v>420</v>
      </c>
      <c r="C107" s="34"/>
      <c r="D107" s="35"/>
      <c r="E107" s="37">
        <v>90</v>
      </c>
      <c r="F107" s="37">
        <v>48</v>
      </c>
      <c r="G107" s="37">
        <v>80</v>
      </c>
      <c r="H107" s="37">
        <v>48</v>
      </c>
      <c r="I107" s="37">
        <v>13</v>
      </c>
      <c r="J107" s="37"/>
      <c r="K107" s="37">
        <v>12</v>
      </c>
      <c r="L107" s="37">
        <v>17</v>
      </c>
      <c r="M107" s="37">
        <v>3</v>
      </c>
      <c r="N107" s="37"/>
      <c r="O107" s="37"/>
      <c r="P107" s="37">
        <v>3</v>
      </c>
      <c r="Q107" s="37"/>
      <c r="R107" s="37">
        <v>8</v>
      </c>
      <c r="S107" s="36">
        <f t="shared" si="31"/>
        <v>322</v>
      </c>
    </row>
    <row r="108" spans="1:19">
      <c r="A108" s="33" t="s">
        <v>421</v>
      </c>
      <c r="B108" s="56" t="s">
        <v>422</v>
      </c>
      <c r="C108" s="56"/>
      <c r="D108" s="47"/>
      <c r="E108" s="37">
        <v>32622</v>
      </c>
      <c r="F108" s="37">
        <v>9046</v>
      </c>
      <c r="G108" s="37">
        <v>13627</v>
      </c>
      <c r="H108" s="37">
        <v>17902</v>
      </c>
      <c r="I108" s="37">
        <v>25772.240000000002</v>
      </c>
      <c r="J108" s="37">
        <v>13105.71</v>
      </c>
      <c r="K108" s="37">
        <f>10602.95+3127.29</f>
        <v>13730.240000000002</v>
      </c>
      <c r="L108" s="37">
        <v>6627.96</v>
      </c>
      <c r="M108" s="37">
        <v>11478.41</v>
      </c>
      <c r="N108" s="37">
        <v>9116.92</v>
      </c>
      <c r="O108" s="37">
        <v>33999.89</v>
      </c>
      <c r="P108" s="37">
        <v>2300</v>
      </c>
      <c r="Q108" s="37">
        <v>13284.58</v>
      </c>
      <c r="R108" s="37">
        <f>2564.98+1394.54</f>
        <v>3959.52</v>
      </c>
      <c r="S108" s="36">
        <f t="shared" si="31"/>
        <v>206572.47000000003</v>
      </c>
    </row>
    <row r="109" spans="1:19">
      <c r="A109" s="33" t="s">
        <v>423</v>
      </c>
      <c r="B109" s="56" t="s">
        <v>424</v>
      </c>
      <c r="C109" s="56"/>
      <c r="D109" s="47"/>
      <c r="E109" s="37">
        <v>29824</v>
      </c>
      <c r="F109" s="37">
        <v>8662</v>
      </c>
      <c r="G109" s="37">
        <v>8000</v>
      </c>
      <c r="H109" s="37">
        <v>8000</v>
      </c>
      <c r="I109" s="37">
        <v>15855</v>
      </c>
      <c r="J109" s="37">
        <v>4669</v>
      </c>
      <c r="K109" s="37">
        <f>4900+1492</f>
        <v>6392</v>
      </c>
      <c r="L109" s="37">
        <v>4663.8</v>
      </c>
      <c r="M109" s="37">
        <v>6585.2</v>
      </c>
      <c r="N109" s="37">
        <v>3060</v>
      </c>
      <c r="O109" s="37">
        <v>21060</v>
      </c>
      <c r="P109" s="37"/>
      <c r="Q109" s="37">
        <v>6784</v>
      </c>
      <c r="R109" s="37">
        <v>4013</v>
      </c>
      <c r="S109" s="36">
        <f t="shared" si="31"/>
        <v>127568</v>
      </c>
    </row>
    <row r="113" spans="5:7">
      <c r="E113" s="90"/>
      <c r="F113" s="90"/>
      <c r="G113" s="90"/>
    </row>
  </sheetData>
  <protectedRanges>
    <protectedRange password="E9C1" sqref="B31:D109 A4:D12 A2:S3 B13:D28 A13:A109 S4:S109" name="区域1_1_2"/>
    <protectedRange password="E9C1" sqref="B29:C30" name="区域1_1_1_1"/>
    <protectedRange password="E9C1" sqref="D29" name="区域1_3"/>
    <protectedRange password="E9C1" sqref="D30" name="区域1_2_1"/>
  </protectedRanges>
  <mergeCells count="1">
    <mergeCell ref="A1:S1"/>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9"/>
  <sheetViews>
    <sheetView topLeftCell="L1" workbookViewId="0">
      <selection activeCell="W3" sqref="W3:W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24" ht="25.5">
      <c r="A1" s="1332" t="s">
        <v>179</v>
      </c>
      <c r="B1" s="1333"/>
      <c r="C1" s="1333"/>
      <c r="D1" s="1333"/>
      <c r="E1" s="1333"/>
      <c r="F1" s="1333"/>
      <c r="G1" s="1333"/>
      <c r="H1" s="1333"/>
      <c r="I1" s="1333"/>
      <c r="J1" s="1333"/>
      <c r="K1" s="1333"/>
      <c r="L1" s="1333"/>
      <c r="M1" s="1333"/>
      <c r="N1" s="1333"/>
      <c r="O1" s="1333"/>
      <c r="P1" s="1333"/>
      <c r="Q1" s="1333"/>
      <c r="R1" s="1333"/>
      <c r="S1" s="1333"/>
      <c r="T1" s="1333"/>
      <c r="U1" s="1333"/>
      <c r="V1" s="1333"/>
      <c r="W1" s="1333"/>
      <c r="X1" s="1333"/>
    </row>
    <row r="2" spans="1:24" ht="30" customHeight="1">
      <c r="A2" s="31" t="s">
        <v>0</v>
      </c>
      <c r="B2" s="31" t="s">
        <v>180</v>
      </c>
      <c r="C2" s="31" t="s">
        <v>181</v>
      </c>
      <c r="D2" s="32" t="s">
        <v>182</v>
      </c>
      <c r="E2" s="32" t="s">
        <v>118</v>
      </c>
      <c r="F2" s="32" t="s">
        <v>119</v>
      </c>
      <c r="G2" s="32" t="s">
        <v>449</v>
      </c>
      <c r="H2" s="32" t="s">
        <v>120</v>
      </c>
      <c r="I2" s="32" t="s">
        <v>121</v>
      </c>
      <c r="J2" s="32" t="s">
        <v>427</v>
      </c>
      <c r="K2" s="32" t="s">
        <v>123</v>
      </c>
      <c r="L2" s="32" t="s">
        <v>450</v>
      </c>
      <c r="M2" s="32" t="s">
        <v>451</v>
      </c>
      <c r="N2" s="32" t="s">
        <v>429</v>
      </c>
      <c r="O2" s="32" t="s">
        <v>571</v>
      </c>
      <c r="P2" s="32" t="s">
        <v>571</v>
      </c>
      <c r="Q2" s="32" t="s">
        <v>571</v>
      </c>
      <c r="R2" s="32" t="s">
        <v>571</v>
      </c>
      <c r="S2" s="32" t="s">
        <v>571</v>
      </c>
      <c r="T2" s="32" t="s">
        <v>571</v>
      </c>
      <c r="U2" s="32" t="s">
        <v>571</v>
      </c>
      <c r="V2" s="32" t="s">
        <v>571</v>
      </c>
      <c r="W2" s="32" t="s">
        <v>25</v>
      </c>
      <c r="X2" s="176" t="s">
        <v>572</v>
      </c>
    </row>
    <row r="3" spans="1:24">
      <c r="A3" s="33" t="s">
        <v>183</v>
      </c>
      <c r="B3" s="34" t="s">
        <v>184</v>
      </c>
      <c r="C3" s="34"/>
      <c r="D3" s="35" t="s">
        <v>185</v>
      </c>
      <c r="E3" s="36">
        <f>E4+E31+E52</f>
        <v>29918164</v>
      </c>
      <c r="F3" s="36">
        <f t="shared" ref="F3:V3" si="0">F4+F31+F52</f>
        <v>22685002</v>
      </c>
      <c r="G3" s="36">
        <f t="shared" si="0"/>
        <v>42423128.399999999</v>
      </c>
      <c r="H3" s="36">
        <f t="shared" si="0"/>
        <v>30612200.399999999</v>
      </c>
      <c r="I3" s="36">
        <f t="shared" si="0"/>
        <v>23928219.149999999</v>
      </c>
      <c r="J3" s="36">
        <f t="shared" si="0"/>
        <v>18142838.75</v>
      </c>
      <c r="K3" s="36">
        <f t="shared" si="0"/>
        <v>17048274.75</v>
      </c>
      <c r="L3" s="36">
        <f t="shared" si="0"/>
        <v>12931780.699999999</v>
      </c>
      <c r="M3" s="36">
        <f t="shared" si="0"/>
        <v>15392648.25</v>
      </c>
      <c r="N3" s="36">
        <f t="shared" si="0"/>
        <v>474754</v>
      </c>
      <c r="O3" s="36">
        <f t="shared" si="0"/>
        <v>0</v>
      </c>
      <c r="P3" s="36">
        <f t="shared" si="0"/>
        <v>0</v>
      </c>
      <c r="Q3" s="36">
        <f t="shared" si="0"/>
        <v>0</v>
      </c>
      <c r="R3" s="36">
        <f t="shared" si="0"/>
        <v>0</v>
      </c>
      <c r="S3" s="36">
        <f t="shared" si="0"/>
        <v>0</v>
      </c>
      <c r="T3" s="37"/>
      <c r="U3" s="37"/>
      <c r="V3" s="36">
        <f t="shared" si="0"/>
        <v>0</v>
      </c>
      <c r="W3" s="36">
        <f>SUM(E3:V3)</f>
        <v>213557010.40000001</v>
      </c>
      <c r="X3" s="39"/>
    </row>
    <row r="4" spans="1:24">
      <c r="A4" s="33" t="s">
        <v>186</v>
      </c>
      <c r="B4" s="34" t="s">
        <v>128</v>
      </c>
      <c r="C4" s="34"/>
      <c r="D4" s="35" t="s">
        <v>185</v>
      </c>
      <c r="E4" s="36">
        <f t="shared" ref="E4:V4" si="1">E5+E8+E13+E17+E20+E22+E25+E27+E29+E30</f>
        <v>26810115</v>
      </c>
      <c r="F4" s="36">
        <f t="shared" si="1"/>
        <v>20001922</v>
      </c>
      <c r="G4" s="36">
        <f t="shared" si="1"/>
        <v>36947444</v>
      </c>
      <c r="H4" s="36">
        <f t="shared" si="1"/>
        <v>26073918</v>
      </c>
      <c r="I4" s="36">
        <f t="shared" si="1"/>
        <v>20442345</v>
      </c>
      <c r="J4" s="36">
        <f t="shared" si="1"/>
        <v>15662234</v>
      </c>
      <c r="K4" s="36">
        <f t="shared" si="1"/>
        <v>14906996</v>
      </c>
      <c r="L4" s="36">
        <f t="shared" si="1"/>
        <v>11263700</v>
      </c>
      <c r="M4" s="36">
        <f t="shared" si="1"/>
        <v>13551542</v>
      </c>
      <c r="N4" s="36">
        <f t="shared" si="1"/>
        <v>333581</v>
      </c>
      <c r="O4" s="36">
        <f t="shared" si="1"/>
        <v>0</v>
      </c>
      <c r="P4" s="36">
        <f t="shared" si="1"/>
        <v>0</v>
      </c>
      <c r="Q4" s="36">
        <f t="shared" si="1"/>
        <v>0</v>
      </c>
      <c r="R4" s="36">
        <f t="shared" si="1"/>
        <v>0</v>
      </c>
      <c r="S4" s="36">
        <f t="shared" si="1"/>
        <v>0</v>
      </c>
      <c r="T4" s="37"/>
      <c r="U4" s="37"/>
      <c r="V4" s="36">
        <f t="shared" si="1"/>
        <v>0</v>
      </c>
      <c r="W4" s="36">
        <f t="shared" ref="W4:W67" si="2">SUM(E4:V4)</f>
        <v>185993797</v>
      </c>
      <c r="X4" s="39"/>
    </row>
    <row r="5" spans="1:24">
      <c r="A5" s="33" t="s">
        <v>187</v>
      </c>
      <c r="B5" s="34" t="s">
        <v>188</v>
      </c>
      <c r="C5" s="34"/>
      <c r="D5" s="35" t="s">
        <v>185</v>
      </c>
      <c r="E5" s="36">
        <f>E6+E7</f>
        <v>3824810</v>
      </c>
      <c r="F5" s="36">
        <f t="shared" ref="F5:V5" si="3">F6+F7</f>
        <v>2882330</v>
      </c>
      <c r="G5" s="36">
        <f t="shared" si="3"/>
        <v>5712340</v>
      </c>
      <c r="H5" s="36">
        <f t="shared" si="3"/>
        <v>3577700</v>
      </c>
      <c r="I5" s="36">
        <f t="shared" si="3"/>
        <v>2865400</v>
      </c>
      <c r="J5" s="36">
        <f t="shared" si="3"/>
        <v>1905740</v>
      </c>
      <c r="K5" s="36">
        <f t="shared" si="3"/>
        <v>1898570</v>
      </c>
      <c r="L5" s="36">
        <f t="shared" si="3"/>
        <v>1515230</v>
      </c>
      <c r="M5" s="36">
        <f t="shared" si="3"/>
        <v>1884940</v>
      </c>
      <c r="N5" s="36">
        <f t="shared" si="3"/>
        <v>60670</v>
      </c>
      <c r="O5" s="36">
        <f t="shared" si="3"/>
        <v>0</v>
      </c>
      <c r="P5" s="36">
        <f t="shared" si="3"/>
        <v>0</v>
      </c>
      <c r="Q5" s="36">
        <f t="shared" si="3"/>
        <v>0</v>
      </c>
      <c r="R5" s="36">
        <f t="shared" si="3"/>
        <v>0</v>
      </c>
      <c r="S5" s="36">
        <f t="shared" si="3"/>
        <v>0</v>
      </c>
      <c r="T5" s="37"/>
      <c r="U5" s="37"/>
      <c r="V5" s="36">
        <f t="shared" si="3"/>
        <v>0</v>
      </c>
      <c r="W5" s="36">
        <f t="shared" si="2"/>
        <v>26127730</v>
      </c>
      <c r="X5" s="39"/>
    </row>
    <row r="6" spans="1:24">
      <c r="A6" s="33" t="s">
        <v>189</v>
      </c>
      <c r="B6" s="34" t="s">
        <v>190</v>
      </c>
      <c r="C6" s="34" t="s">
        <v>191</v>
      </c>
      <c r="D6" s="35" t="s">
        <v>192</v>
      </c>
      <c r="E6" s="37">
        <v>2173800</v>
      </c>
      <c r="F6" s="37">
        <v>1661220</v>
      </c>
      <c r="G6" s="37">
        <v>3051220</v>
      </c>
      <c r="H6" s="37">
        <v>2062200</v>
      </c>
      <c r="I6" s="37">
        <v>1603200</v>
      </c>
      <c r="J6" s="37">
        <v>1212520</v>
      </c>
      <c r="K6" s="37">
        <v>1162120</v>
      </c>
      <c r="L6" s="37">
        <v>928920</v>
      </c>
      <c r="M6" s="37">
        <v>1131720</v>
      </c>
      <c r="N6" s="37">
        <v>31940</v>
      </c>
      <c r="O6" s="37"/>
      <c r="P6" s="37"/>
      <c r="Q6" s="37"/>
      <c r="R6" s="37"/>
      <c r="S6" s="37"/>
      <c r="T6" s="37"/>
      <c r="U6" s="37"/>
      <c r="V6" s="37"/>
      <c r="W6" s="36">
        <f t="shared" si="2"/>
        <v>15018860</v>
      </c>
      <c r="X6" s="177"/>
    </row>
    <row r="7" spans="1:24">
      <c r="A7" s="33" t="s">
        <v>193</v>
      </c>
      <c r="B7" s="34" t="s">
        <v>194</v>
      </c>
      <c r="C7" s="34" t="s">
        <v>191</v>
      </c>
      <c r="D7" s="35" t="s">
        <v>192</v>
      </c>
      <c r="E7" s="37">
        <v>1651010</v>
      </c>
      <c r="F7" s="37">
        <v>1221110</v>
      </c>
      <c r="G7" s="37">
        <v>2661120</v>
      </c>
      <c r="H7" s="37">
        <v>1515500</v>
      </c>
      <c r="I7" s="37">
        <v>1262200</v>
      </c>
      <c r="J7" s="37">
        <v>693220</v>
      </c>
      <c r="K7" s="37">
        <v>736450</v>
      </c>
      <c r="L7" s="37">
        <v>586310</v>
      </c>
      <c r="M7" s="37">
        <v>753220</v>
      </c>
      <c r="N7" s="37">
        <v>28730</v>
      </c>
      <c r="O7" s="37"/>
      <c r="P7" s="37"/>
      <c r="Q7" s="37"/>
      <c r="R7" s="37"/>
      <c r="S7" s="37"/>
      <c r="T7" s="37"/>
      <c r="U7" s="37"/>
      <c r="V7" s="37"/>
      <c r="W7" s="36">
        <f t="shared" si="2"/>
        <v>11108870</v>
      </c>
      <c r="X7" s="39"/>
    </row>
    <row r="8" spans="1:24">
      <c r="A8" s="33" t="s">
        <v>195</v>
      </c>
      <c r="B8" s="34" t="s">
        <v>196</v>
      </c>
      <c r="C8" s="34"/>
      <c r="D8" s="35" t="s">
        <v>185</v>
      </c>
      <c r="E8" s="36">
        <f>E9+E10</f>
        <v>460720</v>
      </c>
      <c r="F8" s="36">
        <f t="shared" ref="F8:V8" si="4">F9+F10</f>
        <v>347088</v>
      </c>
      <c r="G8" s="36">
        <f t="shared" si="4"/>
        <v>641756</v>
      </c>
      <c r="H8" s="36">
        <f t="shared" si="4"/>
        <v>466772</v>
      </c>
      <c r="I8" s="36">
        <f t="shared" si="4"/>
        <v>353380</v>
      </c>
      <c r="J8" s="36">
        <f t="shared" si="4"/>
        <v>281354</v>
      </c>
      <c r="K8" s="36">
        <f t="shared" si="4"/>
        <v>259916</v>
      </c>
      <c r="L8" s="36">
        <f t="shared" si="4"/>
        <v>216420</v>
      </c>
      <c r="M8" s="36">
        <f t="shared" si="4"/>
        <v>254712</v>
      </c>
      <c r="N8" s="36">
        <f t="shared" si="4"/>
        <v>5472</v>
      </c>
      <c r="O8" s="36">
        <f t="shared" si="4"/>
        <v>0</v>
      </c>
      <c r="P8" s="36">
        <f t="shared" si="4"/>
        <v>0</v>
      </c>
      <c r="Q8" s="36">
        <f t="shared" si="4"/>
        <v>0</v>
      </c>
      <c r="R8" s="36">
        <f t="shared" si="4"/>
        <v>0</v>
      </c>
      <c r="S8" s="36">
        <f t="shared" si="4"/>
        <v>0</v>
      </c>
      <c r="T8" s="37"/>
      <c r="U8" s="37"/>
      <c r="V8" s="36">
        <f t="shared" si="4"/>
        <v>0</v>
      </c>
      <c r="W8" s="36">
        <f t="shared" si="2"/>
        <v>3287590</v>
      </c>
      <c r="X8" s="39"/>
    </row>
    <row r="9" spans="1:24">
      <c r="A9" s="33" t="s">
        <v>197</v>
      </c>
      <c r="B9" s="34" t="s">
        <v>198</v>
      </c>
      <c r="C9" s="34" t="s">
        <v>191</v>
      </c>
      <c r="D9" s="35" t="s">
        <v>192</v>
      </c>
      <c r="E9" s="37">
        <v>5800</v>
      </c>
      <c r="F9" s="37">
        <v>4560</v>
      </c>
      <c r="G9" s="37">
        <v>10220</v>
      </c>
      <c r="H9" s="37">
        <v>6500</v>
      </c>
      <c r="I9" s="37">
        <v>5500</v>
      </c>
      <c r="J9" s="37">
        <v>3050</v>
      </c>
      <c r="K9" s="37">
        <v>3020</v>
      </c>
      <c r="L9" s="37">
        <v>2340</v>
      </c>
      <c r="M9" s="37">
        <v>3168</v>
      </c>
      <c r="N9" s="37">
        <v>120</v>
      </c>
      <c r="O9" s="37"/>
      <c r="P9" s="37"/>
      <c r="Q9" s="37"/>
      <c r="R9" s="37"/>
      <c r="S9" s="37"/>
      <c r="T9" s="37"/>
      <c r="U9" s="37"/>
      <c r="V9" s="37"/>
      <c r="W9" s="36">
        <f t="shared" si="2"/>
        <v>44278</v>
      </c>
      <c r="X9" s="39"/>
    </row>
    <row r="10" spans="1:24">
      <c r="A10" s="33" t="s">
        <v>199</v>
      </c>
      <c r="B10" s="34" t="s">
        <v>200</v>
      </c>
      <c r="C10" s="34"/>
      <c r="D10" s="35" t="s">
        <v>185</v>
      </c>
      <c r="E10" s="36">
        <f>E11+E12</f>
        <v>454920</v>
      </c>
      <c r="F10" s="36">
        <f t="shared" ref="F10:V10" si="5">F11+F12</f>
        <v>342528</v>
      </c>
      <c r="G10" s="36">
        <f t="shared" si="5"/>
        <v>631536</v>
      </c>
      <c r="H10" s="36">
        <f t="shared" si="5"/>
        <v>460272</v>
      </c>
      <c r="I10" s="36">
        <f t="shared" si="5"/>
        <v>347880</v>
      </c>
      <c r="J10" s="36">
        <f t="shared" si="5"/>
        <v>278304</v>
      </c>
      <c r="K10" s="36">
        <f t="shared" si="5"/>
        <v>256896</v>
      </c>
      <c r="L10" s="36">
        <f t="shared" si="5"/>
        <v>214080</v>
      </c>
      <c r="M10" s="36">
        <f t="shared" si="5"/>
        <v>251544</v>
      </c>
      <c r="N10" s="36">
        <f t="shared" si="5"/>
        <v>5352</v>
      </c>
      <c r="O10" s="36">
        <f t="shared" si="5"/>
        <v>0</v>
      </c>
      <c r="P10" s="36">
        <f t="shared" si="5"/>
        <v>0</v>
      </c>
      <c r="Q10" s="36">
        <f t="shared" si="5"/>
        <v>0</v>
      </c>
      <c r="R10" s="36">
        <f t="shared" si="5"/>
        <v>0</v>
      </c>
      <c r="S10" s="36">
        <f t="shared" si="5"/>
        <v>0</v>
      </c>
      <c r="T10" s="37"/>
      <c r="U10" s="37"/>
      <c r="V10" s="36">
        <f t="shared" si="5"/>
        <v>0</v>
      </c>
      <c r="W10" s="36">
        <f t="shared" si="2"/>
        <v>3243312</v>
      </c>
      <c r="X10" s="39"/>
    </row>
    <row r="11" spans="1:24" s="40" customFormat="1">
      <c r="A11" s="33" t="s">
        <v>201</v>
      </c>
      <c r="B11" s="38" t="s">
        <v>202</v>
      </c>
      <c r="C11" s="38" t="s">
        <v>191</v>
      </c>
      <c r="D11" s="39" t="s">
        <v>185</v>
      </c>
      <c r="E11" s="36">
        <f>72*E96</f>
        <v>6120</v>
      </c>
      <c r="F11" s="36">
        <f t="shared" ref="F11:V11" si="6">72*F96</f>
        <v>4608</v>
      </c>
      <c r="G11" s="36">
        <f t="shared" si="6"/>
        <v>8496</v>
      </c>
      <c r="H11" s="36">
        <f t="shared" si="6"/>
        <v>6192</v>
      </c>
      <c r="I11" s="36">
        <f t="shared" si="6"/>
        <v>4680</v>
      </c>
      <c r="J11" s="36">
        <f t="shared" si="6"/>
        <v>3744</v>
      </c>
      <c r="K11" s="36">
        <f t="shared" si="6"/>
        <v>3456</v>
      </c>
      <c r="L11" s="36">
        <f t="shared" si="6"/>
        <v>2880</v>
      </c>
      <c r="M11" s="36">
        <f t="shared" si="6"/>
        <v>3384</v>
      </c>
      <c r="N11" s="36">
        <f t="shared" si="6"/>
        <v>72</v>
      </c>
      <c r="O11" s="36">
        <f t="shared" si="6"/>
        <v>0</v>
      </c>
      <c r="P11" s="36">
        <f t="shared" si="6"/>
        <v>0</v>
      </c>
      <c r="Q11" s="36">
        <f t="shared" si="6"/>
        <v>0</v>
      </c>
      <c r="R11" s="36">
        <f t="shared" si="6"/>
        <v>0</v>
      </c>
      <c r="S11" s="36">
        <f t="shared" si="6"/>
        <v>0</v>
      </c>
      <c r="T11" s="37"/>
      <c r="U11" s="37"/>
      <c r="V11" s="36">
        <f t="shared" si="6"/>
        <v>0</v>
      </c>
      <c r="W11" s="36">
        <f t="shared" si="2"/>
        <v>43632</v>
      </c>
      <c r="X11" s="39"/>
    </row>
    <row r="12" spans="1:24" s="40" customFormat="1">
      <c r="A12" s="33" t="s">
        <v>203</v>
      </c>
      <c r="B12" s="38" t="s">
        <v>204</v>
      </c>
      <c r="C12" s="38" t="s">
        <v>191</v>
      </c>
      <c r="D12" s="39" t="s">
        <v>185</v>
      </c>
      <c r="E12" s="36">
        <f>440*12*E96</f>
        <v>448800</v>
      </c>
      <c r="F12" s="36">
        <f t="shared" ref="F12:V12" si="7">440*12*F96</f>
        <v>337920</v>
      </c>
      <c r="G12" s="36">
        <f t="shared" si="7"/>
        <v>623040</v>
      </c>
      <c r="H12" s="36">
        <f t="shared" si="7"/>
        <v>454080</v>
      </c>
      <c r="I12" s="36">
        <f t="shared" si="7"/>
        <v>343200</v>
      </c>
      <c r="J12" s="36">
        <f t="shared" si="7"/>
        <v>274560</v>
      </c>
      <c r="K12" s="36">
        <f t="shared" si="7"/>
        <v>253440</v>
      </c>
      <c r="L12" s="36">
        <f t="shared" si="7"/>
        <v>211200</v>
      </c>
      <c r="M12" s="36">
        <f t="shared" si="7"/>
        <v>248160</v>
      </c>
      <c r="N12" s="36">
        <f t="shared" si="7"/>
        <v>5280</v>
      </c>
      <c r="O12" s="36">
        <f t="shared" si="7"/>
        <v>0</v>
      </c>
      <c r="P12" s="36">
        <f t="shared" si="7"/>
        <v>0</v>
      </c>
      <c r="Q12" s="36">
        <f t="shared" si="7"/>
        <v>0</v>
      </c>
      <c r="R12" s="36">
        <f t="shared" si="7"/>
        <v>0</v>
      </c>
      <c r="S12" s="36">
        <f t="shared" si="7"/>
        <v>0</v>
      </c>
      <c r="T12" s="37"/>
      <c r="U12" s="37"/>
      <c r="V12" s="36">
        <f t="shared" si="7"/>
        <v>0</v>
      </c>
      <c r="W12" s="36">
        <f t="shared" si="2"/>
        <v>3199680</v>
      </c>
      <c r="X12" s="39"/>
    </row>
    <row r="13" spans="1:24">
      <c r="A13" s="33" t="s">
        <v>205</v>
      </c>
      <c r="B13" s="34" t="s">
        <v>206</v>
      </c>
      <c r="C13" s="34"/>
      <c r="D13" s="35" t="s">
        <v>207</v>
      </c>
      <c r="E13" s="36">
        <f>E14+E15+E16</f>
        <v>425600</v>
      </c>
      <c r="F13" s="36">
        <f t="shared" ref="F13:V13" si="8">F14+F15+F16</f>
        <v>310600</v>
      </c>
      <c r="G13" s="36">
        <f t="shared" si="8"/>
        <v>555250</v>
      </c>
      <c r="H13" s="36">
        <f t="shared" si="8"/>
        <v>390600</v>
      </c>
      <c r="I13" s="36">
        <f t="shared" si="8"/>
        <v>325400</v>
      </c>
      <c r="J13" s="36">
        <f t="shared" si="8"/>
        <v>275100</v>
      </c>
      <c r="K13" s="36">
        <f t="shared" si="8"/>
        <v>270250</v>
      </c>
      <c r="L13" s="36">
        <f t="shared" si="8"/>
        <v>167750</v>
      </c>
      <c r="M13" s="36">
        <f t="shared" si="8"/>
        <v>208250</v>
      </c>
      <c r="N13" s="36">
        <f t="shared" si="8"/>
        <v>5810</v>
      </c>
      <c r="O13" s="36">
        <f t="shared" si="8"/>
        <v>0</v>
      </c>
      <c r="P13" s="36">
        <f t="shared" si="8"/>
        <v>0</v>
      </c>
      <c r="Q13" s="36">
        <f t="shared" si="8"/>
        <v>0</v>
      </c>
      <c r="R13" s="36">
        <f t="shared" si="8"/>
        <v>0</v>
      </c>
      <c r="S13" s="36">
        <f t="shared" si="8"/>
        <v>0</v>
      </c>
      <c r="T13" s="37"/>
      <c r="U13" s="37"/>
      <c r="V13" s="36">
        <f t="shared" si="8"/>
        <v>0</v>
      </c>
      <c r="W13" s="36">
        <f t="shared" si="2"/>
        <v>2934610</v>
      </c>
      <c r="X13" s="39"/>
    </row>
    <row r="14" spans="1:24" s="40" customFormat="1">
      <c r="A14" s="33" t="s">
        <v>208</v>
      </c>
      <c r="B14" s="38" t="s">
        <v>209</v>
      </c>
      <c r="C14" s="38" t="s">
        <v>191</v>
      </c>
      <c r="D14" s="39" t="s">
        <v>210</v>
      </c>
      <c r="E14" s="36">
        <f>E16*3</f>
        <v>255360</v>
      </c>
      <c r="F14" s="36">
        <f t="shared" ref="F14:V14" si="9">F16*3</f>
        <v>186360</v>
      </c>
      <c r="G14" s="36">
        <f t="shared" si="9"/>
        <v>333150</v>
      </c>
      <c r="H14" s="36">
        <f t="shared" si="9"/>
        <v>234360</v>
      </c>
      <c r="I14" s="36">
        <f t="shared" si="9"/>
        <v>195240</v>
      </c>
      <c r="J14" s="36">
        <f t="shared" si="9"/>
        <v>165060</v>
      </c>
      <c r="K14" s="36">
        <f t="shared" si="9"/>
        <v>162150</v>
      </c>
      <c r="L14" s="36">
        <f t="shared" si="9"/>
        <v>100650</v>
      </c>
      <c r="M14" s="36">
        <f t="shared" si="9"/>
        <v>124950</v>
      </c>
      <c r="N14" s="36">
        <f t="shared" si="9"/>
        <v>3486</v>
      </c>
      <c r="O14" s="36">
        <f t="shared" si="9"/>
        <v>0</v>
      </c>
      <c r="P14" s="36">
        <f t="shared" si="9"/>
        <v>0</v>
      </c>
      <c r="Q14" s="36">
        <f t="shared" si="9"/>
        <v>0</v>
      </c>
      <c r="R14" s="36">
        <f t="shared" si="9"/>
        <v>0</v>
      </c>
      <c r="S14" s="36">
        <f t="shared" si="9"/>
        <v>0</v>
      </c>
      <c r="T14" s="37"/>
      <c r="U14" s="37"/>
      <c r="V14" s="36">
        <f t="shared" si="9"/>
        <v>0</v>
      </c>
      <c r="W14" s="36">
        <f t="shared" si="2"/>
        <v>1760766</v>
      </c>
      <c r="X14" s="39"/>
    </row>
    <row r="15" spans="1:24" s="40" customFormat="1">
      <c r="A15" s="33" t="s">
        <v>211</v>
      </c>
      <c r="B15" s="38" t="s">
        <v>212</v>
      </c>
      <c r="C15" s="38" t="s">
        <v>191</v>
      </c>
      <c r="D15" s="39" t="s">
        <v>210</v>
      </c>
      <c r="E15" s="36">
        <f>E16</f>
        <v>85120</v>
      </c>
      <c r="F15" s="36">
        <f t="shared" ref="F15:V15" si="10">F16</f>
        <v>62120</v>
      </c>
      <c r="G15" s="36">
        <f t="shared" si="10"/>
        <v>111050</v>
      </c>
      <c r="H15" s="36">
        <f t="shared" si="10"/>
        <v>78120</v>
      </c>
      <c r="I15" s="36">
        <f t="shared" si="10"/>
        <v>65080</v>
      </c>
      <c r="J15" s="36">
        <f t="shared" si="10"/>
        <v>55020</v>
      </c>
      <c r="K15" s="36">
        <f t="shared" si="10"/>
        <v>54050</v>
      </c>
      <c r="L15" s="36">
        <f t="shared" si="10"/>
        <v>33550</v>
      </c>
      <c r="M15" s="36">
        <f t="shared" si="10"/>
        <v>41650</v>
      </c>
      <c r="N15" s="36">
        <f t="shared" si="10"/>
        <v>1162</v>
      </c>
      <c r="O15" s="36">
        <f t="shared" si="10"/>
        <v>0</v>
      </c>
      <c r="P15" s="36">
        <f t="shared" si="10"/>
        <v>0</v>
      </c>
      <c r="Q15" s="36">
        <f t="shared" si="10"/>
        <v>0</v>
      </c>
      <c r="R15" s="36">
        <f t="shared" si="10"/>
        <v>0</v>
      </c>
      <c r="S15" s="36">
        <f t="shared" si="10"/>
        <v>0</v>
      </c>
      <c r="T15" s="37"/>
      <c r="U15" s="37"/>
      <c r="V15" s="36">
        <f t="shared" si="10"/>
        <v>0</v>
      </c>
      <c r="W15" s="36">
        <f t="shared" si="2"/>
        <v>586922</v>
      </c>
      <c r="X15" s="39"/>
    </row>
    <row r="16" spans="1:24" s="40" customFormat="1">
      <c r="A16" s="33" t="s">
        <v>213</v>
      </c>
      <c r="B16" s="38" t="s">
        <v>214</v>
      </c>
      <c r="C16" s="38" t="s">
        <v>191</v>
      </c>
      <c r="D16" s="39" t="s">
        <v>210</v>
      </c>
      <c r="E16" s="37">
        <v>85120</v>
      </c>
      <c r="F16" s="37">
        <v>62120</v>
      </c>
      <c r="G16" s="37">
        <v>111050</v>
      </c>
      <c r="H16" s="37">
        <v>78120</v>
      </c>
      <c r="I16" s="37">
        <v>65080</v>
      </c>
      <c r="J16" s="37">
        <v>55020</v>
      </c>
      <c r="K16" s="37">
        <v>54050</v>
      </c>
      <c r="L16" s="37">
        <v>33550</v>
      </c>
      <c r="M16" s="37">
        <v>41650</v>
      </c>
      <c r="N16" s="37">
        <v>1162</v>
      </c>
      <c r="O16" s="37"/>
      <c r="P16" s="37"/>
      <c r="Q16" s="37"/>
      <c r="R16" s="37"/>
      <c r="S16" s="37"/>
      <c r="T16" s="37"/>
      <c r="U16" s="37"/>
      <c r="V16" s="37"/>
      <c r="W16" s="36">
        <f t="shared" si="2"/>
        <v>586922</v>
      </c>
      <c r="X16" s="39"/>
    </row>
    <row r="17" spans="1:24">
      <c r="A17" s="33" t="s">
        <v>215</v>
      </c>
      <c r="B17" s="34" t="s">
        <v>216</v>
      </c>
      <c r="C17" s="34"/>
      <c r="D17" s="35" t="s">
        <v>185</v>
      </c>
      <c r="E17" s="36">
        <f>E18+E19</f>
        <v>13622185</v>
      </c>
      <c r="F17" s="36">
        <f t="shared" ref="F17:V17" si="11">F18+F19</f>
        <v>10256704</v>
      </c>
      <c r="G17" s="36">
        <f t="shared" si="11"/>
        <v>18910798</v>
      </c>
      <c r="H17" s="36">
        <f t="shared" si="11"/>
        <v>13782446</v>
      </c>
      <c r="I17" s="36">
        <f t="shared" si="11"/>
        <v>10416965</v>
      </c>
      <c r="J17" s="36">
        <f t="shared" si="11"/>
        <v>7749040</v>
      </c>
      <c r="K17" s="36">
        <f t="shared" si="11"/>
        <v>7152960</v>
      </c>
      <c r="L17" s="36">
        <f t="shared" si="11"/>
        <v>5960800</v>
      </c>
      <c r="M17" s="36">
        <f t="shared" si="11"/>
        <v>7003940</v>
      </c>
      <c r="N17" s="36">
        <f t="shared" si="11"/>
        <v>147449</v>
      </c>
      <c r="O17" s="36">
        <f t="shared" si="11"/>
        <v>0</v>
      </c>
      <c r="P17" s="36">
        <f t="shared" si="11"/>
        <v>0</v>
      </c>
      <c r="Q17" s="36">
        <f t="shared" si="11"/>
        <v>0</v>
      </c>
      <c r="R17" s="36">
        <f t="shared" si="11"/>
        <v>0</v>
      </c>
      <c r="S17" s="36">
        <f t="shared" si="11"/>
        <v>0</v>
      </c>
      <c r="T17" s="37"/>
      <c r="U17" s="37"/>
      <c r="V17" s="36">
        <f t="shared" si="11"/>
        <v>0</v>
      </c>
      <c r="W17" s="36">
        <f t="shared" si="2"/>
        <v>95003287</v>
      </c>
      <c r="X17" s="39"/>
    </row>
    <row r="18" spans="1:24" ht="22.5">
      <c r="A18" s="33" t="s">
        <v>217</v>
      </c>
      <c r="B18" s="41" t="s">
        <v>218</v>
      </c>
      <c r="C18" s="41" t="s">
        <v>191</v>
      </c>
      <c r="D18" s="42" t="s">
        <v>219</v>
      </c>
      <c r="E18" s="43">
        <v>13414173</v>
      </c>
      <c r="F18" s="43">
        <v>10094832</v>
      </c>
      <c r="G18" s="43">
        <v>18497654</v>
      </c>
      <c r="H18" s="43">
        <v>13427322</v>
      </c>
      <c r="I18" s="43">
        <v>10416965</v>
      </c>
      <c r="J18" s="43">
        <v>7597876</v>
      </c>
      <c r="K18" s="43">
        <v>6977251</v>
      </c>
      <c r="L18" s="43">
        <v>5801368</v>
      </c>
      <c r="M18" s="43">
        <v>6840632</v>
      </c>
      <c r="N18" s="43">
        <v>147449</v>
      </c>
      <c r="O18" s="43"/>
      <c r="P18" s="43"/>
      <c r="Q18" s="43"/>
      <c r="R18" s="43"/>
      <c r="S18" s="43"/>
      <c r="T18" s="43"/>
      <c r="U18" s="43"/>
      <c r="V18" s="43"/>
      <c r="W18" s="36">
        <f t="shared" si="2"/>
        <v>93215522</v>
      </c>
      <c r="X18" s="42"/>
    </row>
    <row r="19" spans="1:24">
      <c r="A19" s="33" t="s">
        <v>220</v>
      </c>
      <c r="B19" s="41" t="s">
        <v>221</v>
      </c>
      <c r="C19" s="41" t="s">
        <v>191</v>
      </c>
      <c r="D19" s="42" t="s">
        <v>222</v>
      </c>
      <c r="E19" s="43">
        <v>208012</v>
      </c>
      <c r="F19" s="43">
        <v>161872</v>
      </c>
      <c r="G19" s="43">
        <v>413144</v>
      </c>
      <c r="H19" s="43">
        <v>355124</v>
      </c>
      <c r="I19" s="43"/>
      <c r="J19" s="43">
        <v>151164</v>
      </c>
      <c r="K19" s="43">
        <v>175709</v>
      </c>
      <c r="L19" s="43">
        <v>159432</v>
      </c>
      <c r="M19" s="43">
        <v>163308</v>
      </c>
      <c r="N19" s="43"/>
      <c r="O19" s="43"/>
      <c r="P19" s="43"/>
      <c r="Q19" s="43"/>
      <c r="R19" s="43"/>
      <c r="S19" s="43"/>
      <c r="T19" s="43"/>
      <c r="U19" s="43"/>
      <c r="V19" s="43"/>
      <c r="W19" s="36">
        <f t="shared" si="2"/>
        <v>1787765</v>
      </c>
      <c r="X19" s="42"/>
    </row>
    <row r="20" spans="1:24">
      <c r="A20" s="33" t="s">
        <v>223</v>
      </c>
      <c r="B20" s="34" t="s">
        <v>224</v>
      </c>
      <c r="C20" s="34"/>
      <c r="D20" s="42" t="s">
        <v>185</v>
      </c>
      <c r="E20" s="45">
        <f>E21</f>
        <v>1702400</v>
      </c>
      <c r="F20" s="45">
        <f t="shared" ref="F20:V20" si="12">F21</f>
        <v>1242400</v>
      </c>
      <c r="G20" s="45">
        <f t="shared" si="12"/>
        <v>2221000</v>
      </c>
      <c r="H20" s="45">
        <f t="shared" si="12"/>
        <v>1562400</v>
      </c>
      <c r="I20" s="45">
        <f t="shared" si="12"/>
        <v>1301600</v>
      </c>
      <c r="J20" s="45">
        <f t="shared" si="12"/>
        <v>1100400</v>
      </c>
      <c r="K20" s="45">
        <f t="shared" si="12"/>
        <v>1081000</v>
      </c>
      <c r="L20" s="45">
        <f t="shared" si="12"/>
        <v>671000</v>
      </c>
      <c r="M20" s="45">
        <f t="shared" si="12"/>
        <v>833000</v>
      </c>
      <c r="N20" s="45">
        <f t="shared" si="12"/>
        <v>23240</v>
      </c>
      <c r="O20" s="45">
        <f t="shared" si="12"/>
        <v>0</v>
      </c>
      <c r="P20" s="45">
        <f t="shared" si="12"/>
        <v>0</v>
      </c>
      <c r="Q20" s="45">
        <f t="shared" si="12"/>
        <v>0</v>
      </c>
      <c r="R20" s="45">
        <f t="shared" si="12"/>
        <v>0</v>
      </c>
      <c r="S20" s="45">
        <f t="shared" si="12"/>
        <v>0</v>
      </c>
      <c r="T20" s="43"/>
      <c r="U20" s="43"/>
      <c r="V20" s="45">
        <f t="shared" si="12"/>
        <v>0</v>
      </c>
      <c r="W20" s="36">
        <f t="shared" si="2"/>
        <v>11738440</v>
      </c>
      <c r="X20" s="42"/>
    </row>
    <row r="21" spans="1:24">
      <c r="A21" s="33" t="s">
        <v>225</v>
      </c>
      <c r="B21" s="34" t="s">
        <v>226</v>
      </c>
      <c r="C21" s="34" t="s">
        <v>227</v>
      </c>
      <c r="D21" s="42" t="s">
        <v>185</v>
      </c>
      <c r="E21" s="45">
        <f>E16*20</f>
        <v>1702400</v>
      </c>
      <c r="F21" s="45">
        <f t="shared" ref="F21:V21" si="13">F16*20</f>
        <v>1242400</v>
      </c>
      <c r="G21" s="45">
        <f t="shared" si="13"/>
        <v>2221000</v>
      </c>
      <c r="H21" s="45">
        <f t="shared" si="13"/>
        <v>1562400</v>
      </c>
      <c r="I21" s="45">
        <f t="shared" si="13"/>
        <v>1301600</v>
      </c>
      <c r="J21" s="45">
        <f t="shared" si="13"/>
        <v>1100400</v>
      </c>
      <c r="K21" s="45">
        <f t="shared" si="13"/>
        <v>1081000</v>
      </c>
      <c r="L21" s="45">
        <f t="shared" si="13"/>
        <v>671000</v>
      </c>
      <c r="M21" s="45">
        <f t="shared" si="13"/>
        <v>833000</v>
      </c>
      <c r="N21" s="45">
        <f t="shared" si="13"/>
        <v>23240</v>
      </c>
      <c r="O21" s="45">
        <f t="shared" si="13"/>
        <v>0</v>
      </c>
      <c r="P21" s="45">
        <f t="shared" si="13"/>
        <v>0</v>
      </c>
      <c r="Q21" s="45">
        <f t="shared" si="13"/>
        <v>0</v>
      </c>
      <c r="R21" s="45">
        <f t="shared" si="13"/>
        <v>0</v>
      </c>
      <c r="S21" s="45">
        <f t="shared" si="13"/>
        <v>0</v>
      </c>
      <c r="T21" s="43"/>
      <c r="U21" s="43"/>
      <c r="V21" s="45">
        <f t="shared" si="13"/>
        <v>0</v>
      </c>
      <c r="W21" s="36">
        <f t="shared" si="2"/>
        <v>11738440</v>
      </c>
      <c r="X21" s="42"/>
    </row>
    <row r="22" spans="1:24">
      <c r="A22" s="33" t="s">
        <v>228</v>
      </c>
      <c r="B22" s="34" t="s">
        <v>229</v>
      </c>
      <c r="C22" s="34"/>
      <c r="D22" s="42" t="s">
        <v>210</v>
      </c>
      <c r="E22" s="45">
        <f>E23+E24</f>
        <v>680960</v>
      </c>
      <c r="F22" s="45">
        <f t="shared" ref="F22:V22" si="14">F23+F24</f>
        <v>496960</v>
      </c>
      <c r="G22" s="45">
        <f t="shared" si="14"/>
        <v>888400</v>
      </c>
      <c r="H22" s="45">
        <f t="shared" si="14"/>
        <v>624960</v>
      </c>
      <c r="I22" s="45">
        <f t="shared" si="14"/>
        <v>520640</v>
      </c>
      <c r="J22" s="45">
        <f t="shared" si="14"/>
        <v>440160</v>
      </c>
      <c r="K22" s="45">
        <f t="shared" si="14"/>
        <v>432400</v>
      </c>
      <c r="L22" s="45">
        <f t="shared" si="14"/>
        <v>268400</v>
      </c>
      <c r="M22" s="45">
        <f t="shared" si="14"/>
        <v>333200</v>
      </c>
      <c r="N22" s="45">
        <f t="shared" si="14"/>
        <v>9296</v>
      </c>
      <c r="O22" s="45">
        <f t="shared" si="14"/>
        <v>0</v>
      </c>
      <c r="P22" s="45">
        <f t="shared" si="14"/>
        <v>0</v>
      </c>
      <c r="Q22" s="45">
        <f t="shared" si="14"/>
        <v>0</v>
      </c>
      <c r="R22" s="45">
        <f t="shared" si="14"/>
        <v>0</v>
      </c>
      <c r="S22" s="45">
        <f t="shared" si="14"/>
        <v>0</v>
      </c>
      <c r="T22" s="43"/>
      <c r="U22" s="43"/>
      <c r="V22" s="45">
        <f t="shared" si="14"/>
        <v>0</v>
      </c>
      <c r="W22" s="36">
        <f t="shared" si="2"/>
        <v>4695376</v>
      </c>
      <c r="X22" s="42"/>
    </row>
    <row r="23" spans="1:24">
      <c r="A23" s="33" t="s">
        <v>230</v>
      </c>
      <c r="B23" s="34" t="s">
        <v>231</v>
      </c>
      <c r="C23" s="34" t="s">
        <v>232</v>
      </c>
      <c r="D23" s="42" t="s">
        <v>210</v>
      </c>
      <c r="E23" s="45">
        <f>E16*4</f>
        <v>340480</v>
      </c>
      <c r="F23" s="45">
        <f t="shared" ref="F23:V23" si="15">F16*4</f>
        <v>248480</v>
      </c>
      <c r="G23" s="45">
        <f t="shared" si="15"/>
        <v>444200</v>
      </c>
      <c r="H23" s="45">
        <f t="shared" si="15"/>
        <v>312480</v>
      </c>
      <c r="I23" s="45">
        <f t="shared" si="15"/>
        <v>260320</v>
      </c>
      <c r="J23" s="45">
        <f t="shared" si="15"/>
        <v>220080</v>
      </c>
      <c r="K23" s="45">
        <f t="shared" si="15"/>
        <v>216200</v>
      </c>
      <c r="L23" s="45">
        <f t="shared" si="15"/>
        <v>134200</v>
      </c>
      <c r="M23" s="45">
        <f t="shared" si="15"/>
        <v>166600</v>
      </c>
      <c r="N23" s="45">
        <f t="shared" si="15"/>
        <v>4648</v>
      </c>
      <c r="O23" s="45">
        <f t="shared" si="15"/>
        <v>0</v>
      </c>
      <c r="P23" s="45">
        <f t="shared" si="15"/>
        <v>0</v>
      </c>
      <c r="Q23" s="45">
        <f t="shared" si="15"/>
        <v>0</v>
      </c>
      <c r="R23" s="45">
        <f t="shared" si="15"/>
        <v>0</v>
      </c>
      <c r="S23" s="45">
        <f t="shared" si="15"/>
        <v>0</v>
      </c>
      <c r="T23" s="43"/>
      <c r="U23" s="43"/>
      <c r="V23" s="45">
        <f t="shared" si="15"/>
        <v>0</v>
      </c>
      <c r="W23" s="36">
        <f t="shared" si="2"/>
        <v>2347688</v>
      </c>
      <c r="X23" s="42"/>
    </row>
    <row r="24" spans="1:24">
      <c r="A24" s="33" t="s">
        <v>233</v>
      </c>
      <c r="B24" s="34" t="s">
        <v>234</v>
      </c>
      <c r="C24" s="34" t="s">
        <v>232</v>
      </c>
      <c r="D24" s="42" t="s">
        <v>210</v>
      </c>
      <c r="E24" s="45">
        <f>E16*4</f>
        <v>340480</v>
      </c>
      <c r="F24" s="45">
        <f t="shared" ref="F24:V24" si="16">F16*4</f>
        <v>248480</v>
      </c>
      <c r="G24" s="45">
        <f t="shared" si="16"/>
        <v>444200</v>
      </c>
      <c r="H24" s="45">
        <f t="shared" si="16"/>
        <v>312480</v>
      </c>
      <c r="I24" s="45">
        <f t="shared" si="16"/>
        <v>260320</v>
      </c>
      <c r="J24" s="45">
        <f t="shared" si="16"/>
        <v>220080</v>
      </c>
      <c r="K24" s="45">
        <f t="shared" si="16"/>
        <v>216200</v>
      </c>
      <c r="L24" s="45">
        <f t="shared" si="16"/>
        <v>134200</v>
      </c>
      <c r="M24" s="45">
        <f t="shared" si="16"/>
        <v>166600</v>
      </c>
      <c r="N24" s="45">
        <f t="shared" si="16"/>
        <v>4648</v>
      </c>
      <c r="O24" s="45">
        <f t="shared" si="16"/>
        <v>0</v>
      </c>
      <c r="P24" s="45">
        <f t="shared" si="16"/>
        <v>0</v>
      </c>
      <c r="Q24" s="45">
        <f t="shared" si="16"/>
        <v>0</v>
      </c>
      <c r="R24" s="45">
        <f t="shared" si="16"/>
        <v>0</v>
      </c>
      <c r="S24" s="45">
        <f t="shared" si="16"/>
        <v>0</v>
      </c>
      <c r="T24" s="43"/>
      <c r="U24" s="43"/>
      <c r="V24" s="45">
        <f t="shared" si="16"/>
        <v>0</v>
      </c>
      <c r="W24" s="36">
        <f t="shared" si="2"/>
        <v>2347688</v>
      </c>
      <c r="X24" s="42"/>
    </row>
    <row r="25" spans="1:24">
      <c r="A25" s="33" t="s">
        <v>235</v>
      </c>
      <c r="B25" s="34" t="s">
        <v>236</v>
      </c>
      <c r="C25" s="34"/>
      <c r="D25" s="35" t="s">
        <v>185</v>
      </c>
      <c r="E25" s="36">
        <f>E26</f>
        <v>2723840</v>
      </c>
      <c r="F25" s="36">
        <f t="shared" ref="F25:V25" si="17">F26</f>
        <v>1987840</v>
      </c>
      <c r="G25" s="36">
        <f t="shared" si="17"/>
        <v>3553600</v>
      </c>
      <c r="H25" s="36">
        <f t="shared" si="17"/>
        <v>2499840</v>
      </c>
      <c r="I25" s="36">
        <f t="shared" si="17"/>
        <v>2082560</v>
      </c>
      <c r="J25" s="36">
        <f t="shared" si="17"/>
        <v>1760640</v>
      </c>
      <c r="K25" s="36">
        <f t="shared" si="17"/>
        <v>1729600</v>
      </c>
      <c r="L25" s="36">
        <f t="shared" si="17"/>
        <v>1073600</v>
      </c>
      <c r="M25" s="36">
        <f t="shared" si="17"/>
        <v>1332800</v>
      </c>
      <c r="N25" s="36">
        <f t="shared" si="17"/>
        <v>37184</v>
      </c>
      <c r="O25" s="36">
        <f t="shared" si="17"/>
        <v>0</v>
      </c>
      <c r="P25" s="36">
        <f t="shared" si="17"/>
        <v>0</v>
      </c>
      <c r="Q25" s="36">
        <f t="shared" si="17"/>
        <v>0</v>
      </c>
      <c r="R25" s="36">
        <f t="shared" si="17"/>
        <v>0</v>
      </c>
      <c r="S25" s="36">
        <f t="shared" si="17"/>
        <v>0</v>
      </c>
      <c r="T25" s="37"/>
      <c r="U25" s="37"/>
      <c r="V25" s="36">
        <f t="shared" si="17"/>
        <v>0</v>
      </c>
      <c r="W25" s="36">
        <f t="shared" si="2"/>
        <v>18781504</v>
      </c>
      <c r="X25" s="39"/>
    </row>
    <row r="26" spans="1:24" s="40" customFormat="1">
      <c r="A26" s="33" t="s">
        <v>237</v>
      </c>
      <c r="B26" s="38" t="s">
        <v>238</v>
      </c>
      <c r="C26" s="38" t="s">
        <v>239</v>
      </c>
      <c r="D26" s="39" t="s">
        <v>210</v>
      </c>
      <c r="E26" s="36">
        <f>E16*32</f>
        <v>2723840</v>
      </c>
      <c r="F26" s="36">
        <f t="shared" ref="F26:V26" si="18">F16*32</f>
        <v>1987840</v>
      </c>
      <c r="G26" s="36">
        <f t="shared" si="18"/>
        <v>3553600</v>
      </c>
      <c r="H26" s="36">
        <f t="shared" si="18"/>
        <v>2499840</v>
      </c>
      <c r="I26" s="36">
        <f t="shared" si="18"/>
        <v>2082560</v>
      </c>
      <c r="J26" s="36">
        <f t="shared" si="18"/>
        <v>1760640</v>
      </c>
      <c r="K26" s="36">
        <f t="shared" si="18"/>
        <v>1729600</v>
      </c>
      <c r="L26" s="36">
        <f t="shared" si="18"/>
        <v>1073600</v>
      </c>
      <c r="M26" s="36">
        <f t="shared" si="18"/>
        <v>1332800</v>
      </c>
      <c r="N26" s="36">
        <f t="shared" si="18"/>
        <v>37184</v>
      </c>
      <c r="O26" s="36">
        <f t="shared" si="18"/>
        <v>0</v>
      </c>
      <c r="P26" s="36">
        <f t="shared" si="18"/>
        <v>0</v>
      </c>
      <c r="Q26" s="36">
        <f t="shared" si="18"/>
        <v>0</v>
      </c>
      <c r="R26" s="36">
        <f t="shared" si="18"/>
        <v>0</v>
      </c>
      <c r="S26" s="36">
        <f t="shared" si="18"/>
        <v>0</v>
      </c>
      <c r="T26" s="37"/>
      <c r="U26" s="37"/>
      <c r="V26" s="36">
        <f t="shared" si="18"/>
        <v>0</v>
      </c>
      <c r="W26" s="36">
        <f t="shared" si="2"/>
        <v>18781504</v>
      </c>
      <c r="X26" s="39"/>
    </row>
    <row r="27" spans="1:24">
      <c r="A27" s="33" t="s">
        <v>240</v>
      </c>
      <c r="B27" s="34" t="s">
        <v>241</v>
      </c>
      <c r="C27" s="34"/>
      <c r="D27" s="35" t="s">
        <v>185</v>
      </c>
      <c r="E27" s="36">
        <f>E28</f>
        <v>1361920</v>
      </c>
      <c r="F27" s="36">
        <f t="shared" ref="F27:V27" si="19">F28</f>
        <v>993920</v>
      </c>
      <c r="G27" s="36">
        <f t="shared" si="19"/>
        <v>1776800</v>
      </c>
      <c r="H27" s="36">
        <f t="shared" si="19"/>
        <v>1249920</v>
      </c>
      <c r="I27" s="36">
        <f t="shared" si="19"/>
        <v>1041280</v>
      </c>
      <c r="J27" s="36">
        <f t="shared" si="19"/>
        <v>880320</v>
      </c>
      <c r="K27" s="36">
        <f t="shared" si="19"/>
        <v>864800</v>
      </c>
      <c r="L27" s="36">
        <f t="shared" si="19"/>
        <v>536800</v>
      </c>
      <c r="M27" s="36">
        <f t="shared" si="19"/>
        <v>666400</v>
      </c>
      <c r="N27" s="36">
        <f t="shared" si="19"/>
        <v>18592</v>
      </c>
      <c r="O27" s="36">
        <f t="shared" si="19"/>
        <v>0</v>
      </c>
      <c r="P27" s="36">
        <f t="shared" si="19"/>
        <v>0</v>
      </c>
      <c r="Q27" s="36">
        <f t="shared" si="19"/>
        <v>0</v>
      </c>
      <c r="R27" s="36">
        <f t="shared" si="19"/>
        <v>0</v>
      </c>
      <c r="S27" s="36">
        <f t="shared" si="19"/>
        <v>0</v>
      </c>
      <c r="T27" s="37"/>
      <c r="U27" s="37"/>
      <c r="V27" s="36">
        <f t="shared" si="19"/>
        <v>0</v>
      </c>
      <c r="W27" s="36">
        <f t="shared" si="2"/>
        <v>9390752</v>
      </c>
      <c r="X27" s="39"/>
    </row>
    <row r="28" spans="1:24" s="40" customFormat="1">
      <c r="A28" s="33" t="s">
        <v>242</v>
      </c>
      <c r="B28" s="38" t="s">
        <v>243</v>
      </c>
      <c r="C28" s="38" t="s">
        <v>244</v>
      </c>
      <c r="D28" s="39" t="s">
        <v>210</v>
      </c>
      <c r="E28" s="36">
        <f>E16*16</f>
        <v>1361920</v>
      </c>
      <c r="F28" s="36">
        <f t="shared" ref="F28:V28" si="20">F16*16</f>
        <v>993920</v>
      </c>
      <c r="G28" s="36">
        <f t="shared" si="20"/>
        <v>1776800</v>
      </c>
      <c r="H28" s="36">
        <f t="shared" si="20"/>
        <v>1249920</v>
      </c>
      <c r="I28" s="36">
        <f t="shared" si="20"/>
        <v>1041280</v>
      </c>
      <c r="J28" s="36">
        <f t="shared" si="20"/>
        <v>880320</v>
      </c>
      <c r="K28" s="36">
        <f t="shared" si="20"/>
        <v>864800</v>
      </c>
      <c r="L28" s="36">
        <f t="shared" si="20"/>
        <v>536800</v>
      </c>
      <c r="M28" s="36">
        <f t="shared" si="20"/>
        <v>666400</v>
      </c>
      <c r="N28" s="36">
        <f t="shared" si="20"/>
        <v>18592</v>
      </c>
      <c r="O28" s="36">
        <f t="shared" si="20"/>
        <v>0</v>
      </c>
      <c r="P28" s="36">
        <f t="shared" si="20"/>
        <v>0</v>
      </c>
      <c r="Q28" s="36">
        <f t="shared" si="20"/>
        <v>0</v>
      </c>
      <c r="R28" s="36">
        <f t="shared" si="20"/>
        <v>0</v>
      </c>
      <c r="S28" s="36">
        <f t="shared" si="20"/>
        <v>0</v>
      </c>
      <c r="T28" s="37"/>
      <c r="U28" s="37"/>
      <c r="V28" s="36">
        <f t="shared" si="20"/>
        <v>0</v>
      </c>
      <c r="W28" s="36">
        <f t="shared" si="2"/>
        <v>9390752</v>
      </c>
      <c r="X28" s="39"/>
    </row>
    <row r="29" spans="1:24" ht="22.5">
      <c r="A29" s="33" t="s">
        <v>245</v>
      </c>
      <c r="B29" s="34" t="s">
        <v>246</v>
      </c>
      <c r="C29" s="41" t="s">
        <v>191</v>
      </c>
      <c r="D29" s="39" t="s">
        <v>247</v>
      </c>
      <c r="E29" s="36">
        <f>9600*E96</f>
        <v>816000</v>
      </c>
      <c r="F29" s="36">
        <f t="shared" ref="F29:V29" si="21">9600*F96</f>
        <v>614400</v>
      </c>
      <c r="G29" s="36">
        <f t="shared" si="21"/>
        <v>1132800</v>
      </c>
      <c r="H29" s="36">
        <f t="shared" si="21"/>
        <v>825600</v>
      </c>
      <c r="I29" s="36">
        <f t="shared" si="21"/>
        <v>624000</v>
      </c>
      <c r="J29" s="36">
        <f t="shared" si="21"/>
        <v>499200</v>
      </c>
      <c r="K29" s="36">
        <f t="shared" si="21"/>
        <v>460800</v>
      </c>
      <c r="L29" s="36">
        <f t="shared" si="21"/>
        <v>384000</v>
      </c>
      <c r="M29" s="36">
        <f t="shared" si="21"/>
        <v>451200</v>
      </c>
      <c r="N29" s="36">
        <f t="shared" si="21"/>
        <v>9600</v>
      </c>
      <c r="O29" s="36">
        <f t="shared" si="21"/>
        <v>0</v>
      </c>
      <c r="P29" s="36">
        <f t="shared" si="21"/>
        <v>0</v>
      </c>
      <c r="Q29" s="36">
        <f t="shared" si="21"/>
        <v>0</v>
      </c>
      <c r="R29" s="36">
        <f t="shared" si="21"/>
        <v>0</v>
      </c>
      <c r="S29" s="36">
        <f t="shared" si="21"/>
        <v>0</v>
      </c>
      <c r="T29" s="37"/>
      <c r="U29" s="37"/>
      <c r="V29" s="36">
        <f t="shared" si="21"/>
        <v>0</v>
      </c>
      <c r="W29" s="36">
        <f t="shared" si="2"/>
        <v>5817600</v>
      </c>
      <c r="X29" s="39"/>
    </row>
    <row r="30" spans="1:24">
      <c r="A30" s="33" t="s">
        <v>248</v>
      </c>
      <c r="B30" s="34" t="s">
        <v>249</v>
      </c>
      <c r="C30" s="34" t="s">
        <v>249</v>
      </c>
      <c r="D30" s="39" t="s">
        <v>210</v>
      </c>
      <c r="E30" s="45">
        <f>E16*14</f>
        <v>1191680</v>
      </c>
      <c r="F30" s="45">
        <f t="shared" ref="F30:V30" si="22">F16*14</f>
        <v>869680</v>
      </c>
      <c r="G30" s="45">
        <f t="shared" si="22"/>
        <v>1554700</v>
      </c>
      <c r="H30" s="45">
        <f t="shared" si="22"/>
        <v>1093680</v>
      </c>
      <c r="I30" s="45">
        <f t="shared" si="22"/>
        <v>911120</v>
      </c>
      <c r="J30" s="45">
        <f t="shared" si="22"/>
        <v>770280</v>
      </c>
      <c r="K30" s="45">
        <f t="shared" si="22"/>
        <v>756700</v>
      </c>
      <c r="L30" s="45">
        <f t="shared" si="22"/>
        <v>469700</v>
      </c>
      <c r="M30" s="45">
        <f t="shared" si="22"/>
        <v>583100</v>
      </c>
      <c r="N30" s="45">
        <f t="shared" si="22"/>
        <v>16268</v>
      </c>
      <c r="O30" s="45">
        <f t="shared" si="22"/>
        <v>0</v>
      </c>
      <c r="P30" s="45">
        <f t="shared" si="22"/>
        <v>0</v>
      </c>
      <c r="Q30" s="45">
        <f t="shared" si="22"/>
        <v>0</v>
      </c>
      <c r="R30" s="45">
        <f t="shared" si="22"/>
        <v>0</v>
      </c>
      <c r="S30" s="45">
        <f t="shared" si="22"/>
        <v>0</v>
      </c>
      <c r="T30" s="43"/>
      <c r="U30" s="43"/>
      <c r="V30" s="45">
        <f t="shared" si="22"/>
        <v>0</v>
      </c>
      <c r="W30" s="36">
        <f t="shared" si="2"/>
        <v>8216908</v>
      </c>
      <c r="X30" s="42"/>
    </row>
    <row r="31" spans="1:24">
      <c r="A31" s="33" t="s">
        <v>250</v>
      </c>
      <c r="B31" s="34" t="s">
        <v>251</v>
      </c>
      <c r="C31" s="34"/>
      <c r="D31" s="35" t="s">
        <v>185</v>
      </c>
      <c r="E31" s="36">
        <f>E32+E40+E42+E45+E47</f>
        <v>11070</v>
      </c>
      <c r="F31" s="36">
        <f t="shared" ref="F31:V31" si="23">F32+F40+F42+F45+F47</f>
        <v>9960</v>
      </c>
      <c r="G31" s="36">
        <f t="shared" si="23"/>
        <v>15200</v>
      </c>
      <c r="H31" s="36">
        <f t="shared" si="23"/>
        <v>9360</v>
      </c>
      <c r="I31" s="36">
        <f t="shared" si="23"/>
        <v>8640</v>
      </c>
      <c r="J31" s="36">
        <f t="shared" si="23"/>
        <v>3700</v>
      </c>
      <c r="K31" s="36">
        <f t="shared" si="23"/>
        <v>4010</v>
      </c>
      <c r="L31" s="36">
        <f t="shared" si="23"/>
        <v>5400</v>
      </c>
      <c r="M31" s="36">
        <f t="shared" si="23"/>
        <v>6720</v>
      </c>
      <c r="N31" s="36">
        <f t="shared" si="23"/>
        <v>960</v>
      </c>
      <c r="O31" s="36">
        <f t="shared" si="23"/>
        <v>0</v>
      </c>
      <c r="P31" s="36">
        <f t="shared" si="23"/>
        <v>0</v>
      </c>
      <c r="Q31" s="36">
        <f t="shared" si="23"/>
        <v>0</v>
      </c>
      <c r="R31" s="36">
        <f t="shared" si="23"/>
        <v>0</v>
      </c>
      <c r="S31" s="36">
        <f t="shared" si="23"/>
        <v>0</v>
      </c>
      <c r="T31" s="37"/>
      <c r="U31" s="37"/>
      <c r="V31" s="36">
        <f t="shared" si="23"/>
        <v>0</v>
      </c>
      <c r="W31" s="36">
        <f t="shared" si="2"/>
        <v>75020</v>
      </c>
      <c r="X31" s="39"/>
    </row>
    <row r="32" spans="1:24">
      <c r="A32" s="33" t="s">
        <v>252</v>
      </c>
      <c r="B32" s="34" t="s">
        <v>253</v>
      </c>
      <c r="C32" s="34"/>
      <c r="D32" s="35" t="s">
        <v>185</v>
      </c>
      <c r="E32" s="36">
        <f>E33+E34+E35+E36+E37+E38+E39</f>
        <v>0</v>
      </c>
      <c r="F32" s="36">
        <f t="shared" ref="F32:V32" si="24">F33+F34+F35+F36+F37+F38+F39</f>
        <v>0</v>
      </c>
      <c r="G32" s="36">
        <f t="shared" si="24"/>
        <v>0</v>
      </c>
      <c r="H32" s="36">
        <f t="shared" si="24"/>
        <v>0</v>
      </c>
      <c r="I32" s="36">
        <f t="shared" si="24"/>
        <v>0</v>
      </c>
      <c r="J32" s="36">
        <f t="shared" si="24"/>
        <v>0</v>
      </c>
      <c r="K32" s="36">
        <f t="shared" si="24"/>
        <v>0</v>
      </c>
      <c r="L32" s="36">
        <f t="shared" si="24"/>
        <v>0</v>
      </c>
      <c r="M32" s="36">
        <f t="shared" si="24"/>
        <v>0</v>
      </c>
      <c r="N32" s="36">
        <f t="shared" si="24"/>
        <v>0</v>
      </c>
      <c r="O32" s="36">
        <f t="shared" si="24"/>
        <v>0</v>
      </c>
      <c r="P32" s="36">
        <f t="shared" si="24"/>
        <v>0</v>
      </c>
      <c r="Q32" s="36">
        <f t="shared" si="24"/>
        <v>0</v>
      </c>
      <c r="R32" s="36">
        <f t="shared" si="24"/>
        <v>0</v>
      </c>
      <c r="S32" s="36">
        <f t="shared" si="24"/>
        <v>0</v>
      </c>
      <c r="T32" s="37"/>
      <c r="U32" s="37"/>
      <c r="V32" s="36">
        <f t="shared" si="24"/>
        <v>0</v>
      </c>
      <c r="W32" s="36">
        <f t="shared" si="2"/>
        <v>0</v>
      </c>
      <c r="X32" s="39"/>
    </row>
    <row r="33" spans="1:24">
      <c r="A33" s="33" t="s">
        <v>254</v>
      </c>
      <c r="B33" s="34" t="s">
        <v>255</v>
      </c>
      <c r="C33" s="34" t="s">
        <v>256</v>
      </c>
      <c r="D33" s="42" t="s">
        <v>257</v>
      </c>
      <c r="E33" s="43"/>
      <c r="F33" s="43"/>
      <c r="G33" s="43"/>
      <c r="H33" s="43"/>
      <c r="I33" s="43"/>
      <c r="J33" s="43"/>
      <c r="K33" s="43"/>
      <c r="L33" s="43"/>
      <c r="M33" s="43"/>
      <c r="N33" s="43"/>
      <c r="O33" s="43"/>
      <c r="P33" s="43"/>
      <c r="Q33" s="43"/>
      <c r="R33" s="43"/>
      <c r="S33" s="43"/>
      <c r="T33" s="43"/>
      <c r="U33" s="43"/>
      <c r="V33" s="43"/>
      <c r="W33" s="36">
        <f t="shared" si="2"/>
        <v>0</v>
      </c>
      <c r="X33" s="42"/>
    </row>
    <row r="34" spans="1:24">
      <c r="A34" s="33" t="s">
        <v>258</v>
      </c>
      <c r="B34" s="34" t="s">
        <v>259</v>
      </c>
      <c r="C34" s="34" t="s">
        <v>256</v>
      </c>
      <c r="D34" s="42" t="s">
        <v>257</v>
      </c>
      <c r="E34" s="43"/>
      <c r="F34" s="43"/>
      <c r="G34" s="43"/>
      <c r="H34" s="43"/>
      <c r="I34" s="43"/>
      <c r="J34" s="43"/>
      <c r="K34" s="43"/>
      <c r="L34" s="43"/>
      <c r="M34" s="43"/>
      <c r="N34" s="43"/>
      <c r="O34" s="43"/>
      <c r="P34" s="43"/>
      <c r="Q34" s="43"/>
      <c r="R34" s="43"/>
      <c r="S34" s="43"/>
      <c r="T34" s="43"/>
      <c r="U34" s="43"/>
      <c r="V34" s="43"/>
      <c r="W34" s="36">
        <f t="shared" si="2"/>
        <v>0</v>
      </c>
      <c r="X34" s="42"/>
    </row>
    <row r="35" spans="1:24">
      <c r="A35" s="33" t="s">
        <v>260</v>
      </c>
      <c r="B35" s="34" t="s">
        <v>261</v>
      </c>
      <c r="C35" s="34" t="s">
        <v>256</v>
      </c>
      <c r="D35" s="42" t="s">
        <v>262</v>
      </c>
      <c r="E35" s="43"/>
      <c r="F35" s="43"/>
      <c r="G35" s="43"/>
      <c r="H35" s="43"/>
      <c r="I35" s="43"/>
      <c r="J35" s="43"/>
      <c r="K35" s="43"/>
      <c r="L35" s="43"/>
      <c r="M35" s="43"/>
      <c r="N35" s="43"/>
      <c r="O35" s="43"/>
      <c r="P35" s="43"/>
      <c r="Q35" s="43"/>
      <c r="R35" s="43"/>
      <c r="S35" s="43"/>
      <c r="T35" s="43"/>
      <c r="U35" s="43"/>
      <c r="V35" s="43"/>
      <c r="W35" s="36">
        <f t="shared" si="2"/>
        <v>0</v>
      </c>
      <c r="X35" s="42"/>
    </row>
    <row r="36" spans="1:24">
      <c r="A36" s="33" t="s">
        <v>263</v>
      </c>
      <c r="B36" s="34" t="s">
        <v>264</v>
      </c>
      <c r="C36" s="34" t="s">
        <v>256</v>
      </c>
      <c r="D36" s="42" t="s">
        <v>257</v>
      </c>
      <c r="E36" s="43"/>
      <c r="F36" s="43"/>
      <c r="G36" s="43"/>
      <c r="H36" s="43"/>
      <c r="I36" s="43"/>
      <c r="J36" s="43"/>
      <c r="K36" s="43"/>
      <c r="L36" s="43"/>
      <c r="M36" s="43"/>
      <c r="N36" s="43"/>
      <c r="O36" s="43"/>
      <c r="P36" s="43"/>
      <c r="Q36" s="43"/>
      <c r="R36" s="43"/>
      <c r="S36" s="43"/>
      <c r="T36" s="43"/>
      <c r="U36" s="43"/>
      <c r="V36" s="43"/>
      <c r="W36" s="36">
        <f t="shared" si="2"/>
        <v>0</v>
      </c>
      <c r="X36" s="42"/>
    </row>
    <row r="37" spans="1:24">
      <c r="A37" s="33" t="s">
        <v>265</v>
      </c>
      <c r="B37" s="34" t="s">
        <v>266</v>
      </c>
      <c r="C37" s="34" t="s">
        <v>256</v>
      </c>
      <c r="D37" s="42" t="s">
        <v>257</v>
      </c>
      <c r="E37" s="43"/>
      <c r="F37" s="43"/>
      <c r="G37" s="43"/>
      <c r="H37" s="43"/>
      <c r="I37" s="43"/>
      <c r="J37" s="43"/>
      <c r="K37" s="43"/>
      <c r="L37" s="43"/>
      <c r="M37" s="43"/>
      <c r="N37" s="43"/>
      <c r="O37" s="43"/>
      <c r="P37" s="43"/>
      <c r="Q37" s="43"/>
      <c r="R37" s="43"/>
      <c r="S37" s="43"/>
      <c r="T37" s="43"/>
      <c r="U37" s="43"/>
      <c r="V37" s="43"/>
      <c r="W37" s="36">
        <f t="shared" si="2"/>
        <v>0</v>
      </c>
      <c r="X37" s="42"/>
    </row>
    <row r="38" spans="1:24">
      <c r="A38" s="33" t="s">
        <v>267</v>
      </c>
      <c r="B38" s="34" t="s">
        <v>268</v>
      </c>
      <c r="C38" s="34" t="s">
        <v>256</v>
      </c>
      <c r="D38" s="42" t="s">
        <v>257</v>
      </c>
      <c r="E38" s="43"/>
      <c r="F38" s="43"/>
      <c r="G38" s="43"/>
      <c r="H38" s="43"/>
      <c r="I38" s="43"/>
      <c r="J38" s="43"/>
      <c r="K38" s="43"/>
      <c r="L38" s="43"/>
      <c r="M38" s="43"/>
      <c r="N38" s="43"/>
      <c r="O38" s="43"/>
      <c r="P38" s="43"/>
      <c r="Q38" s="43"/>
      <c r="R38" s="43"/>
      <c r="S38" s="43"/>
      <c r="T38" s="43"/>
      <c r="U38" s="43"/>
      <c r="V38" s="43"/>
      <c r="W38" s="36">
        <f t="shared" si="2"/>
        <v>0</v>
      </c>
      <c r="X38" s="42"/>
    </row>
    <row r="39" spans="1:24">
      <c r="A39" s="33" t="s">
        <v>269</v>
      </c>
      <c r="B39" s="34" t="s">
        <v>270</v>
      </c>
      <c r="C39" s="34" t="s">
        <v>256</v>
      </c>
      <c r="D39" s="42" t="s">
        <v>257</v>
      </c>
      <c r="E39" s="43"/>
      <c r="F39" s="43"/>
      <c r="G39" s="43"/>
      <c r="H39" s="43"/>
      <c r="I39" s="43"/>
      <c r="J39" s="43"/>
      <c r="K39" s="43"/>
      <c r="L39" s="43"/>
      <c r="M39" s="43"/>
      <c r="N39" s="43"/>
      <c r="O39" s="43"/>
      <c r="P39" s="43"/>
      <c r="Q39" s="43"/>
      <c r="R39" s="43"/>
      <c r="S39" s="43"/>
      <c r="T39" s="43"/>
      <c r="U39" s="43"/>
      <c r="V39" s="43"/>
      <c r="W39" s="36">
        <f t="shared" si="2"/>
        <v>0</v>
      </c>
      <c r="X39" s="42"/>
    </row>
    <row r="40" spans="1:24">
      <c r="A40" s="33" t="s">
        <v>271</v>
      </c>
      <c r="B40" s="34" t="s">
        <v>272</v>
      </c>
      <c r="C40" s="34"/>
      <c r="D40" s="35" t="s">
        <v>185</v>
      </c>
      <c r="E40" s="36">
        <f>E41</f>
        <v>0</v>
      </c>
      <c r="F40" s="36">
        <f t="shared" ref="F40:V40" si="25">F41</f>
        <v>0</v>
      </c>
      <c r="G40" s="36">
        <f t="shared" si="25"/>
        <v>0</v>
      </c>
      <c r="H40" s="36">
        <f t="shared" si="25"/>
        <v>0</v>
      </c>
      <c r="I40" s="36">
        <f t="shared" si="25"/>
        <v>0</v>
      </c>
      <c r="J40" s="36">
        <f t="shared" si="25"/>
        <v>0</v>
      </c>
      <c r="K40" s="36">
        <f t="shared" si="25"/>
        <v>0</v>
      </c>
      <c r="L40" s="36">
        <f t="shared" si="25"/>
        <v>0</v>
      </c>
      <c r="M40" s="36">
        <f t="shared" si="25"/>
        <v>0</v>
      </c>
      <c r="N40" s="36">
        <f t="shared" si="25"/>
        <v>0</v>
      </c>
      <c r="O40" s="36">
        <f t="shared" si="25"/>
        <v>0</v>
      </c>
      <c r="P40" s="36">
        <f t="shared" si="25"/>
        <v>0</v>
      </c>
      <c r="Q40" s="36">
        <f t="shared" si="25"/>
        <v>0</v>
      </c>
      <c r="R40" s="36">
        <f t="shared" si="25"/>
        <v>0</v>
      </c>
      <c r="S40" s="36">
        <f t="shared" si="25"/>
        <v>0</v>
      </c>
      <c r="T40" s="37"/>
      <c r="U40" s="37"/>
      <c r="V40" s="36">
        <f t="shared" si="25"/>
        <v>0</v>
      </c>
      <c r="W40" s="36">
        <f t="shared" si="2"/>
        <v>0</v>
      </c>
      <c r="X40" s="39"/>
    </row>
    <row r="41" spans="1:24" s="40" customFormat="1">
      <c r="A41" s="33" t="s">
        <v>273</v>
      </c>
      <c r="B41" s="38" t="s">
        <v>274</v>
      </c>
      <c r="C41" s="38" t="s">
        <v>191</v>
      </c>
      <c r="D41" s="39" t="s">
        <v>275</v>
      </c>
      <c r="E41" s="46"/>
      <c r="F41" s="46"/>
      <c r="G41" s="46"/>
      <c r="H41" s="46"/>
      <c r="I41" s="46"/>
      <c r="J41" s="46"/>
      <c r="K41" s="46"/>
      <c r="L41" s="46"/>
      <c r="M41" s="46"/>
      <c r="N41" s="46"/>
      <c r="O41" s="46"/>
      <c r="P41" s="46"/>
      <c r="Q41" s="46"/>
      <c r="R41" s="46"/>
      <c r="S41" s="46"/>
      <c r="T41" s="46"/>
      <c r="U41" s="46"/>
      <c r="V41" s="46"/>
      <c r="W41" s="36">
        <f t="shared" si="2"/>
        <v>0</v>
      </c>
      <c r="X41" s="39"/>
    </row>
    <row r="42" spans="1:24">
      <c r="A42" s="33" t="s">
        <v>276</v>
      </c>
      <c r="B42" s="34" t="s">
        <v>277</v>
      </c>
      <c r="C42" s="34"/>
      <c r="D42" s="35" t="s">
        <v>185</v>
      </c>
      <c r="E42" s="36">
        <f>E43+E44</f>
        <v>0</v>
      </c>
      <c r="F42" s="36">
        <f t="shared" ref="F42:V42" si="26">F43+F44</f>
        <v>0</v>
      </c>
      <c r="G42" s="36">
        <f t="shared" si="26"/>
        <v>0</v>
      </c>
      <c r="H42" s="36">
        <f t="shared" si="26"/>
        <v>0</v>
      </c>
      <c r="I42" s="36">
        <f t="shared" si="26"/>
        <v>0</v>
      </c>
      <c r="J42" s="36">
        <f t="shared" si="26"/>
        <v>0</v>
      </c>
      <c r="K42" s="36">
        <f t="shared" si="26"/>
        <v>0</v>
      </c>
      <c r="L42" s="36">
        <f t="shared" si="26"/>
        <v>0</v>
      </c>
      <c r="M42" s="36">
        <f t="shared" si="26"/>
        <v>0</v>
      </c>
      <c r="N42" s="36">
        <f t="shared" si="26"/>
        <v>0</v>
      </c>
      <c r="O42" s="36">
        <f t="shared" si="26"/>
        <v>0</v>
      </c>
      <c r="P42" s="36">
        <f t="shared" si="26"/>
        <v>0</v>
      </c>
      <c r="Q42" s="36">
        <f t="shared" si="26"/>
        <v>0</v>
      </c>
      <c r="R42" s="36">
        <f t="shared" si="26"/>
        <v>0</v>
      </c>
      <c r="S42" s="36">
        <f t="shared" si="26"/>
        <v>0</v>
      </c>
      <c r="T42" s="37"/>
      <c r="U42" s="37"/>
      <c r="V42" s="36">
        <f t="shared" si="26"/>
        <v>0</v>
      </c>
      <c r="W42" s="36">
        <f t="shared" si="2"/>
        <v>0</v>
      </c>
      <c r="X42" s="39"/>
    </row>
    <row r="43" spans="1:24" s="40" customFormat="1">
      <c r="A43" s="33" t="s">
        <v>278</v>
      </c>
      <c r="B43" s="38" t="s">
        <v>279</v>
      </c>
      <c r="C43" s="38" t="s">
        <v>191</v>
      </c>
      <c r="D43" s="39" t="s">
        <v>262</v>
      </c>
      <c r="E43" s="46"/>
      <c r="F43" s="46"/>
      <c r="G43" s="46"/>
      <c r="H43" s="46"/>
      <c r="I43" s="46"/>
      <c r="J43" s="46"/>
      <c r="K43" s="46"/>
      <c r="L43" s="46"/>
      <c r="M43" s="46"/>
      <c r="N43" s="46"/>
      <c r="O43" s="46"/>
      <c r="P43" s="46"/>
      <c r="Q43" s="46"/>
      <c r="R43" s="46"/>
      <c r="S43" s="46"/>
      <c r="T43" s="46"/>
      <c r="U43" s="46"/>
      <c r="V43" s="46"/>
      <c r="W43" s="36">
        <f t="shared" si="2"/>
        <v>0</v>
      </c>
      <c r="X43" s="39"/>
    </row>
    <row r="44" spans="1:24" s="40" customFormat="1">
      <c r="A44" s="33" t="s">
        <v>280</v>
      </c>
      <c r="B44" s="38" t="s">
        <v>281</v>
      </c>
      <c r="C44" s="38" t="s">
        <v>191</v>
      </c>
      <c r="D44" s="39" t="s">
        <v>262</v>
      </c>
      <c r="E44" s="46"/>
      <c r="F44" s="46"/>
      <c r="G44" s="46"/>
      <c r="H44" s="46"/>
      <c r="I44" s="46"/>
      <c r="J44" s="46"/>
      <c r="K44" s="46"/>
      <c r="L44" s="46"/>
      <c r="M44" s="46"/>
      <c r="N44" s="46"/>
      <c r="O44" s="46"/>
      <c r="P44" s="46"/>
      <c r="Q44" s="46"/>
      <c r="R44" s="46"/>
      <c r="S44" s="46"/>
      <c r="T44" s="46"/>
      <c r="U44" s="46"/>
      <c r="V44" s="46"/>
      <c r="W44" s="36">
        <f t="shared" si="2"/>
        <v>0</v>
      </c>
      <c r="X44" s="39"/>
    </row>
    <row r="45" spans="1:24">
      <c r="A45" s="33" t="s">
        <v>282</v>
      </c>
      <c r="B45" s="34" t="s">
        <v>283</v>
      </c>
      <c r="C45" s="34"/>
      <c r="D45" s="35" t="s">
        <v>185</v>
      </c>
      <c r="E45" s="36">
        <f>E46</f>
        <v>6120</v>
      </c>
      <c r="F45" s="36">
        <f t="shared" ref="F45:V45" si="27">F46</f>
        <v>5760</v>
      </c>
      <c r="G45" s="36">
        <f t="shared" si="27"/>
        <v>7200</v>
      </c>
      <c r="H45" s="36">
        <f t="shared" si="27"/>
        <v>5760</v>
      </c>
      <c r="I45" s="36">
        <f t="shared" si="27"/>
        <v>5040</v>
      </c>
      <c r="J45" s="36">
        <f t="shared" si="27"/>
        <v>1200</v>
      </c>
      <c r="K45" s="36">
        <f t="shared" si="27"/>
        <v>2010</v>
      </c>
      <c r="L45" s="36">
        <f t="shared" si="27"/>
        <v>3600</v>
      </c>
      <c r="M45" s="36">
        <f t="shared" si="27"/>
        <v>4320</v>
      </c>
      <c r="N45" s="36">
        <f t="shared" si="27"/>
        <v>360</v>
      </c>
      <c r="O45" s="36">
        <f t="shared" si="27"/>
        <v>0</v>
      </c>
      <c r="P45" s="36">
        <f t="shared" si="27"/>
        <v>0</v>
      </c>
      <c r="Q45" s="36">
        <f t="shared" si="27"/>
        <v>0</v>
      </c>
      <c r="R45" s="36">
        <f t="shared" si="27"/>
        <v>0</v>
      </c>
      <c r="S45" s="36">
        <f t="shared" si="27"/>
        <v>0</v>
      </c>
      <c r="T45" s="37"/>
      <c r="U45" s="37"/>
      <c r="V45" s="36">
        <f t="shared" si="27"/>
        <v>0</v>
      </c>
      <c r="W45" s="36">
        <f t="shared" si="2"/>
        <v>41370</v>
      </c>
      <c r="X45" s="39"/>
    </row>
    <row r="46" spans="1:24">
      <c r="A46" s="33" t="s">
        <v>284</v>
      </c>
      <c r="B46" s="34" t="s">
        <v>285</v>
      </c>
      <c r="C46" s="34" t="s">
        <v>191</v>
      </c>
      <c r="D46" s="35" t="s">
        <v>192</v>
      </c>
      <c r="E46" s="37">
        <v>6120</v>
      </c>
      <c r="F46" s="37">
        <v>5760</v>
      </c>
      <c r="G46" s="37">
        <v>7200</v>
      </c>
      <c r="H46" s="37">
        <v>5760</v>
      </c>
      <c r="I46" s="37">
        <v>5040</v>
      </c>
      <c r="J46" s="37">
        <v>1200</v>
      </c>
      <c r="K46" s="37">
        <v>2010</v>
      </c>
      <c r="L46" s="37">
        <v>3600</v>
      </c>
      <c r="M46" s="37">
        <v>4320</v>
      </c>
      <c r="N46" s="37">
        <v>360</v>
      </c>
      <c r="O46" s="37"/>
      <c r="P46" s="37"/>
      <c r="Q46" s="37"/>
      <c r="R46" s="37"/>
      <c r="S46" s="37"/>
      <c r="T46" s="37"/>
      <c r="U46" s="37"/>
      <c r="V46" s="37"/>
      <c r="W46" s="36">
        <f t="shared" si="2"/>
        <v>41370</v>
      </c>
      <c r="X46" s="39"/>
    </row>
    <row r="47" spans="1:24">
      <c r="A47" s="33" t="s">
        <v>286</v>
      </c>
      <c r="B47" s="34" t="s">
        <v>287</v>
      </c>
      <c r="C47" s="34"/>
      <c r="D47" s="35" t="s">
        <v>185</v>
      </c>
      <c r="E47" s="36">
        <f>SUM(E48:E51)</f>
        <v>4950</v>
      </c>
      <c r="F47" s="36">
        <f t="shared" ref="F47:V47" si="28">SUM(F48:F51)</f>
        <v>4200</v>
      </c>
      <c r="G47" s="36">
        <f t="shared" si="28"/>
        <v>8000</v>
      </c>
      <c r="H47" s="36">
        <f t="shared" si="28"/>
        <v>3600</v>
      </c>
      <c r="I47" s="36">
        <f t="shared" si="28"/>
        <v>3600</v>
      </c>
      <c r="J47" s="36">
        <f t="shared" si="28"/>
        <v>2500</v>
      </c>
      <c r="K47" s="36">
        <f t="shared" si="28"/>
        <v>2000</v>
      </c>
      <c r="L47" s="36">
        <f t="shared" si="28"/>
        <v>1800</v>
      </c>
      <c r="M47" s="36">
        <f t="shared" si="28"/>
        <v>2400</v>
      </c>
      <c r="N47" s="36">
        <f t="shared" si="28"/>
        <v>600</v>
      </c>
      <c r="O47" s="36">
        <f t="shared" si="28"/>
        <v>0</v>
      </c>
      <c r="P47" s="36">
        <f t="shared" si="28"/>
        <v>0</v>
      </c>
      <c r="Q47" s="36">
        <f t="shared" si="28"/>
        <v>0</v>
      </c>
      <c r="R47" s="36">
        <f t="shared" si="28"/>
        <v>0</v>
      </c>
      <c r="S47" s="36">
        <f t="shared" si="28"/>
        <v>0</v>
      </c>
      <c r="T47" s="37"/>
      <c r="U47" s="37"/>
      <c r="V47" s="36">
        <f t="shared" si="28"/>
        <v>0</v>
      </c>
      <c r="W47" s="36">
        <f t="shared" si="2"/>
        <v>33650</v>
      </c>
      <c r="X47" s="39"/>
    </row>
    <row r="48" spans="1:24">
      <c r="A48" s="33" t="s">
        <v>288</v>
      </c>
      <c r="B48" s="34" t="s">
        <v>289</v>
      </c>
      <c r="C48" s="34" t="s">
        <v>191</v>
      </c>
      <c r="D48" s="35" t="s">
        <v>290</v>
      </c>
      <c r="E48" s="37">
        <v>4950</v>
      </c>
      <c r="F48" s="37">
        <v>4200</v>
      </c>
      <c r="G48" s="37">
        <v>8000</v>
      </c>
      <c r="H48" s="37">
        <v>3600</v>
      </c>
      <c r="I48" s="37">
        <v>3600</v>
      </c>
      <c r="J48" s="37">
        <v>2500</v>
      </c>
      <c r="K48" s="37">
        <v>2000</v>
      </c>
      <c r="L48" s="37">
        <v>1800</v>
      </c>
      <c r="M48" s="37">
        <v>2400</v>
      </c>
      <c r="N48" s="37">
        <v>600</v>
      </c>
      <c r="O48" s="37"/>
      <c r="P48" s="37"/>
      <c r="Q48" s="37"/>
      <c r="R48" s="37"/>
      <c r="S48" s="37"/>
      <c r="T48" s="37"/>
      <c r="U48" s="37"/>
      <c r="V48" s="37"/>
      <c r="W48" s="36">
        <f t="shared" si="2"/>
        <v>33650</v>
      </c>
      <c r="X48" s="39"/>
    </row>
    <row r="49" spans="1:24" s="40" customFormat="1">
      <c r="A49" s="33" t="s">
        <v>291</v>
      </c>
      <c r="B49" s="38" t="s">
        <v>292</v>
      </c>
      <c r="C49" s="38" t="s">
        <v>191</v>
      </c>
      <c r="D49" s="39" t="s">
        <v>293</v>
      </c>
      <c r="E49" s="46"/>
      <c r="F49" s="46"/>
      <c r="G49" s="46"/>
      <c r="H49" s="46"/>
      <c r="I49" s="46"/>
      <c r="J49" s="46"/>
      <c r="K49" s="46"/>
      <c r="L49" s="46"/>
      <c r="M49" s="46"/>
      <c r="N49" s="46"/>
      <c r="O49" s="46"/>
      <c r="P49" s="46"/>
      <c r="Q49" s="46"/>
      <c r="R49" s="46"/>
      <c r="S49" s="46"/>
      <c r="T49" s="46"/>
      <c r="U49" s="46"/>
      <c r="V49" s="46"/>
      <c r="W49" s="36">
        <f t="shared" si="2"/>
        <v>0</v>
      </c>
      <c r="X49" s="39"/>
    </row>
    <row r="50" spans="1:24" s="40" customFormat="1">
      <c r="A50" s="33" t="s">
        <v>294</v>
      </c>
      <c r="B50" s="38" t="s">
        <v>295</v>
      </c>
      <c r="C50" s="38" t="s">
        <v>191</v>
      </c>
      <c r="D50" s="39" t="s">
        <v>293</v>
      </c>
      <c r="E50" s="46"/>
      <c r="F50" s="46"/>
      <c r="G50" s="46"/>
      <c r="H50" s="46"/>
      <c r="I50" s="46"/>
      <c r="J50" s="46"/>
      <c r="K50" s="46"/>
      <c r="L50" s="46"/>
      <c r="M50" s="46"/>
      <c r="N50" s="46"/>
      <c r="O50" s="46"/>
      <c r="P50" s="46"/>
      <c r="Q50" s="46"/>
      <c r="R50" s="46"/>
      <c r="S50" s="46"/>
      <c r="T50" s="46"/>
      <c r="U50" s="46"/>
      <c r="V50" s="46"/>
      <c r="W50" s="36">
        <f t="shared" si="2"/>
        <v>0</v>
      </c>
      <c r="X50" s="39"/>
    </row>
    <row r="51" spans="1:24" ht="33.75">
      <c r="A51" s="33" t="s">
        <v>296</v>
      </c>
      <c r="B51" s="34" t="s">
        <v>297</v>
      </c>
      <c r="C51" s="34" t="s">
        <v>191</v>
      </c>
      <c r="D51" s="42" t="s">
        <v>298</v>
      </c>
      <c r="E51" s="43"/>
      <c r="F51" s="43"/>
      <c r="G51" s="43"/>
      <c r="H51" s="43"/>
      <c r="I51" s="43"/>
      <c r="J51" s="43"/>
      <c r="K51" s="43"/>
      <c r="L51" s="43"/>
      <c r="M51" s="43"/>
      <c r="N51" s="43"/>
      <c r="O51" s="43"/>
      <c r="P51" s="43"/>
      <c r="Q51" s="43"/>
      <c r="R51" s="43"/>
      <c r="S51" s="43"/>
      <c r="T51" s="43"/>
      <c r="U51" s="43"/>
      <c r="V51" s="43"/>
      <c r="W51" s="36">
        <f t="shared" si="2"/>
        <v>0</v>
      </c>
      <c r="X51" s="42"/>
    </row>
    <row r="52" spans="1:24">
      <c r="A52" s="33" t="s">
        <v>299</v>
      </c>
      <c r="B52" s="34" t="s">
        <v>300</v>
      </c>
      <c r="C52" s="34"/>
      <c r="D52" s="35" t="s">
        <v>185</v>
      </c>
      <c r="E52" s="36">
        <f>E53+E71+E73+E75+E77+E79+E81+E83+E85+E93</f>
        <v>3096979</v>
      </c>
      <c r="F52" s="36">
        <f t="shared" ref="F52:V52" si="29">F53+F71+F73+F75+F77+F79+F81+F83+F85+F93</f>
        <v>2673120</v>
      </c>
      <c r="G52" s="36">
        <f t="shared" si="29"/>
        <v>5460484.4000000004</v>
      </c>
      <c r="H52" s="36">
        <f t="shared" si="29"/>
        <v>4528922.4000000004</v>
      </c>
      <c r="I52" s="36">
        <f t="shared" si="29"/>
        <v>3477234.15</v>
      </c>
      <c r="J52" s="36">
        <f t="shared" si="29"/>
        <v>2476904.75</v>
      </c>
      <c r="K52" s="36">
        <f t="shared" si="29"/>
        <v>2137268.75</v>
      </c>
      <c r="L52" s="36">
        <f t="shared" si="29"/>
        <v>1662680.7</v>
      </c>
      <c r="M52" s="36">
        <f t="shared" si="29"/>
        <v>1834386.25</v>
      </c>
      <c r="N52" s="36">
        <f t="shared" si="29"/>
        <v>140213</v>
      </c>
      <c r="O52" s="36">
        <f t="shared" si="29"/>
        <v>0</v>
      </c>
      <c r="P52" s="36">
        <f t="shared" si="29"/>
        <v>0</v>
      </c>
      <c r="Q52" s="36">
        <f t="shared" si="29"/>
        <v>0</v>
      </c>
      <c r="R52" s="36">
        <f t="shared" si="29"/>
        <v>0</v>
      </c>
      <c r="S52" s="36">
        <f t="shared" si="29"/>
        <v>0</v>
      </c>
      <c r="T52" s="37"/>
      <c r="U52" s="37"/>
      <c r="V52" s="36">
        <f t="shared" si="29"/>
        <v>0</v>
      </c>
      <c r="W52" s="36">
        <f t="shared" si="2"/>
        <v>27488193.399999999</v>
      </c>
      <c r="X52" s="39"/>
    </row>
    <row r="53" spans="1:24">
      <c r="A53" s="33" t="s">
        <v>301</v>
      </c>
      <c r="B53" s="34" t="s">
        <v>302</v>
      </c>
      <c r="C53" s="34"/>
      <c r="D53" s="35" t="s">
        <v>303</v>
      </c>
      <c r="E53" s="36">
        <f>SUM(E54:E70)</f>
        <v>1808350</v>
      </c>
      <c r="F53" s="36">
        <f t="shared" ref="F53:V53" si="30">SUM(F54:F70)</f>
        <v>1698000</v>
      </c>
      <c r="G53" s="36">
        <f t="shared" si="30"/>
        <v>3954180</v>
      </c>
      <c r="H53" s="36">
        <f t="shared" si="30"/>
        <v>2959820</v>
      </c>
      <c r="I53" s="36">
        <f t="shared" si="30"/>
        <v>2520530</v>
      </c>
      <c r="J53" s="36">
        <f t="shared" si="30"/>
        <v>1662500</v>
      </c>
      <c r="K53" s="36">
        <f t="shared" si="30"/>
        <v>1532960</v>
      </c>
      <c r="L53" s="36">
        <f t="shared" si="30"/>
        <v>1212960</v>
      </c>
      <c r="M53" s="36">
        <f t="shared" si="30"/>
        <v>1260840</v>
      </c>
      <c r="N53" s="36">
        <f t="shared" si="30"/>
        <v>32000</v>
      </c>
      <c r="O53" s="36">
        <f t="shared" si="30"/>
        <v>0</v>
      </c>
      <c r="P53" s="36">
        <f t="shared" si="30"/>
        <v>0</v>
      </c>
      <c r="Q53" s="36">
        <f t="shared" si="30"/>
        <v>0</v>
      </c>
      <c r="R53" s="36">
        <f t="shared" si="30"/>
        <v>0</v>
      </c>
      <c r="S53" s="36">
        <f t="shared" si="30"/>
        <v>0</v>
      </c>
      <c r="T53" s="37"/>
      <c r="U53" s="37"/>
      <c r="V53" s="36">
        <f t="shared" si="30"/>
        <v>0</v>
      </c>
      <c r="W53" s="36">
        <f t="shared" si="2"/>
        <v>18642140</v>
      </c>
      <c r="X53" s="39"/>
    </row>
    <row r="54" spans="1:24">
      <c r="A54" s="33" t="s">
        <v>304</v>
      </c>
      <c r="B54" s="34" t="s">
        <v>305</v>
      </c>
      <c r="C54" s="34" t="s">
        <v>191</v>
      </c>
      <c r="D54" s="47"/>
      <c r="E54" s="37">
        <f>289197+10735.5</f>
        <v>299932.5</v>
      </c>
      <c r="F54" s="37">
        <v>378355</v>
      </c>
      <c r="G54" s="37">
        <f>855834+32092</f>
        <v>887926</v>
      </c>
      <c r="H54" s="37">
        <f>599512+11210</f>
        <v>610722</v>
      </c>
      <c r="I54" s="37">
        <v>512539</v>
      </c>
      <c r="J54" s="37">
        <v>389902</v>
      </c>
      <c r="K54" s="37">
        <v>305712</v>
      </c>
      <c r="L54" s="37">
        <v>283504</v>
      </c>
      <c r="M54" s="37">
        <v>312628</v>
      </c>
      <c r="N54" s="37">
        <v>12180</v>
      </c>
      <c r="O54" s="37"/>
      <c r="P54" s="37"/>
      <c r="Q54" s="37"/>
      <c r="R54" s="37"/>
      <c r="S54" s="37"/>
      <c r="T54" s="37"/>
      <c r="U54" s="37"/>
      <c r="V54" s="37"/>
      <c r="W54" s="36">
        <f t="shared" si="2"/>
        <v>3993400.5</v>
      </c>
      <c r="X54" s="39"/>
    </row>
    <row r="55" spans="1:24">
      <c r="A55" s="33" t="s">
        <v>306</v>
      </c>
      <c r="B55" s="34" t="s">
        <v>307</v>
      </c>
      <c r="C55" s="34" t="s">
        <v>191</v>
      </c>
      <c r="D55" s="47"/>
      <c r="E55" s="37"/>
      <c r="F55" s="37"/>
      <c r="G55" s="37"/>
      <c r="H55" s="37">
        <v>0</v>
      </c>
      <c r="I55" s="37">
        <v>0</v>
      </c>
      <c r="J55" s="37"/>
      <c r="K55" s="37"/>
      <c r="L55" s="37"/>
      <c r="M55" s="37"/>
      <c r="N55" s="37"/>
      <c r="O55" s="37"/>
      <c r="P55" s="37"/>
      <c r="Q55" s="37"/>
      <c r="R55" s="37"/>
      <c r="S55" s="37"/>
      <c r="T55" s="37"/>
      <c r="U55" s="37"/>
      <c r="V55" s="37"/>
      <c r="W55" s="36">
        <f t="shared" si="2"/>
        <v>0</v>
      </c>
      <c r="X55" s="39"/>
    </row>
    <row r="56" spans="1:24">
      <c r="A56" s="33" t="s">
        <v>308</v>
      </c>
      <c r="B56" s="34" t="s">
        <v>309</v>
      </c>
      <c r="C56" s="34" t="s">
        <v>191</v>
      </c>
      <c r="D56" s="47"/>
      <c r="E56" s="37"/>
      <c r="F56" s="37"/>
      <c r="G56" s="37"/>
      <c r="H56" s="37">
        <v>0</v>
      </c>
      <c r="I56" s="37">
        <v>0</v>
      </c>
      <c r="J56" s="37"/>
      <c r="K56" s="37"/>
      <c r="L56" s="37"/>
      <c r="M56" s="37"/>
      <c r="N56" s="37"/>
      <c r="O56" s="37"/>
      <c r="P56" s="37"/>
      <c r="Q56" s="37"/>
      <c r="R56" s="37"/>
      <c r="S56" s="37"/>
      <c r="T56" s="37"/>
      <c r="U56" s="37"/>
      <c r="V56" s="37"/>
      <c r="W56" s="36">
        <f t="shared" si="2"/>
        <v>0</v>
      </c>
      <c r="X56" s="39"/>
    </row>
    <row r="57" spans="1:24">
      <c r="A57" s="33" t="s">
        <v>310</v>
      </c>
      <c r="B57" s="34" t="s">
        <v>311</v>
      </c>
      <c r="C57" s="34" t="s">
        <v>191</v>
      </c>
      <c r="D57" s="47"/>
      <c r="E57" s="37">
        <v>30000</v>
      </c>
      <c r="F57" s="37">
        <v>75000</v>
      </c>
      <c r="G57" s="37">
        <v>167000</v>
      </c>
      <c r="H57" s="37">
        <v>120560</v>
      </c>
      <c r="I57" s="37">
        <v>103070</v>
      </c>
      <c r="J57" s="37">
        <v>25000</v>
      </c>
      <c r="K57" s="37">
        <v>20000</v>
      </c>
      <c r="L57" s="37">
        <v>28100</v>
      </c>
      <c r="M57" s="37">
        <v>36000</v>
      </c>
      <c r="N57" s="37">
        <v>3000</v>
      </c>
      <c r="O57" s="37"/>
      <c r="P57" s="37"/>
      <c r="Q57" s="37"/>
      <c r="R57" s="37"/>
      <c r="S57" s="37"/>
      <c r="T57" s="37"/>
      <c r="U57" s="37"/>
      <c r="V57" s="37"/>
      <c r="W57" s="36">
        <f t="shared" si="2"/>
        <v>607730</v>
      </c>
      <c r="X57" s="39"/>
    </row>
    <row r="58" spans="1:24">
      <c r="A58" s="33" t="s">
        <v>312</v>
      </c>
      <c r="B58" s="34" t="s">
        <v>313</v>
      </c>
      <c r="C58" s="34" t="s">
        <v>191</v>
      </c>
      <c r="D58" s="47"/>
      <c r="E58" s="37">
        <v>100000</v>
      </c>
      <c r="F58" s="37">
        <v>108000</v>
      </c>
      <c r="G58" s="37">
        <v>242000</v>
      </c>
      <c r="H58" s="37">
        <v>175360</v>
      </c>
      <c r="I58" s="37">
        <v>149920</v>
      </c>
      <c r="J58" s="37">
        <v>147000</v>
      </c>
      <c r="K58" s="37">
        <v>120000</v>
      </c>
      <c r="L58" s="37">
        <v>72000</v>
      </c>
      <c r="M58" s="37">
        <v>81000</v>
      </c>
      <c r="N58" s="37">
        <v>13200</v>
      </c>
      <c r="O58" s="37"/>
      <c r="P58" s="37"/>
      <c r="Q58" s="37"/>
      <c r="R58" s="37"/>
      <c r="S58" s="37"/>
      <c r="T58" s="37"/>
      <c r="U58" s="37"/>
      <c r="V58" s="37"/>
      <c r="W58" s="36">
        <f t="shared" si="2"/>
        <v>1208480</v>
      </c>
      <c r="X58" s="39"/>
    </row>
    <row r="59" spans="1:24">
      <c r="A59" s="33" t="s">
        <v>314</v>
      </c>
      <c r="B59" s="34" t="s">
        <v>315</v>
      </c>
      <c r="C59" s="34" t="s">
        <v>191</v>
      </c>
      <c r="D59" s="47"/>
      <c r="E59" s="37">
        <v>12000</v>
      </c>
      <c r="F59" s="37">
        <v>36000</v>
      </c>
      <c r="G59" s="37">
        <v>78000</v>
      </c>
      <c r="H59" s="37">
        <v>54800</v>
      </c>
      <c r="I59" s="37">
        <v>46850</v>
      </c>
      <c r="J59" s="37">
        <v>10000</v>
      </c>
      <c r="K59" s="37">
        <v>10000</v>
      </c>
      <c r="L59" s="37">
        <v>8700</v>
      </c>
      <c r="M59" s="37">
        <v>9300</v>
      </c>
      <c r="N59" s="37"/>
      <c r="O59" s="37"/>
      <c r="P59" s="37"/>
      <c r="Q59" s="37"/>
      <c r="R59" s="37"/>
      <c r="S59" s="37"/>
      <c r="T59" s="37"/>
      <c r="U59" s="37"/>
      <c r="V59" s="37"/>
      <c r="W59" s="36">
        <f t="shared" si="2"/>
        <v>265650</v>
      </c>
      <c r="X59" s="39"/>
    </row>
    <row r="60" spans="1:24">
      <c r="A60" s="33" t="s">
        <v>316</v>
      </c>
      <c r="B60" s="34" t="s">
        <v>317</v>
      </c>
      <c r="C60" s="34" t="s">
        <v>191</v>
      </c>
      <c r="D60" s="47"/>
      <c r="E60" s="37">
        <v>40000</v>
      </c>
      <c r="F60" s="37">
        <v>30000</v>
      </c>
      <c r="G60" s="37">
        <v>63000</v>
      </c>
      <c r="H60" s="37">
        <v>43840</v>
      </c>
      <c r="I60" s="37">
        <v>37480</v>
      </c>
      <c r="J60" s="37">
        <v>10000</v>
      </c>
      <c r="K60" s="37">
        <v>20000</v>
      </c>
      <c r="L60" s="37">
        <v>10800</v>
      </c>
      <c r="M60" s="37">
        <v>8500</v>
      </c>
      <c r="N60" s="37"/>
      <c r="O60" s="37"/>
      <c r="P60" s="37"/>
      <c r="Q60" s="37"/>
      <c r="R60" s="37"/>
      <c r="S60" s="37"/>
      <c r="T60" s="37"/>
      <c r="U60" s="37"/>
      <c r="V60" s="37"/>
      <c r="W60" s="36">
        <f t="shared" si="2"/>
        <v>263620</v>
      </c>
      <c r="X60" s="39"/>
    </row>
    <row r="61" spans="1:24">
      <c r="A61" s="33" t="s">
        <v>318</v>
      </c>
      <c r="B61" s="34" t="s">
        <v>319</v>
      </c>
      <c r="C61" s="34" t="s">
        <v>191</v>
      </c>
      <c r="D61" s="47"/>
      <c r="E61" s="37">
        <v>240000</v>
      </c>
      <c r="F61" s="37">
        <v>144000</v>
      </c>
      <c r="G61" s="37">
        <v>258000</v>
      </c>
      <c r="H61" s="37">
        <v>219200</v>
      </c>
      <c r="I61" s="37">
        <v>187400</v>
      </c>
      <c r="J61" s="37">
        <v>180000</v>
      </c>
      <c r="K61" s="37">
        <v>350000</v>
      </c>
      <c r="L61" s="37">
        <v>169500</v>
      </c>
      <c r="M61" s="37">
        <v>197300</v>
      </c>
      <c r="N61" s="37"/>
      <c r="O61" s="37"/>
      <c r="P61" s="37"/>
      <c r="Q61" s="37"/>
      <c r="R61" s="37"/>
      <c r="S61" s="37"/>
      <c r="T61" s="37"/>
      <c r="U61" s="37"/>
      <c r="V61" s="37"/>
      <c r="W61" s="36">
        <f t="shared" si="2"/>
        <v>1945400</v>
      </c>
      <c r="X61" s="39"/>
    </row>
    <row r="62" spans="1:24">
      <c r="A62" s="33" t="s">
        <v>320</v>
      </c>
      <c r="B62" s="34" t="s">
        <v>321</v>
      </c>
      <c r="C62" s="34" t="s">
        <v>191</v>
      </c>
      <c r="D62" s="47"/>
      <c r="E62" s="37"/>
      <c r="F62" s="37"/>
      <c r="G62" s="37"/>
      <c r="H62" s="37">
        <v>0</v>
      </c>
      <c r="I62" s="37">
        <v>0</v>
      </c>
      <c r="J62" s="37"/>
      <c r="K62" s="37"/>
      <c r="L62" s="37"/>
      <c r="M62" s="37"/>
      <c r="N62" s="37"/>
      <c r="O62" s="37"/>
      <c r="P62" s="37"/>
      <c r="Q62" s="37"/>
      <c r="R62" s="37"/>
      <c r="S62" s="37"/>
      <c r="T62" s="37"/>
      <c r="U62" s="37"/>
      <c r="V62" s="37"/>
      <c r="W62" s="36">
        <f t="shared" si="2"/>
        <v>0</v>
      </c>
      <c r="X62" s="39"/>
    </row>
    <row r="63" spans="1:24">
      <c r="A63" s="33" t="s">
        <v>322</v>
      </c>
      <c r="B63" s="34" t="s">
        <v>323</v>
      </c>
      <c r="C63" s="34" t="s">
        <v>324</v>
      </c>
      <c r="D63" s="47" t="s">
        <v>325</v>
      </c>
      <c r="E63" s="37">
        <v>90417.5</v>
      </c>
      <c r="F63" s="37">
        <v>60845</v>
      </c>
      <c r="G63" s="37">
        <v>164757.5</v>
      </c>
      <c r="H63" s="37">
        <v>147991</v>
      </c>
      <c r="I63" s="37">
        <v>126026.5</v>
      </c>
      <c r="J63" s="37">
        <v>80598</v>
      </c>
      <c r="K63" s="37">
        <v>76648</v>
      </c>
      <c r="L63" s="37">
        <v>50540</v>
      </c>
      <c r="M63" s="37">
        <v>54264</v>
      </c>
      <c r="N63" s="37">
        <v>1620</v>
      </c>
      <c r="O63" s="37"/>
      <c r="P63" s="37"/>
      <c r="Q63" s="37"/>
      <c r="R63" s="37"/>
      <c r="S63" s="37"/>
      <c r="T63" s="37"/>
      <c r="U63" s="37"/>
      <c r="V63" s="37"/>
      <c r="W63" s="36">
        <f t="shared" si="2"/>
        <v>853707.5</v>
      </c>
      <c r="X63" s="39"/>
    </row>
    <row r="64" spans="1:24">
      <c r="A64" s="33" t="s">
        <v>326</v>
      </c>
      <c r="B64" s="34" t="s">
        <v>327</v>
      </c>
      <c r="C64" s="34" t="s">
        <v>191</v>
      </c>
      <c r="D64" s="47"/>
      <c r="E64" s="37">
        <v>16000</v>
      </c>
      <c r="F64" s="37">
        <v>16800</v>
      </c>
      <c r="G64" s="37">
        <v>36700</v>
      </c>
      <c r="H64" s="37">
        <v>26304</v>
      </c>
      <c r="I64" s="37">
        <v>22488</v>
      </c>
      <c r="J64" s="37"/>
      <c r="K64" s="37"/>
      <c r="L64" s="37">
        <v>8616</v>
      </c>
      <c r="M64" s="37">
        <v>10848</v>
      </c>
      <c r="N64" s="37"/>
      <c r="O64" s="37"/>
      <c r="P64" s="37"/>
      <c r="Q64" s="37"/>
      <c r="R64" s="37"/>
      <c r="S64" s="37"/>
      <c r="T64" s="37"/>
      <c r="U64" s="37"/>
      <c r="V64" s="37"/>
      <c r="W64" s="36">
        <f t="shared" si="2"/>
        <v>137756</v>
      </c>
      <c r="X64" s="39"/>
    </row>
    <row r="65" spans="1:24">
      <c r="A65" s="33" t="s">
        <v>328</v>
      </c>
      <c r="B65" s="34" t="s">
        <v>329</v>
      </c>
      <c r="C65" s="34" t="s">
        <v>191</v>
      </c>
      <c r="D65" s="47"/>
      <c r="E65" s="37">
        <v>230000</v>
      </c>
      <c r="F65" s="37">
        <v>90000</v>
      </c>
      <c r="G65" s="37">
        <v>217000</v>
      </c>
      <c r="H65" s="37">
        <v>164400</v>
      </c>
      <c r="I65" s="37">
        <v>140550</v>
      </c>
      <c r="J65" s="37">
        <v>250000</v>
      </c>
      <c r="K65" s="37">
        <v>120000</v>
      </c>
      <c r="L65" s="37">
        <v>57000</v>
      </c>
      <c r="M65" s="37">
        <v>40000</v>
      </c>
      <c r="N65" s="37"/>
      <c r="O65" s="37"/>
      <c r="P65" s="37"/>
      <c r="Q65" s="37"/>
      <c r="R65" s="37"/>
      <c r="S65" s="37"/>
      <c r="T65" s="37"/>
      <c r="U65" s="37"/>
      <c r="V65" s="37"/>
      <c r="W65" s="36">
        <f t="shared" si="2"/>
        <v>1308950</v>
      </c>
      <c r="X65" s="39"/>
    </row>
    <row r="66" spans="1:24">
      <c r="A66" s="33" t="s">
        <v>330</v>
      </c>
      <c r="B66" s="34" t="s">
        <v>331</v>
      </c>
      <c r="C66" s="34" t="s">
        <v>191</v>
      </c>
      <c r="D66" s="47"/>
      <c r="E66" s="37">
        <v>60000</v>
      </c>
      <c r="F66" s="37">
        <v>30000</v>
      </c>
      <c r="G66" s="37">
        <v>73000</v>
      </c>
      <c r="H66" s="37">
        <v>54800</v>
      </c>
      <c r="I66" s="37">
        <v>46850</v>
      </c>
      <c r="J66" s="37">
        <v>20000</v>
      </c>
      <c r="K66" s="37">
        <v>20000</v>
      </c>
      <c r="L66" s="37">
        <v>43000</v>
      </c>
      <c r="M66" s="37">
        <v>58000</v>
      </c>
      <c r="N66" s="37"/>
      <c r="O66" s="37"/>
      <c r="P66" s="37"/>
      <c r="Q66" s="37"/>
      <c r="R66" s="37"/>
      <c r="S66" s="37"/>
      <c r="T66" s="37"/>
      <c r="U66" s="37"/>
      <c r="V66" s="37"/>
      <c r="W66" s="36">
        <f t="shared" si="2"/>
        <v>405650</v>
      </c>
      <c r="X66" s="39"/>
    </row>
    <row r="67" spans="1:24">
      <c r="A67" s="33" t="s">
        <v>332</v>
      </c>
      <c r="B67" s="34" t="s">
        <v>333</v>
      </c>
      <c r="C67" s="34" t="s">
        <v>191</v>
      </c>
      <c r="D67" s="47"/>
      <c r="E67" s="37"/>
      <c r="F67" s="37"/>
      <c r="G67" s="37"/>
      <c r="H67" s="37">
        <v>0</v>
      </c>
      <c r="I67" s="37">
        <v>0</v>
      </c>
      <c r="J67" s="37"/>
      <c r="K67" s="37"/>
      <c r="L67" s="37"/>
      <c r="M67" s="37"/>
      <c r="N67" s="37"/>
      <c r="O67" s="37"/>
      <c r="P67" s="37"/>
      <c r="Q67" s="37"/>
      <c r="R67" s="37"/>
      <c r="S67" s="37"/>
      <c r="T67" s="37"/>
      <c r="U67" s="37"/>
      <c r="V67" s="37"/>
      <c r="W67" s="36">
        <f t="shared" si="2"/>
        <v>0</v>
      </c>
      <c r="X67" s="39"/>
    </row>
    <row r="68" spans="1:24">
      <c r="A68" s="33" t="s">
        <v>334</v>
      </c>
      <c r="B68" s="34" t="s">
        <v>335</v>
      </c>
      <c r="C68" s="34" t="s">
        <v>191</v>
      </c>
      <c r="D68" s="47"/>
      <c r="E68" s="37">
        <v>530000</v>
      </c>
      <c r="F68" s="37">
        <v>561000</v>
      </c>
      <c r="G68" s="37">
        <f>1290000+98796.5</f>
        <v>1388796.5</v>
      </c>
      <c r="H68" s="37">
        <f>953520+114323</f>
        <v>1067843</v>
      </c>
      <c r="I68" s="37">
        <f>815190+97916.5</f>
        <v>913106.5</v>
      </c>
      <c r="J68" s="37">
        <v>350000</v>
      </c>
      <c r="K68" s="37">
        <v>317600</v>
      </c>
      <c r="L68" s="37">
        <v>361000</v>
      </c>
      <c r="M68" s="37">
        <v>324000</v>
      </c>
      <c r="N68" s="37">
        <v>2000</v>
      </c>
      <c r="O68" s="37"/>
      <c r="P68" s="37"/>
      <c r="Q68" s="37"/>
      <c r="R68" s="37"/>
      <c r="S68" s="37"/>
      <c r="T68" s="37"/>
      <c r="U68" s="37"/>
      <c r="V68" s="37"/>
      <c r="W68" s="36">
        <f t="shared" ref="W68:W109" si="31">SUM(E68:V68)</f>
        <v>5815346</v>
      </c>
      <c r="X68" s="39"/>
    </row>
    <row r="69" spans="1:24">
      <c r="A69" s="33" t="s">
        <v>336</v>
      </c>
      <c r="B69" s="34" t="s">
        <v>337</v>
      </c>
      <c r="C69" s="34" t="s">
        <v>191</v>
      </c>
      <c r="D69" s="47"/>
      <c r="E69" s="37">
        <v>80000</v>
      </c>
      <c r="F69" s="37">
        <v>60000</v>
      </c>
      <c r="G69" s="37">
        <v>145000</v>
      </c>
      <c r="H69" s="37">
        <v>109600</v>
      </c>
      <c r="I69" s="37">
        <v>93700</v>
      </c>
      <c r="J69" s="37">
        <v>80000</v>
      </c>
      <c r="K69" s="37">
        <v>95000</v>
      </c>
      <c r="L69" s="37">
        <v>84200</v>
      </c>
      <c r="M69" s="37">
        <v>77000</v>
      </c>
      <c r="N69" s="37"/>
      <c r="O69" s="37"/>
      <c r="P69" s="37"/>
      <c r="Q69" s="37"/>
      <c r="R69" s="37"/>
      <c r="S69" s="37"/>
      <c r="T69" s="37"/>
      <c r="U69" s="37"/>
      <c r="V69" s="37"/>
      <c r="W69" s="36">
        <f t="shared" si="31"/>
        <v>824500</v>
      </c>
      <c r="X69" s="39"/>
    </row>
    <row r="70" spans="1:24">
      <c r="A70" s="33" t="s">
        <v>338</v>
      </c>
      <c r="B70" s="34" t="s">
        <v>339</v>
      </c>
      <c r="C70" s="34" t="s">
        <v>191</v>
      </c>
      <c r="D70" s="47"/>
      <c r="E70" s="37">
        <v>80000</v>
      </c>
      <c r="F70" s="37">
        <v>108000</v>
      </c>
      <c r="G70" s="37">
        <v>233000</v>
      </c>
      <c r="H70" s="37">
        <v>164400</v>
      </c>
      <c r="I70" s="37">
        <v>140550</v>
      </c>
      <c r="J70" s="37">
        <v>120000</v>
      </c>
      <c r="K70" s="37">
        <v>78000</v>
      </c>
      <c r="L70" s="37">
        <v>36000</v>
      </c>
      <c r="M70" s="37">
        <v>52000</v>
      </c>
      <c r="N70" s="37"/>
      <c r="O70" s="37"/>
      <c r="P70" s="37"/>
      <c r="Q70" s="37"/>
      <c r="R70" s="37"/>
      <c r="S70" s="37"/>
      <c r="T70" s="37"/>
      <c r="U70" s="37"/>
      <c r="V70" s="37"/>
      <c r="W70" s="36">
        <f t="shared" si="31"/>
        <v>1011950</v>
      </c>
      <c r="X70" s="39"/>
    </row>
    <row r="71" spans="1:24">
      <c r="A71" s="33" t="s">
        <v>340</v>
      </c>
      <c r="B71" s="34" t="s">
        <v>341</v>
      </c>
      <c r="C71" s="34"/>
      <c r="D71" s="35"/>
      <c r="E71" s="36">
        <f>E72</f>
        <v>34000</v>
      </c>
      <c r="F71" s="36">
        <f t="shared" ref="F71:V71" si="32">F72</f>
        <v>25600</v>
      </c>
      <c r="G71" s="36">
        <f t="shared" si="32"/>
        <v>47200</v>
      </c>
      <c r="H71" s="36">
        <f t="shared" si="32"/>
        <v>34400</v>
      </c>
      <c r="I71" s="36">
        <f t="shared" si="32"/>
        <v>26000</v>
      </c>
      <c r="J71" s="36">
        <f t="shared" si="32"/>
        <v>20800</v>
      </c>
      <c r="K71" s="36">
        <f t="shared" si="32"/>
        <v>19200</v>
      </c>
      <c r="L71" s="36">
        <f t="shared" si="32"/>
        <v>16000</v>
      </c>
      <c r="M71" s="36">
        <f t="shared" si="32"/>
        <v>18800</v>
      </c>
      <c r="N71" s="36">
        <f t="shared" si="32"/>
        <v>400</v>
      </c>
      <c r="O71" s="36">
        <f t="shared" si="32"/>
        <v>0</v>
      </c>
      <c r="P71" s="36">
        <f t="shared" si="32"/>
        <v>0</v>
      </c>
      <c r="Q71" s="36">
        <f t="shared" si="32"/>
        <v>0</v>
      </c>
      <c r="R71" s="36">
        <f t="shared" si="32"/>
        <v>0</v>
      </c>
      <c r="S71" s="36">
        <f t="shared" si="32"/>
        <v>0</v>
      </c>
      <c r="T71" s="37"/>
      <c r="U71" s="37"/>
      <c r="V71" s="36">
        <f t="shared" si="32"/>
        <v>0</v>
      </c>
      <c r="W71" s="36">
        <f t="shared" si="31"/>
        <v>242400</v>
      </c>
      <c r="X71" s="39"/>
    </row>
    <row r="72" spans="1:24" s="40" customFormat="1" ht="22.5">
      <c r="A72" s="33" t="s">
        <v>342</v>
      </c>
      <c r="B72" s="38" t="s">
        <v>343</v>
      </c>
      <c r="C72" s="38" t="s">
        <v>191</v>
      </c>
      <c r="D72" s="48" t="s">
        <v>344</v>
      </c>
      <c r="E72" s="36">
        <f>E96*400</f>
        <v>34000</v>
      </c>
      <c r="F72" s="36">
        <f t="shared" ref="F72:V72" si="33">F96*400</f>
        <v>25600</v>
      </c>
      <c r="G72" s="36">
        <f t="shared" si="33"/>
        <v>47200</v>
      </c>
      <c r="H72" s="36">
        <f t="shared" si="33"/>
        <v>34400</v>
      </c>
      <c r="I72" s="36">
        <f t="shared" si="33"/>
        <v>26000</v>
      </c>
      <c r="J72" s="36">
        <f t="shared" si="33"/>
        <v>20800</v>
      </c>
      <c r="K72" s="36">
        <f t="shared" si="33"/>
        <v>19200</v>
      </c>
      <c r="L72" s="36">
        <f t="shared" si="33"/>
        <v>16000</v>
      </c>
      <c r="M72" s="36">
        <f t="shared" si="33"/>
        <v>18800</v>
      </c>
      <c r="N72" s="36">
        <f t="shared" si="33"/>
        <v>400</v>
      </c>
      <c r="O72" s="36">
        <f t="shared" si="33"/>
        <v>0</v>
      </c>
      <c r="P72" s="36">
        <f t="shared" si="33"/>
        <v>0</v>
      </c>
      <c r="Q72" s="36">
        <f t="shared" si="33"/>
        <v>0</v>
      </c>
      <c r="R72" s="36">
        <f t="shared" si="33"/>
        <v>0</v>
      </c>
      <c r="S72" s="36">
        <f t="shared" si="33"/>
        <v>0</v>
      </c>
      <c r="T72" s="37"/>
      <c r="U72" s="37"/>
      <c r="V72" s="36">
        <f t="shared" si="33"/>
        <v>0</v>
      </c>
      <c r="W72" s="36">
        <f t="shared" si="31"/>
        <v>242400</v>
      </c>
      <c r="X72" s="39"/>
    </row>
    <row r="73" spans="1:24">
      <c r="A73" s="33" t="s">
        <v>345</v>
      </c>
      <c r="B73" s="34" t="s">
        <v>346</v>
      </c>
      <c r="C73" s="34"/>
      <c r="D73" s="35" t="s">
        <v>185</v>
      </c>
      <c r="E73" s="36">
        <f>E74</f>
        <v>150573</v>
      </c>
      <c r="F73" s="36">
        <f t="shared" ref="F73:V73" si="34">F74</f>
        <v>181200</v>
      </c>
      <c r="G73" s="36">
        <f t="shared" si="34"/>
        <v>265050</v>
      </c>
      <c r="H73" s="36">
        <f t="shared" si="34"/>
        <v>202718.4</v>
      </c>
      <c r="I73" s="36">
        <f t="shared" si="34"/>
        <v>179640.15</v>
      </c>
      <c r="J73" s="36">
        <f t="shared" si="34"/>
        <v>187524.75</v>
      </c>
      <c r="K73" s="36">
        <f t="shared" si="34"/>
        <v>86520.75</v>
      </c>
      <c r="L73" s="36">
        <f t="shared" si="34"/>
        <v>41792.699999999997</v>
      </c>
      <c r="M73" s="36">
        <f t="shared" si="34"/>
        <v>98666.25</v>
      </c>
      <c r="N73" s="36">
        <f t="shared" si="34"/>
        <v>64605</v>
      </c>
      <c r="O73" s="36">
        <f t="shared" si="34"/>
        <v>0</v>
      </c>
      <c r="P73" s="36">
        <f t="shared" si="34"/>
        <v>0</v>
      </c>
      <c r="Q73" s="36">
        <f t="shared" si="34"/>
        <v>0</v>
      </c>
      <c r="R73" s="36">
        <f t="shared" si="34"/>
        <v>0</v>
      </c>
      <c r="S73" s="36">
        <f t="shared" si="34"/>
        <v>0</v>
      </c>
      <c r="T73" s="37"/>
      <c r="U73" s="37"/>
      <c r="V73" s="36">
        <f t="shared" si="34"/>
        <v>0</v>
      </c>
      <c r="W73" s="36">
        <f t="shared" si="31"/>
        <v>1458291</v>
      </c>
      <c r="X73" s="39"/>
    </row>
    <row r="74" spans="1:24" s="40" customFormat="1">
      <c r="A74" s="33" t="s">
        <v>347</v>
      </c>
      <c r="B74" s="38" t="s">
        <v>348</v>
      </c>
      <c r="C74" s="38" t="s">
        <v>191</v>
      </c>
      <c r="D74" s="48" t="s">
        <v>349</v>
      </c>
      <c r="E74" s="36">
        <f>E108*15</f>
        <v>150573</v>
      </c>
      <c r="F74" s="36">
        <f t="shared" ref="F74:V74" si="35">F108*15</f>
        <v>181200</v>
      </c>
      <c r="G74" s="36">
        <f t="shared" si="35"/>
        <v>265050</v>
      </c>
      <c r="H74" s="36">
        <f t="shared" si="35"/>
        <v>202718.4</v>
      </c>
      <c r="I74" s="36">
        <f t="shared" si="35"/>
        <v>179640.15</v>
      </c>
      <c r="J74" s="36">
        <f t="shared" si="35"/>
        <v>187524.75</v>
      </c>
      <c r="K74" s="36">
        <f t="shared" si="35"/>
        <v>86520.75</v>
      </c>
      <c r="L74" s="36">
        <f t="shared" si="35"/>
        <v>41792.699999999997</v>
      </c>
      <c r="M74" s="36">
        <f t="shared" si="35"/>
        <v>98666.25</v>
      </c>
      <c r="N74" s="36">
        <f t="shared" si="35"/>
        <v>64605</v>
      </c>
      <c r="O74" s="36">
        <f t="shared" si="35"/>
        <v>0</v>
      </c>
      <c r="P74" s="36">
        <f t="shared" si="35"/>
        <v>0</v>
      </c>
      <c r="Q74" s="36">
        <f t="shared" si="35"/>
        <v>0</v>
      </c>
      <c r="R74" s="36">
        <f t="shared" si="35"/>
        <v>0</v>
      </c>
      <c r="S74" s="36">
        <f t="shared" si="35"/>
        <v>0</v>
      </c>
      <c r="T74" s="37"/>
      <c r="U74" s="37"/>
      <c r="V74" s="36">
        <f t="shared" si="35"/>
        <v>0</v>
      </c>
      <c r="W74" s="36">
        <f t="shared" si="31"/>
        <v>1458291</v>
      </c>
      <c r="X74" s="39"/>
    </row>
    <row r="75" spans="1:24">
      <c r="A75" s="33" t="s">
        <v>350</v>
      </c>
      <c r="B75" s="34" t="s">
        <v>351</v>
      </c>
      <c r="C75" s="34"/>
      <c r="D75" s="35" t="s">
        <v>185</v>
      </c>
      <c r="E75" s="36">
        <f>E76</f>
        <v>29256</v>
      </c>
      <c r="F75" s="36">
        <f t="shared" ref="F75:V75" si="36">F76</f>
        <v>50880</v>
      </c>
      <c r="G75" s="36">
        <f t="shared" si="36"/>
        <v>71214.399999999994</v>
      </c>
      <c r="H75" s="36">
        <f t="shared" si="36"/>
        <v>63744</v>
      </c>
      <c r="I75" s="36">
        <f t="shared" si="36"/>
        <v>26904</v>
      </c>
      <c r="J75" s="36">
        <f t="shared" si="36"/>
        <v>30240</v>
      </c>
      <c r="K75" s="36">
        <f t="shared" si="36"/>
        <v>23868</v>
      </c>
      <c r="L75" s="36">
        <f t="shared" si="36"/>
        <v>5728</v>
      </c>
      <c r="M75" s="36">
        <f t="shared" si="36"/>
        <v>21120</v>
      </c>
      <c r="N75" s="36">
        <f t="shared" si="36"/>
        <v>2240</v>
      </c>
      <c r="O75" s="36">
        <f t="shared" si="36"/>
        <v>0</v>
      </c>
      <c r="P75" s="36">
        <f t="shared" si="36"/>
        <v>0</v>
      </c>
      <c r="Q75" s="36">
        <f t="shared" si="36"/>
        <v>0</v>
      </c>
      <c r="R75" s="36">
        <f t="shared" si="36"/>
        <v>0</v>
      </c>
      <c r="S75" s="36">
        <f t="shared" si="36"/>
        <v>0</v>
      </c>
      <c r="T75" s="37"/>
      <c r="U75" s="37"/>
      <c r="V75" s="36">
        <f t="shared" si="36"/>
        <v>0</v>
      </c>
      <c r="W75" s="36">
        <f t="shared" si="31"/>
        <v>325194.40000000002</v>
      </c>
      <c r="X75" s="39"/>
    </row>
    <row r="76" spans="1:24" s="40" customFormat="1">
      <c r="A76" s="33" t="s">
        <v>352</v>
      </c>
      <c r="B76" s="38" t="s">
        <v>353</v>
      </c>
      <c r="C76" s="38" t="s">
        <v>191</v>
      </c>
      <c r="D76" s="48" t="s">
        <v>354</v>
      </c>
      <c r="E76" s="36">
        <f>E109*8</f>
        <v>29256</v>
      </c>
      <c r="F76" s="36">
        <f t="shared" ref="F76:V76" si="37">F109*8</f>
        <v>50880</v>
      </c>
      <c r="G76" s="36">
        <f t="shared" si="37"/>
        <v>71214.399999999994</v>
      </c>
      <c r="H76" s="36">
        <f t="shared" si="37"/>
        <v>63744</v>
      </c>
      <c r="I76" s="36">
        <f t="shared" si="37"/>
        <v>26904</v>
      </c>
      <c r="J76" s="36">
        <f t="shared" si="37"/>
        <v>30240</v>
      </c>
      <c r="K76" s="36">
        <f t="shared" si="37"/>
        <v>23868</v>
      </c>
      <c r="L76" s="36">
        <f t="shared" si="37"/>
        <v>5728</v>
      </c>
      <c r="M76" s="36">
        <f t="shared" si="37"/>
        <v>21120</v>
      </c>
      <c r="N76" s="36">
        <f t="shared" si="37"/>
        <v>2240</v>
      </c>
      <c r="O76" s="36">
        <f t="shared" si="37"/>
        <v>0</v>
      </c>
      <c r="P76" s="36">
        <f t="shared" si="37"/>
        <v>0</v>
      </c>
      <c r="Q76" s="36">
        <f t="shared" si="37"/>
        <v>0</v>
      </c>
      <c r="R76" s="36">
        <f t="shared" si="37"/>
        <v>0</v>
      </c>
      <c r="S76" s="36">
        <f t="shared" si="37"/>
        <v>0</v>
      </c>
      <c r="T76" s="37"/>
      <c r="U76" s="37"/>
      <c r="V76" s="36">
        <f t="shared" si="37"/>
        <v>0</v>
      </c>
      <c r="W76" s="36">
        <f t="shared" si="31"/>
        <v>325194.40000000002</v>
      </c>
      <c r="X76" s="39"/>
    </row>
    <row r="77" spans="1:24">
      <c r="A77" s="33" t="s">
        <v>355</v>
      </c>
      <c r="B77" s="34" t="s">
        <v>356</v>
      </c>
      <c r="C77" s="34"/>
      <c r="D77" s="35" t="s">
        <v>185</v>
      </c>
      <c r="E77" s="36">
        <f>E78</f>
        <v>0</v>
      </c>
      <c r="F77" s="36">
        <f t="shared" ref="F77:V77" si="38">F78</f>
        <v>0</v>
      </c>
      <c r="G77" s="36">
        <f t="shared" si="38"/>
        <v>0</v>
      </c>
      <c r="H77" s="36">
        <f t="shared" si="38"/>
        <v>0</v>
      </c>
      <c r="I77" s="36">
        <f t="shared" si="38"/>
        <v>0</v>
      </c>
      <c r="J77" s="36">
        <f t="shared" si="38"/>
        <v>0</v>
      </c>
      <c r="K77" s="36">
        <f t="shared" si="38"/>
        <v>0</v>
      </c>
      <c r="L77" s="36">
        <f t="shared" si="38"/>
        <v>0</v>
      </c>
      <c r="M77" s="36">
        <f t="shared" si="38"/>
        <v>0</v>
      </c>
      <c r="N77" s="36">
        <f t="shared" si="38"/>
        <v>0</v>
      </c>
      <c r="O77" s="36">
        <f t="shared" si="38"/>
        <v>0</v>
      </c>
      <c r="P77" s="36">
        <f t="shared" si="38"/>
        <v>0</v>
      </c>
      <c r="Q77" s="36">
        <f t="shared" si="38"/>
        <v>0</v>
      </c>
      <c r="R77" s="36">
        <f t="shared" si="38"/>
        <v>0</v>
      </c>
      <c r="S77" s="36">
        <f t="shared" si="38"/>
        <v>0</v>
      </c>
      <c r="T77" s="37"/>
      <c r="U77" s="37"/>
      <c r="V77" s="36">
        <f t="shared" si="38"/>
        <v>0</v>
      </c>
      <c r="W77" s="36">
        <f t="shared" si="31"/>
        <v>0</v>
      </c>
      <c r="X77" s="39"/>
    </row>
    <row r="78" spans="1:24" s="40" customFormat="1">
      <c r="A78" s="33" t="s">
        <v>357</v>
      </c>
      <c r="B78" s="38" t="s">
        <v>358</v>
      </c>
      <c r="C78" s="38" t="s">
        <v>191</v>
      </c>
      <c r="D78" s="48" t="s">
        <v>293</v>
      </c>
      <c r="E78" s="46"/>
      <c r="F78" s="46"/>
      <c r="G78" s="46"/>
      <c r="H78" s="46"/>
      <c r="I78" s="46"/>
      <c r="J78" s="46"/>
      <c r="K78" s="46"/>
      <c r="L78" s="46"/>
      <c r="M78" s="46"/>
      <c r="N78" s="46"/>
      <c r="O78" s="46"/>
      <c r="P78" s="46"/>
      <c r="Q78" s="46"/>
      <c r="R78" s="46"/>
      <c r="S78" s="46"/>
      <c r="T78" s="46"/>
      <c r="U78" s="46"/>
      <c r="V78" s="46"/>
      <c r="W78" s="36">
        <f t="shared" si="31"/>
        <v>0</v>
      </c>
      <c r="X78" s="39"/>
    </row>
    <row r="79" spans="1:24">
      <c r="A79" s="33" t="s">
        <v>359</v>
      </c>
      <c r="B79" s="34" t="s">
        <v>360</v>
      </c>
      <c r="C79" s="34"/>
      <c r="D79" s="35" t="s">
        <v>185</v>
      </c>
      <c r="E79" s="36">
        <f>E80</f>
        <v>367200</v>
      </c>
      <c r="F79" s="36">
        <f t="shared" ref="F79:V79" si="39">F80</f>
        <v>276480</v>
      </c>
      <c r="G79" s="36">
        <f t="shared" si="39"/>
        <v>509760</v>
      </c>
      <c r="H79" s="36">
        <f t="shared" si="39"/>
        <v>371520</v>
      </c>
      <c r="I79" s="36">
        <f t="shared" si="39"/>
        <v>280800</v>
      </c>
      <c r="J79" s="36">
        <f t="shared" si="39"/>
        <v>224640</v>
      </c>
      <c r="K79" s="36">
        <f t="shared" si="39"/>
        <v>207360</v>
      </c>
      <c r="L79" s="36">
        <f t="shared" si="39"/>
        <v>172800</v>
      </c>
      <c r="M79" s="36">
        <f t="shared" si="39"/>
        <v>203040</v>
      </c>
      <c r="N79" s="36">
        <f t="shared" si="39"/>
        <v>4320</v>
      </c>
      <c r="O79" s="36">
        <f t="shared" si="39"/>
        <v>0</v>
      </c>
      <c r="P79" s="36">
        <f t="shared" si="39"/>
        <v>0</v>
      </c>
      <c r="Q79" s="36">
        <f t="shared" si="39"/>
        <v>0</v>
      </c>
      <c r="R79" s="36">
        <f t="shared" si="39"/>
        <v>0</v>
      </c>
      <c r="S79" s="36">
        <f t="shared" si="39"/>
        <v>0</v>
      </c>
      <c r="T79" s="37"/>
      <c r="U79" s="37"/>
      <c r="V79" s="36">
        <f t="shared" si="39"/>
        <v>0</v>
      </c>
      <c r="W79" s="36">
        <f t="shared" si="31"/>
        <v>2617920</v>
      </c>
      <c r="X79" s="39"/>
    </row>
    <row r="80" spans="1:24" s="40" customFormat="1" ht="22.5">
      <c r="A80" s="33" t="s">
        <v>361</v>
      </c>
      <c r="B80" s="38" t="s">
        <v>362</v>
      </c>
      <c r="C80" s="38" t="s">
        <v>191</v>
      </c>
      <c r="D80" s="48" t="s">
        <v>363</v>
      </c>
      <c r="E80" s="36">
        <f>E96*4320</f>
        <v>367200</v>
      </c>
      <c r="F80" s="36">
        <f t="shared" ref="F80:V80" si="40">F96*4320</f>
        <v>276480</v>
      </c>
      <c r="G80" s="36">
        <f t="shared" si="40"/>
        <v>509760</v>
      </c>
      <c r="H80" s="36">
        <f t="shared" si="40"/>
        <v>371520</v>
      </c>
      <c r="I80" s="36">
        <f t="shared" si="40"/>
        <v>280800</v>
      </c>
      <c r="J80" s="36">
        <f t="shared" si="40"/>
        <v>224640</v>
      </c>
      <c r="K80" s="36">
        <f t="shared" si="40"/>
        <v>207360</v>
      </c>
      <c r="L80" s="36">
        <f t="shared" si="40"/>
        <v>172800</v>
      </c>
      <c r="M80" s="36">
        <f t="shared" si="40"/>
        <v>203040</v>
      </c>
      <c r="N80" s="36">
        <f t="shared" si="40"/>
        <v>4320</v>
      </c>
      <c r="O80" s="36">
        <f t="shared" si="40"/>
        <v>0</v>
      </c>
      <c r="P80" s="36">
        <f t="shared" si="40"/>
        <v>0</v>
      </c>
      <c r="Q80" s="36">
        <f t="shared" si="40"/>
        <v>0</v>
      </c>
      <c r="R80" s="36">
        <f t="shared" si="40"/>
        <v>0</v>
      </c>
      <c r="S80" s="36">
        <f t="shared" si="40"/>
        <v>0</v>
      </c>
      <c r="T80" s="37"/>
      <c r="U80" s="37"/>
      <c r="V80" s="36">
        <f t="shared" si="40"/>
        <v>0</v>
      </c>
      <c r="W80" s="36">
        <f t="shared" si="31"/>
        <v>2617920</v>
      </c>
      <c r="X80" s="39"/>
    </row>
    <row r="81" spans="1:24">
      <c r="A81" s="33" t="s">
        <v>364</v>
      </c>
      <c r="B81" s="34" t="s">
        <v>365</v>
      </c>
      <c r="C81" s="34"/>
      <c r="D81" s="35" t="s">
        <v>185</v>
      </c>
      <c r="E81" s="36">
        <f>E82</f>
        <v>340480</v>
      </c>
      <c r="F81" s="36">
        <f t="shared" ref="F81:V81" si="41">F82</f>
        <v>248480</v>
      </c>
      <c r="G81" s="36">
        <f t="shared" si="41"/>
        <v>444200</v>
      </c>
      <c r="H81" s="36">
        <f t="shared" si="41"/>
        <v>312480</v>
      </c>
      <c r="I81" s="36">
        <f t="shared" si="41"/>
        <v>260320</v>
      </c>
      <c r="J81" s="36">
        <f t="shared" si="41"/>
        <v>220080</v>
      </c>
      <c r="K81" s="36">
        <f t="shared" si="41"/>
        <v>216200</v>
      </c>
      <c r="L81" s="36">
        <f t="shared" si="41"/>
        <v>134200</v>
      </c>
      <c r="M81" s="36">
        <f t="shared" si="41"/>
        <v>166600</v>
      </c>
      <c r="N81" s="36">
        <f t="shared" si="41"/>
        <v>4648</v>
      </c>
      <c r="O81" s="36">
        <f t="shared" si="41"/>
        <v>0</v>
      </c>
      <c r="P81" s="36">
        <f t="shared" si="41"/>
        <v>0</v>
      </c>
      <c r="Q81" s="36">
        <f t="shared" si="41"/>
        <v>0</v>
      </c>
      <c r="R81" s="36">
        <f t="shared" si="41"/>
        <v>0</v>
      </c>
      <c r="S81" s="36">
        <f t="shared" si="41"/>
        <v>0</v>
      </c>
      <c r="T81" s="37"/>
      <c r="U81" s="37"/>
      <c r="V81" s="36">
        <f t="shared" si="41"/>
        <v>0</v>
      </c>
      <c r="W81" s="36">
        <f t="shared" si="31"/>
        <v>2347688</v>
      </c>
      <c r="X81" s="39"/>
    </row>
    <row r="82" spans="1:24" s="40" customFormat="1">
      <c r="A82" s="33" t="s">
        <v>366</v>
      </c>
      <c r="B82" s="38" t="s">
        <v>367</v>
      </c>
      <c r="C82" s="38" t="s">
        <v>191</v>
      </c>
      <c r="D82" s="39" t="s">
        <v>210</v>
      </c>
      <c r="E82" s="36">
        <f>E16*4</f>
        <v>340480</v>
      </c>
      <c r="F82" s="36">
        <f t="shared" ref="F82:V82" si="42">F16*4</f>
        <v>248480</v>
      </c>
      <c r="G82" s="36">
        <f t="shared" si="42"/>
        <v>444200</v>
      </c>
      <c r="H82" s="36">
        <f t="shared" si="42"/>
        <v>312480</v>
      </c>
      <c r="I82" s="36">
        <f t="shared" si="42"/>
        <v>260320</v>
      </c>
      <c r="J82" s="36">
        <f t="shared" si="42"/>
        <v>220080</v>
      </c>
      <c r="K82" s="36">
        <f t="shared" si="42"/>
        <v>216200</v>
      </c>
      <c r="L82" s="36">
        <f t="shared" si="42"/>
        <v>134200</v>
      </c>
      <c r="M82" s="36">
        <f t="shared" si="42"/>
        <v>166600</v>
      </c>
      <c r="N82" s="36">
        <f t="shared" si="42"/>
        <v>4648</v>
      </c>
      <c r="O82" s="36">
        <f t="shared" si="42"/>
        <v>0</v>
      </c>
      <c r="P82" s="36">
        <f t="shared" si="42"/>
        <v>0</v>
      </c>
      <c r="Q82" s="36">
        <f t="shared" si="42"/>
        <v>0</v>
      </c>
      <c r="R82" s="36">
        <f t="shared" si="42"/>
        <v>0</v>
      </c>
      <c r="S82" s="36">
        <f t="shared" si="42"/>
        <v>0</v>
      </c>
      <c r="T82" s="37"/>
      <c r="U82" s="37"/>
      <c r="V82" s="36">
        <f t="shared" si="42"/>
        <v>0</v>
      </c>
      <c r="W82" s="36">
        <f t="shared" si="31"/>
        <v>2347688</v>
      </c>
      <c r="X82" s="39"/>
    </row>
    <row r="83" spans="1:24">
      <c r="A83" s="33" t="s">
        <v>368</v>
      </c>
      <c r="B83" s="34" t="s">
        <v>369</v>
      </c>
      <c r="C83" s="34"/>
      <c r="D83" s="35" t="s">
        <v>185</v>
      </c>
      <c r="E83" s="36">
        <f>E84</f>
        <v>32000</v>
      </c>
      <c r="F83" s="36">
        <f t="shared" ref="F83:V83" si="43">F84</f>
        <v>32000</v>
      </c>
      <c r="G83" s="36">
        <f t="shared" si="43"/>
        <v>32000</v>
      </c>
      <c r="H83" s="36">
        <f t="shared" si="43"/>
        <v>32000</v>
      </c>
      <c r="I83" s="36">
        <f t="shared" si="43"/>
        <v>32000</v>
      </c>
      <c r="J83" s="36">
        <f t="shared" si="43"/>
        <v>0</v>
      </c>
      <c r="K83" s="36">
        <f t="shared" si="43"/>
        <v>32000</v>
      </c>
      <c r="L83" s="36">
        <f t="shared" si="43"/>
        <v>0</v>
      </c>
      <c r="M83" s="36">
        <f t="shared" si="43"/>
        <v>32000</v>
      </c>
      <c r="N83" s="36">
        <f t="shared" si="43"/>
        <v>0</v>
      </c>
      <c r="O83" s="36">
        <f t="shared" si="43"/>
        <v>0</v>
      </c>
      <c r="P83" s="36">
        <f t="shared" si="43"/>
        <v>0</v>
      </c>
      <c r="Q83" s="36">
        <f t="shared" si="43"/>
        <v>0</v>
      </c>
      <c r="R83" s="36">
        <f t="shared" si="43"/>
        <v>0</v>
      </c>
      <c r="S83" s="36">
        <f t="shared" si="43"/>
        <v>0</v>
      </c>
      <c r="T83" s="37"/>
      <c r="U83" s="37"/>
      <c r="V83" s="36">
        <f t="shared" si="43"/>
        <v>0</v>
      </c>
      <c r="W83" s="36">
        <f t="shared" si="31"/>
        <v>224000</v>
      </c>
      <c r="X83" s="39"/>
    </row>
    <row r="84" spans="1:24" ht="33.75">
      <c r="A84" s="33" t="s">
        <v>370</v>
      </c>
      <c r="B84" s="34" t="s">
        <v>371</v>
      </c>
      <c r="C84" s="34" t="s">
        <v>191</v>
      </c>
      <c r="D84" s="47" t="s">
        <v>372</v>
      </c>
      <c r="E84" s="37">
        <v>32000</v>
      </c>
      <c r="F84" s="37">
        <v>32000</v>
      </c>
      <c r="G84" s="37">
        <v>32000</v>
      </c>
      <c r="H84" s="37">
        <v>32000</v>
      </c>
      <c r="I84" s="37">
        <v>32000</v>
      </c>
      <c r="J84" s="37"/>
      <c r="K84" s="37">
        <v>32000</v>
      </c>
      <c r="L84" s="37"/>
      <c r="M84" s="37">
        <v>32000</v>
      </c>
      <c r="N84" s="37"/>
      <c r="O84" s="37"/>
      <c r="P84" s="37"/>
      <c r="Q84" s="37"/>
      <c r="R84" s="37"/>
      <c r="S84" s="37"/>
      <c r="T84" s="37"/>
      <c r="U84" s="37"/>
      <c r="V84" s="37"/>
      <c r="W84" s="36">
        <f t="shared" si="31"/>
        <v>224000</v>
      </c>
      <c r="X84" s="39"/>
    </row>
    <row r="85" spans="1:24">
      <c r="A85" s="33" t="s">
        <v>373</v>
      </c>
      <c r="B85" s="34" t="s">
        <v>374</v>
      </c>
      <c r="C85" s="34"/>
      <c r="D85" s="35" t="s">
        <v>185</v>
      </c>
      <c r="E85" s="36">
        <f>E86+E89+E92</f>
        <v>335120</v>
      </c>
      <c r="F85" s="36">
        <f t="shared" ref="F85:V85" si="44">F86+F89+F92</f>
        <v>160480</v>
      </c>
      <c r="G85" s="36">
        <f t="shared" si="44"/>
        <v>136880</v>
      </c>
      <c r="H85" s="36">
        <f t="shared" si="44"/>
        <v>552240</v>
      </c>
      <c r="I85" s="36">
        <f t="shared" si="44"/>
        <v>151040</v>
      </c>
      <c r="J85" s="36">
        <f t="shared" si="44"/>
        <v>99120</v>
      </c>
      <c r="K85" s="36">
        <f t="shared" si="44"/>
        <v>14160</v>
      </c>
      <c r="L85" s="36">
        <f t="shared" si="44"/>
        <v>47200</v>
      </c>
      <c r="M85" s="36">
        <f t="shared" si="44"/>
        <v>28320</v>
      </c>
      <c r="N85" s="36">
        <f t="shared" si="44"/>
        <v>0</v>
      </c>
      <c r="O85" s="36">
        <f t="shared" si="44"/>
        <v>0</v>
      </c>
      <c r="P85" s="36">
        <f t="shared" si="44"/>
        <v>0</v>
      </c>
      <c r="Q85" s="36">
        <f t="shared" si="44"/>
        <v>0</v>
      </c>
      <c r="R85" s="36">
        <f t="shared" si="44"/>
        <v>0</v>
      </c>
      <c r="S85" s="36">
        <f t="shared" si="44"/>
        <v>0</v>
      </c>
      <c r="T85" s="37"/>
      <c r="U85" s="37"/>
      <c r="V85" s="36">
        <f t="shared" si="44"/>
        <v>0</v>
      </c>
      <c r="W85" s="36">
        <f t="shared" si="31"/>
        <v>1524560</v>
      </c>
      <c r="X85" s="39"/>
    </row>
    <row r="86" spans="1:24">
      <c r="A86" s="33" t="s">
        <v>375</v>
      </c>
      <c r="B86" s="34" t="s">
        <v>376</v>
      </c>
      <c r="C86" s="34"/>
      <c r="D86" s="35" t="s">
        <v>185</v>
      </c>
      <c r="E86" s="36">
        <f>E87+E88</f>
        <v>0</v>
      </c>
      <c r="F86" s="36">
        <f t="shared" ref="F86:V86" si="45">F87+F88</f>
        <v>0</v>
      </c>
      <c r="G86" s="36">
        <f t="shared" si="45"/>
        <v>0</v>
      </c>
      <c r="H86" s="36">
        <f t="shared" si="45"/>
        <v>0</v>
      </c>
      <c r="I86" s="36">
        <f t="shared" si="45"/>
        <v>0</v>
      </c>
      <c r="J86" s="36">
        <f t="shared" si="45"/>
        <v>0</v>
      </c>
      <c r="K86" s="36">
        <f t="shared" si="45"/>
        <v>0</v>
      </c>
      <c r="L86" s="36">
        <f t="shared" si="45"/>
        <v>0</v>
      </c>
      <c r="M86" s="36">
        <f t="shared" si="45"/>
        <v>0</v>
      </c>
      <c r="N86" s="36">
        <f t="shared" si="45"/>
        <v>0</v>
      </c>
      <c r="O86" s="36">
        <f t="shared" si="45"/>
        <v>0</v>
      </c>
      <c r="P86" s="36">
        <f t="shared" si="45"/>
        <v>0</v>
      </c>
      <c r="Q86" s="36">
        <f t="shared" si="45"/>
        <v>0</v>
      </c>
      <c r="R86" s="36">
        <f t="shared" si="45"/>
        <v>0</v>
      </c>
      <c r="S86" s="36">
        <f t="shared" si="45"/>
        <v>0</v>
      </c>
      <c r="T86" s="37"/>
      <c r="U86" s="37"/>
      <c r="V86" s="36">
        <f t="shared" si="45"/>
        <v>0</v>
      </c>
      <c r="W86" s="36">
        <f t="shared" si="31"/>
        <v>0</v>
      </c>
      <c r="X86" s="39"/>
    </row>
    <row r="87" spans="1:24">
      <c r="A87" s="33" t="s">
        <v>377</v>
      </c>
      <c r="B87" s="34" t="s">
        <v>378</v>
      </c>
      <c r="C87" s="34" t="s">
        <v>191</v>
      </c>
      <c r="D87" s="47" t="s">
        <v>293</v>
      </c>
      <c r="E87" s="43"/>
      <c r="F87" s="43"/>
      <c r="G87" s="43"/>
      <c r="H87" s="43"/>
      <c r="I87" s="43"/>
      <c r="J87" s="43"/>
      <c r="K87" s="43"/>
      <c r="L87" s="43"/>
      <c r="M87" s="43"/>
      <c r="N87" s="43"/>
      <c r="O87" s="43"/>
      <c r="P87" s="43"/>
      <c r="Q87" s="43"/>
      <c r="R87" s="43"/>
      <c r="S87" s="43"/>
      <c r="T87" s="43"/>
      <c r="U87" s="43"/>
      <c r="V87" s="43"/>
      <c r="W87" s="36">
        <f t="shared" si="31"/>
        <v>0</v>
      </c>
      <c r="X87" s="42"/>
    </row>
    <row r="88" spans="1:24">
      <c r="A88" s="33" t="s">
        <v>379</v>
      </c>
      <c r="B88" s="34" t="s">
        <v>380</v>
      </c>
      <c r="C88" s="34" t="s">
        <v>191</v>
      </c>
      <c r="D88" s="35" t="s">
        <v>381</v>
      </c>
      <c r="E88" s="43"/>
      <c r="F88" s="43"/>
      <c r="G88" s="43"/>
      <c r="H88" s="43"/>
      <c r="I88" s="43"/>
      <c r="J88" s="43"/>
      <c r="K88" s="43"/>
      <c r="L88" s="43"/>
      <c r="M88" s="43"/>
      <c r="N88" s="43"/>
      <c r="O88" s="43"/>
      <c r="P88" s="43"/>
      <c r="Q88" s="43"/>
      <c r="R88" s="43"/>
      <c r="S88" s="43"/>
      <c r="T88" s="43"/>
      <c r="U88" s="43"/>
      <c r="V88" s="43"/>
      <c r="W88" s="36">
        <f t="shared" si="31"/>
        <v>0</v>
      </c>
      <c r="X88" s="42"/>
    </row>
    <row r="89" spans="1:24">
      <c r="A89" s="33" t="s">
        <v>382</v>
      </c>
      <c r="B89" s="34" t="s">
        <v>383</v>
      </c>
      <c r="C89" s="34"/>
      <c r="D89" s="35" t="s">
        <v>185</v>
      </c>
      <c r="E89" s="36">
        <f>E90+E91</f>
        <v>335120</v>
      </c>
      <c r="F89" s="36">
        <f t="shared" ref="F89:V89" si="46">F90+F91</f>
        <v>160480</v>
      </c>
      <c r="G89" s="36">
        <f t="shared" si="46"/>
        <v>136880</v>
      </c>
      <c r="H89" s="36">
        <f t="shared" si="46"/>
        <v>552240</v>
      </c>
      <c r="I89" s="36">
        <f t="shared" si="46"/>
        <v>151040</v>
      </c>
      <c r="J89" s="36">
        <f t="shared" si="46"/>
        <v>99120</v>
      </c>
      <c r="K89" s="36">
        <f t="shared" si="46"/>
        <v>14160</v>
      </c>
      <c r="L89" s="36">
        <f t="shared" si="46"/>
        <v>47200</v>
      </c>
      <c r="M89" s="36">
        <f t="shared" si="46"/>
        <v>28320</v>
      </c>
      <c r="N89" s="36">
        <f t="shared" si="46"/>
        <v>0</v>
      </c>
      <c r="O89" s="36">
        <f t="shared" si="46"/>
        <v>0</v>
      </c>
      <c r="P89" s="36">
        <f t="shared" si="46"/>
        <v>0</v>
      </c>
      <c r="Q89" s="36">
        <f t="shared" si="46"/>
        <v>0</v>
      </c>
      <c r="R89" s="36">
        <f t="shared" si="46"/>
        <v>0</v>
      </c>
      <c r="S89" s="36">
        <f t="shared" si="46"/>
        <v>0</v>
      </c>
      <c r="T89" s="37"/>
      <c r="U89" s="37"/>
      <c r="V89" s="36">
        <f t="shared" si="46"/>
        <v>0</v>
      </c>
      <c r="W89" s="36">
        <f t="shared" si="31"/>
        <v>1524560</v>
      </c>
      <c r="X89" s="39"/>
    </row>
    <row r="90" spans="1:24" s="40" customFormat="1" ht="22.5">
      <c r="A90" s="33" t="s">
        <v>384</v>
      </c>
      <c r="B90" s="38" t="s">
        <v>385</v>
      </c>
      <c r="C90" s="38" t="s">
        <v>191</v>
      </c>
      <c r="D90" s="48" t="s">
        <v>386</v>
      </c>
      <c r="E90" s="36">
        <f>E107*400</f>
        <v>28400</v>
      </c>
      <c r="F90" s="36">
        <f t="shared" ref="F90:V90" si="47">F107*400</f>
        <v>13600</v>
      </c>
      <c r="G90" s="36">
        <f t="shared" si="47"/>
        <v>11600</v>
      </c>
      <c r="H90" s="36">
        <f t="shared" si="47"/>
        <v>46800</v>
      </c>
      <c r="I90" s="36">
        <f t="shared" si="47"/>
        <v>12800</v>
      </c>
      <c r="J90" s="36">
        <f t="shared" si="47"/>
        <v>8400</v>
      </c>
      <c r="K90" s="36">
        <f t="shared" si="47"/>
        <v>1200</v>
      </c>
      <c r="L90" s="36">
        <f t="shared" si="47"/>
        <v>4000</v>
      </c>
      <c r="M90" s="36">
        <f t="shared" si="47"/>
        <v>2400</v>
      </c>
      <c r="N90" s="36">
        <f t="shared" si="47"/>
        <v>0</v>
      </c>
      <c r="O90" s="36">
        <f t="shared" si="47"/>
        <v>0</v>
      </c>
      <c r="P90" s="36">
        <f t="shared" si="47"/>
        <v>0</v>
      </c>
      <c r="Q90" s="36">
        <f t="shared" si="47"/>
        <v>0</v>
      </c>
      <c r="R90" s="36">
        <f t="shared" si="47"/>
        <v>0</v>
      </c>
      <c r="S90" s="36">
        <f t="shared" si="47"/>
        <v>0</v>
      </c>
      <c r="T90" s="37"/>
      <c r="U90" s="37"/>
      <c r="V90" s="36">
        <f t="shared" si="47"/>
        <v>0</v>
      </c>
      <c r="W90" s="36">
        <f t="shared" si="31"/>
        <v>129200</v>
      </c>
      <c r="X90" s="39"/>
    </row>
    <row r="91" spans="1:24" s="40" customFormat="1" ht="22.5">
      <c r="A91" s="33" t="s">
        <v>387</v>
      </c>
      <c r="B91" s="38" t="s">
        <v>388</v>
      </c>
      <c r="C91" s="38" t="s">
        <v>191</v>
      </c>
      <c r="D91" s="48" t="s">
        <v>389</v>
      </c>
      <c r="E91" s="36">
        <f>E107*4320</f>
        <v>306720</v>
      </c>
      <c r="F91" s="36">
        <f t="shared" ref="F91:V91" si="48">F107*4320</f>
        <v>146880</v>
      </c>
      <c r="G91" s="36">
        <f t="shared" si="48"/>
        <v>125280</v>
      </c>
      <c r="H91" s="36">
        <f t="shared" si="48"/>
        <v>505440</v>
      </c>
      <c r="I91" s="36">
        <f t="shared" si="48"/>
        <v>138240</v>
      </c>
      <c r="J91" s="36">
        <f t="shared" si="48"/>
        <v>90720</v>
      </c>
      <c r="K91" s="36">
        <f t="shared" si="48"/>
        <v>12960</v>
      </c>
      <c r="L91" s="36">
        <f t="shared" si="48"/>
        <v>43200</v>
      </c>
      <c r="M91" s="36">
        <f t="shared" si="48"/>
        <v>25920</v>
      </c>
      <c r="N91" s="36">
        <f t="shared" si="48"/>
        <v>0</v>
      </c>
      <c r="O91" s="36">
        <f t="shared" si="48"/>
        <v>0</v>
      </c>
      <c r="P91" s="36">
        <f t="shared" si="48"/>
        <v>0</v>
      </c>
      <c r="Q91" s="36">
        <f t="shared" si="48"/>
        <v>0</v>
      </c>
      <c r="R91" s="36">
        <f t="shared" si="48"/>
        <v>0</v>
      </c>
      <c r="S91" s="36">
        <f t="shared" si="48"/>
        <v>0</v>
      </c>
      <c r="T91" s="37"/>
      <c r="U91" s="37"/>
      <c r="V91" s="36">
        <f t="shared" si="48"/>
        <v>0</v>
      </c>
      <c r="W91" s="36">
        <f t="shared" si="31"/>
        <v>1395360</v>
      </c>
      <c r="X91" s="39"/>
    </row>
    <row r="92" spans="1:24">
      <c r="A92" s="33" t="s">
        <v>390</v>
      </c>
      <c r="B92" s="34" t="s">
        <v>391</v>
      </c>
      <c r="C92" s="34" t="s">
        <v>191</v>
      </c>
      <c r="D92" s="47" t="s">
        <v>293</v>
      </c>
      <c r="E92" s="49"/>
      <c r="F92" s="49"/>
      <c r="G92" s="49"/>
      <c r="H92" s="49"/>
      <c r="I92" s="49"/>
      <c r="J92" s="49"/>
      <c r="K92" s="49"/>
      <c r="L92" s="49"/>
      <c r="M92" s="49"/>
      <c r="N92" s="49"/>
      <c r="O92" s="49"/>
      <c r="P92" s="49"/>
      <c r="Q92" s="49"/>
      <c r="R92" s="49"/>
      <c r="S92" s="49"/>
      <c r="T92" s="49"/>
      <c r="U92" s="49"/>
      <c r="V92" s="49"/>
      <c r="W92" s="36">
        <f t="shared" si="31"/>
        <v>0</v>
      </c>
      <c r="X92" s="42"/>
    </row>
    <row r="93" spans="1:24">
      <c r="A93" s="33" t="s">
        <v>392</v>
      </c>
      <c r="B93" s="34" t="s">
        <v>393</v>
      </c>
      <c r="C93" s="34"/>
      <c r="D93" s="35" t="s">
        <v>185</v>
      </c>
      <c r="E93" s="36">
        <f>E94</f>
        <v>0</v>
      </c>
      <c r="F93" s="36">
        <f t="shared" ref="F93:V93" si="49">F94</f>
        <v>0</v>
      </c>
      <c r="G93" s="36">
        <f t="shared" si="49"/>
        <v>0</v>
      </c>
      <c r="H93" s="36">
        <f t="shared" si="49"/>
        <v>0</v>
      </c>
      <c r="I93" s="36">
        <f t="shared" si="49"/>
        <v>0</v>
      </c>
      <c r="J93" s="36">
        <f t="shared" si="49"/>
        <v>32000</v>
      </c>
      <c r="K93" s="36">
        <f t="shared" si="49"/>
        <v>5000</v>
      </c>
      <c r="L93" s="36">
        <f t="shared" si="49"/>
        <v>32000</v>
      </c>
      <c r="M93" s="36">
        <f t="shared" si="49"/>
        <v>5000</v>
      </c>
      <c r="N93" s="36">
        <f t="shared" si="49"/>
        <v>32000</v>
      </c>
      <c r="O93" s="36">
        <f t="shared" si="49"/>
        <v>0</v>
      </c>
      <c r="P93" s="36">
        <f t="shared" si="49"/>
        <v>0</v>
      </c>
      <c r="Q93" s="36">
        <f t="shared" si="49"/>
        <v>0</v>
      </c>
      <c r="R93" s="36">
        <f t="shared" si="49"/>
        <v>0</v>
      </c>
      <c r="S93" s="36">
        <f t="shared" si="49"/>
        <v>0</v>
      </c>
      <c r="T93" s="37"/>
      <c r="U93" s="37"/>
      <c r="V93" s="36">
        <f t="shared" si="49"/>
        <v>0</v>
      </c>
      <c r="W93" s="36">
        <f t="shared" si="31"/>
        <v>106000</v>
      </c>
      <c r="X93" s="39"/>
    </row>
    <row r="94" spans="1:24" ht="68.25" thickBot="1">
      <c r="A94" s="33" t="s">
        <v>394</v>
      </c>
      <c r="B94" s="50" t="s">
        <v>395</v>
      </c>
      <c r="C94" s="34" t="s">
        <v>191</v>
      </c>
      <c r="D94" s="51" t="s">
        <v>573</v>
      </c>
      <c r="E94" s="52"/>
      <c r="F94" s="52"/>
      <c r="G94" s="52"/>
      <c r="H94" s="52"/>
      <c r="I94" s="52"/>
      <c r="J94" s="52">
        <v>32000</v>
      </c>
      <c r="K94" s="52">
        <v>5000</v>
      </c>
      <c r="L94" s="52">
        <v>32000</v>
      </c>
      <c r="M94" s="52">
        <v>5000</v>
      </c>
      <c r="N94" s="52">
        <v>32000</v>
      </c>
      <c r="O94" s="52"/>
      <c r="P94" s="52"/>
      <c r="Q94" s="52"/>
      <c r="R94" s="52"/>
      <c r="S94" s="52"/>
      <c r="T94" s="52"/>
      <c r="U94" s="52"/>
      <c r="V94" s="52"/>
      <c r="W94" s="36">
        <f t="shared" si="31"/>
        <v>106000</v>
      </c>
      <c r="X94" s="178"/>
    </row>
    <row r="95" spans="1:24" ht="23.25" customHeight="1" thickTop="1">
      <c r="A95" s="33" t="s">
        <v>397</v>
      </c>
      <c r="B95" s="53" t="s">
        <v>398</v>
      </c>
      <c r="C95" s="53"/>
      <c r="D95" s="54"/>
      <c r="E95" s="55"/>
      <c r="F95" s="55"/>
      <c r="G95" s="55"/>
      <c r="H95" s="55"/>
      <c r="I95" s="55"/>
      <c r="J95" s="55"/>
      <c r="K95" s="55"/>
      <c r="L95" s="55"/>
      <c r="M95" s="55"/>
      <c r="N95" s="55"/>
      <c r="O95" s="55"/>
      <c r="P95" s="55"/>
      <c r="Q95" s="55"/>
      <c r="R95" s="55"/>
      <c r="S95" s="55"/>
      <c r="T95" s="55"/>
      <c r="U95" s="55"/>
      <c r="V95" s="55"/>
      <c r="W95" s="36">
        <f t="shared" si="31"/>
        <v>0</v>
      </c>
      <c r="X95" s="179"/>
    </row>
    <row r="96" spans="1:24" ht="22.5">
      <c r="A96" s="33" t="s">
        <v>399</v>
      </c>
      <c r="B96" s="34" t="s">
        <v>400</v>
      </c>
      <c r="C96" s="34"/>
      <c r="D96" s="35" t="s">
        <v>401</v>
      </c>
      <c r="E96" s="36">
        <f>E97+E98+E99+E100</f>
        <v>85</v>
      </c>
      <c r="F96" s="36">
        <f t="shared" ref="F96:V96" si="50">F97+F98+F99+F100</f>
        <v>64</v>
      </c>
      <c r="G96" s="36">
        <f t="shared" si="50"/>
        <v>118</v>
      </c>
      <c r="H96" s="36">
        <f t="shared" si="50"/>
        <v>86</v>
      </c>
      <c r="I96" s="36">
        <f t="shared" si="50"/>
        <v>65</v>
      </c>
      <c r="J96" s="36">
        <f t="shared" si="50"/>
        <v>52</v>
      </c>
      <c r="K96" s="36">
        <f t="shared" si="50"/>
        <v>48</v>
      </c>
      <c r="L96" s="36">
        <f t="shared" si="50"/>
        <v>40</v>
      </c>
      <c r="M96" s="36">
        <f t="shared" si="50"/>
        <v>47</v>
      </c>
      <c r="N96" s="36">
        <f t="shared" si="50"/>
        <v>1</v>
      </c>
      <c r="O96" s="36">
        <f t="shared" si="50"/>
        <v>0</v>
      </c>
      <c r="P96" s="36">
        <f t="shared" si="50"/>
        <v>0</v>
      </c>
      <c r="Q96" s="36">
        <f t="shared" si="50"/>
        <v>0</v>
      </c>
      <c r="R96" s="36">
        <f t="shared" si="50"/>
        <v>0</v>
      </c>
      <c r="S96" s="36">
        <f t="shared" si="50"/>
        <v>0</v>
      </c>
      <c r="T96" s="37"/>
      <c r="U96" s="37"/>
      <c r="V96" s="36">
        <f t="shared" si="50"/>
        <v>0</v>
      </c>
      <c r="W96" s="36">
        <f t="shared" si="31"/>
        <v>606</v>
      </c>
      <c r="X96" s="39"/>
    </row>
    <row r="97" spans="1:24">
      <c r="A97" s="33" t="s">
        <v>402</v>
      </c>
      <c r="B97" s="56" t="s">
        <v>403</v>
      </c>
      <c r="C97" s="56"/>
      <c r="D97" s="42"/>
      <c r="E97" s="43">
        <v>85</v>
      </c>
      <c r="F97" s="43">
        <v>64</v>
      </c>
      <c r="G97" s="43">
        <v>58</v>
      </c>
      <c r="H97" s="43"/>
      <c r="I97" s="43"/>
      <c r="J97" s="43"/>
      <c r="K97" s="43"/>
      <c r="L97" s="43"/>
      <c r="M97" s="43"/>
      <c r="N97" s="43"/>
      <c r="O97" s="43"/>
      <c r="P97" s="43"/>
      <c r="Q97" s="43"/>
      <c r="R97" s="43"/>
      <c r="S97" s="43"/>
      <c r="T97" s="43"/>
      <c r="U97" s="43"/>
      <c r="V97" s="43"/>
      <c r="W97" s="36">
        <f t="shared" si="31"/>
        <v>207</v>
      </c>
      <c r="X97" s="39"/>
    </row>
    <row r="98" spans="1:24">
      <c r="A98" s="33" t="s">
        <v>404</v>
      </c>
      <c r="B98" s="56" t="s">
        <v>405</v>
      </c>
      <c r="C98" s="56"/>
      <c r="D98" s="35"/>
      <c r="E98" s="37"/>
      <c r="F98" s="37"/>
      <c r="G98" s="37">
        <v>60</v>
      </c>
      <c r="H98" s="37">
        <v>86</v>
      </c>
      <c r="I98" s="37">
        <v>65</v>
      </c>
      <c r="J98" s="37"/>
      <c r="K98" s="37"/>
      <c r="L98" s="37"/>
      <c r="M98" s="37"/>
      <c r="N98" s="37"/>
      <c r="O98" s="37"/>
      <c r="P98" s="37"/>
      <c r="Q98" s="37"/>
      <c r="R98" s="37"/>
      <c r="S98" s="37"/>
      <c r="T98" s="37"/>
      <c r="U98" s="37"/>
      <c r="V98" s="37"/>
      <c r="W98" s="36">
        <f t="shared" si="31"/>
        <v>211</v>
      </c>
      <c r="X98" s="39"/>
    </row>
    <row r="99" spans="1:24">
      <c r="A99" s="33" t="s">
        <v>406</v>
      </c>
      <c r="B99" s="56" t="s">
        <v>407</v>
      </c>
      <c r="C99" s="56"/>
      <c r="D99" s="42"/>
      <c r="E99" s="43"/>
      <c r="F99" s="43"/>
      <c r="G99" s="43"/>
      <c r="H99" s="43"/>
      <c r="I99" s="43"/>
      <c r="J99" s="43">
        <v>52</v>
      </c>
      <c r="K99" s="43">
        <v>48</v>
      </c>
      <c r="L99" s="43">
        <v>40</v>
      </c>
      <c r="M99" s="43">
        <v>47</v>
      </c>
      <c r="N99" s="43"/>
      <c r="O99" s="43"/>
      <c r="P99" s="43"/>
      <c r="Q99" s="43"/>
      <c r="R99" s="43"/>
      <c r="S99" s="43"/>
      <c r="T99" s="43"/>
      <c r="U99" s="43"/>
      <c r="V99" s="43"/>
      <c r="W99" s="36">
        <f t="shared" si="31"/>
        <v>187</v>
      </c>
      <c r="X99" s="39"/>
    </row>
    <row r="100" spans="1:24">
      <c r="A100" s="33" t="s">
        <v>408</v>
      </c>
      <c r="B100" s="56" t="s">
        <v>409</v>
      </c>
      <c r="C100" s="56"/>
      <c r="D100" s="42"/>
      <c r="E100" s="43"/>
      <c r="F100" s="43"/>
      <c r="G100" s="43"/>
      <c r="H100" s="43"/>
      <c r="I100" s="43"/>
      <c r="J100" s="43"/>
      <c r="K100" s="43"/>
      <c r="L100" s="43"/>
      <c r="M100" s="43"/>
      <c r="N100" s="43">
        <v>1</v>
      </c>
      <c r="O100" s="43"/>
      <c r="P100" s="43"/>
      <c r="Q100" s="43"/>
      <c r="R100" s="43"/>
      <c r="S100" s="43"/>
      <c r="T100" s="43"/>
      <c r="U100" s="43"/>
      <c r="V100" s="43"/>
      <c r="W100" s="36">
        <f t="shared" si="31"/>
        <v>1</v>
      </c>
      <c r="X100" s="39"/>
    </row>
    <row r="101" spans="1:24" ht="33.75">
      <c r="A101" s="33" t="s">
        <v>410</v>
      </c>
      <c r="B101" s="34" t="s">
        <v>411</v>
      </c>
      <c r="C101" s="34"/>
      <c r="D101" s="35" t="s">
        <v>412</v>
      </c>
      <c r="E101" s="36">
        <f>E102+E103+E104+E105</f>
        <v>635</v>
      </c>
      <c r="F101" s="36">
        <f t="shared" ref="F101:V101" si="51">F102+F103+F104+F105</f>
        <v>430</v>
      </c>
      <c r="G101" s="36">
        <f t="shared" si="51"/>
        <v>1203</v>
      </c>
      <c r="H101" s="36">
        <f t="shared" si="51"/>
        <v>1096</v>
      </c>
      <c r="I101" s="36">
        <f t="shared" si="51"/>
        <v>937</v>
      </c>
      <c r="J101" s="36">
        <f t="shared" si="51"/>
        <v>606</v>
      </c>
      <c r="K101" s="36">
        <f t="shared" si="51"/>
        <v>536</v>
      </c>
      <c r="L101" s="36">
        <f t="shared" si="51"/>
        <v>380</v>
      </c>
      <c r="M101" s="36">
        <f t="shared" si="51"/>
        <v>408</v>
      </c>
      <c r="N101" s="36">
        <f t="shared" si="51"/>
        <v>0</v>
      </c>
      <c r="O101" s="36">
        <f t="shared" si="51"/>
        <v>0</v>
      </c>
      <c r="P101" s="36">
        <f t="shared" si="51"/>
        <v>0</v>
      </c>
      <c r="Q101" s="36">
        <f t="shared" si="51"/>
        <v>0</v>
      </c>
      <c r="R101" s="36">
        <f t="shared" si="51"/>
        <v>0</v>
      </c>
      <c r="S101" s="36">
        <f t="shared" si="51"/>
        <v>0</v>
      </c>
      <c r="T101" s="37"/>
      <c r="U101" s="37"/>
      <c r="V101" s="36">
        <f t="shared" si="51"/>
        <v>0</v>
      </c>
      <c r="W101" s="36">
        <f t="shared" si="31"/>
        <v>6231</v>
      </c>
      <c r="X101" s="39"/>
    </row>
    <row r="102" spans="1:24">
      <c r="A102" s="33" t="s">
        <v>413</v>
      </c>
      <c r="B102" s="56" t="s">
        <v>403</v>
      </c>
      <c r="C102" s="56"/>
      <c r="D102" s="42"/>
      <c r="E102" s="43">
        <v>635</v>
      </c>
      <c r="F102" s="43">
        <v>430</v>
      </c>
      <c r="G102" s="43">
        <v>422</v>
      </c>
      <c r="H102" s="43"/>
      <c r="I102" s="43"/>
      <c r="J102" s="43"/>
      <c r="K102" s="43"/>
      <c r="L102" s="43"/>
      <c r="M102" s="43"/>
      <c r="N102" s="43"/>
      <c r="O102" s="43"/>
      <c r="P102" s="43"/>
      <c r="Q102" s="43"/>
      <c r="R102" s="43"/>
      <c r="S102" s="43"/>
      <c r="T102" s="43"/>
      <c r="U102" s="43"/>
      <c r="V102" s="43"/>
      <c r="W102" s="36">
        <f t="shared" si="31"/>
        <v>1487</v>
      </c>
      <c r="X102" s="39"/>
    </row>
    <row r="103" spans="1:24">
      <c r="A103" s="33" t="s">
        <v>414</v>
      </c>
      <c r="B103" s="56" t="s">
        <v>405</v>
      </c>
      <c r="C103" s="56"/>
      <c r="D103" s="35"/>
      <c r="E103" s="37"/>
      <c r="F103" s="37"/>
      <c r="G103" s="37">
        <v>781</v>
      </c>
      <c r="H103" s="37">
        <v>1096</v>
      </c>
      <c r="I103" s="37">
        <v>937</v>
      </c>
      <c r="J103" s="37"/>
      <c r="K103" s="37"/>
      <c r="L103" s="37"/>
      <c r="M103" s="37"/>
      <c r="N103" s="37"/>
      <c r="O103" s="37"/>
      <c r="P103" s="37"/>
      <c r="Q103" s="37"/>
      <c r="R103" s="37"/>
      <c r="S103" s="37"/>
      <c r="T103" s="37"/>
      <c r="U103" s="37"/>
      <c r="V103" s="37"/>
      <c r="W103" s="36">
        <f t="shared" si="31"/>
        <v>2814</v>
      </c>
      <c r="X103" s="39"/>
    </row>
    <row r="104" spans="1:24">
      <c r="A104" s="33" t="s">
        <v>415</v>
      </c>
      <c r="B104" s="56" t="s">
        <v>407</v>
      </c>
      <c r="C104" s="56"/>
      <c r="D104" s="42"/>
      <c r="E104" s="43"/>
      <c r="F104" s="43"/>
      <c r="G104" s="43"/>
      <c r="H104" s="43"/>
      <c r="I104" s="43"/>
      <c r="J104" s="43">
        <v>606</v>
      </c>
      <c r="K104" s="43">
        <v>536</v>
      </c>
      <c r="L104" s="43">
        <v>380</v>
      </c>
      <c r="M104" s="43">
        <v>408</v>
      </c>
      <c r="N104" s="43"/>
      <c r="O104" s="43"/>
      <c r="P104" s="43"/>
      <c r="Q104" s="43"/>
      <c r="R104" s="43"/>
      <c r="S104" s="43"/>
      <c r="T104" s="43"/>
      <c r="U104" s="43"/>
      <c r="V104" s="43"/>
      <c r="W104" s="36">
        <f t="shared" si="31"/>
        <v>1930</v>
      </c>
      <c r="X104" s="39"/>
    </row>
    <row r="105" spans="1:24">
      <c r="A105" s="33" t="s">
        <v>416</v>
      </c>
      <c r="B105" s="56" t="s">
        <v>409</v>
      </c>
      <c r="C105" s="56"/>
      <c r="D105" s="42"/>
      <c r="E105" s="43"/>
      <c r="F105" s="43"/>
      <c r="G105" s="43"/>
      <c r="H105" s="43"/>
      <c r="I105" s="43"/>
      <c r="J105" s="43"/>
      <c r="K105" s="43"/>
      <c r="L105" s="43"/>
      <c r="M105" s="43"/>
      <c r="N105" s="43"/>
      <c r="O105" s="43"/>
      <c r="P105" s="43"/>
      <c r="Q105" s="43"/>
      <c r="R105" s="43"/>
      <c r="S105" s="43"/>
      <c r="T105" s="43"/>
      <c r="U105" s="43"/>
      <c r="V105" s="43"/>
      <c r="W105" s="36">
        <f t="shared" si="31"/>
        <v>0</v>
      </c>
      <c r="X105" s="39"/>
    </row>
    <row r="106" spans="1:24">
      <c r="A106" s="33" t="s">
        <v>417</v>
      </c>
      <c r="B106" s="34" t="s">
        <v>418</v>
      </c>
      <c r="C106" s="34"/>
      <c r="D106" s="47"/>
      <c r="E106" s="57"/>
      <c r="F106" s="57"/>
      <c r="G106" s="57"/>
      <c r="H106" s="57"/>
      <c r="I106" s="57"/>
      <c r="J106" s="57"/>
      <c r="K106" s="57"/>
      <c r="L106" s="57"/>
      <c r="M106" s="57"/>
      <c r="N106" s="57"/>
      <c r="O106" s="57"/>
      <c r="P106" s="57"/>
      <c r="Q106" s="57"/>
      <c r="R106" s="57"/>
      <c r="S106" s="57"/>
      <c r="T106" s="57"/>
      <c r="U106" s="57"/>
      <c r="V106" s="57"/>
      <c r="W106" s="36">
        <f t="shared" si="31"/>
        <v>0</v>
      </c>
      <c r="X106" s="39"/>
    </row>
    <row r="107" spans="1:24">
      <c r="A107" s="33" t="s">
        <v>419</v>
      </c>
      <c r="B107" s="34" t="s">
        <v>420</v>
      </c>
      <c r="C107" s="34"/>
      <c r="D107" s="35"/>
      <c r="E107" s="37">
        <v>71</v>
      </c>
      <c r="F107" s="37">
        <v>34</v>
      </c>
      <c r="G107" s="37">
        <v>29</v>
      </c>
      <c r="H107" s="37">
        <v>117</v>
      </c>
      <c r="I107" s="37">
        <v>32</v>
      </c>
      <c r="J107" s="37">
        <v>21</v>
      </c>
      <c r="K107" s="37">
        <v>3</v>
      </c>
      <c r="L107" s="37">
        <v>10</v>
      </c>
      <c r="M107" s="37">
        <v>6</v>
      </c>
      <c r="N107" s="37"/>
      <c r="O107" s="37"/>
      <c r="P107" s="37"/>
      <c r="Q107" s="37"/>
      <c r="R107" s="37"/>
      <c r="S107" s="37"/>
      <c r="T107" s="37"/>
      <c r="U107" s="37"/>
      <c r="V107" s="37"/>
      <c r="W107" s="36">
        <f t="shared" si="31"/>
        <v>323</v>
      </c>
      <c r="X107" s="39"/>
    </row>
    <row r="108" spans="1:24">
      <c r="A108" s="33" t="s">
        <v>421</v>
      </c>
      <c r="B108" s="56" t="s">
        <v>422</v>
      </c>
      <c r="C108" s="56"/>
      <c r="D108" s="47"/>
      <c r="E108" s="37">
        <v>10038.200000000001</v>
      </c>
      <c r="F108" s="37">
        <v>12080</v>
      </c>
      <c r="G108" s="37">
        <v>17670</v>
      </c>
      <c r="H108" s="37">
        <v>13514.56</v>
      </c>
      <c r="I108" s="37">
        <v>11976.01</v>
      </c>
      <c r="J108" s="37">
        <v>12501.65</v>
      </c>
      <c r="K108" s="37">
        <v>5768.05</v>
      </c>
      <c r="L108" s="37">
        <v>2786.18</v>
      </c>
      <c r="M108" s="37">
        <v>6577.75</v>
      </c>
      <c r="N108" s="37">
        <v>4307</v>
      </c>
      <c r="O108" s="37"/>
      <c r="P108" s="37"/>
      <c r="Q108" s="37"/>
      <c r="R108" s="37"/>
      <c r="S108" s="37"/>
      <c r="T108" s="37"/>
      <c r="U108" s="37"/>
      <c r="V108" s="37"/>
      <c r="W108" s="36">
        <f t="shared" si="31"/>
        <v>97219.4</v>
      </c>
      <c r="X108" s="39"/>
    </row>
    <row r="109" spans="1:24">
      <c r="A109" s="33" t="s">
        <v>423</v>
      </c>
      <c r="B109" s="56" t="s">
        <v>424</v>
      </c>
      <c r="C109" s="56"/>
      <c r="D109" s="47"/>
      <c r="E109" s="37">
        <v>3657</v>
      </c>
      <c r="F109" s="37">
        <v>6360</v>
      </c>
      <c r="G109" s="37">
        <v>8901.7999999999993</v>
      </c>
      <c r="H109" s="37">
        <v>7968</v>
      </c>
      <c r="I109" s="37">
        <v>3363</v>
      </c>
      <c r="J109" s="37">
        <v>3780</v>
      </c>
      <c r="K109" s="37">
        <v>2983.5</v>
      </c>
      <c r="L109" s="37">
        <v>716</v>
      </c>
      <c r="M109" s="37">
        <v>2640</v>
      </c>
      <c r="N109" s="37">
        <v>280</v>
      </c>
      <c r="O109" s="37"/>
      <c r="P109" s="37"/>
      <c r="Q109" s="37"/>
      <c r="R109" s="37"/>
      <c r="S109" s="37"/>
      <c r="T109" s="37"/>
      <c r="U109" s="37"/>
      <c r="V109" s="37"/>
      <c r="W109" s="36">
        <f t="shared" si="31"/>
        <v>40649.300000000003</v>
      </c>
      <c r="X109" s="39"/>
    </row>
  </sheetData>
  <protectedRanges>
    <protectedRange password="E9C1" sqref="B31:D109 A4:D12 W4:X109 B13:D28 A13:A109 A2:X3" name="区域1_1_2"/>
    <protectedRange password="E9C1" sqref="B29:C30" name="区域1_1_1_1"/>
    <protectedRange password="E9C1" sqref="D29" name="区域1_3"/>
    <protectedRange password="E9C1" sqref="D30" name="区域1_2_1"/>
  </protectedRanges>
  <mergeCells count="1">
    <mergeCell ref="A1:X1"/>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sqref="A1:XFD1048576"/>
    </sheetView>
  </sheetViews>
  <sheetFormatPr defaultRowHeight="13.5"/>
  <cols>
    <col min="1" max="1" width="5.375" style="181" customWidth="1"/>
    <col min="2" max="2" width="25.375" style="181" customWidth="1"/>
    <col min="3" max="3" width="20.625" style="181" customWidth="1"/>
    <col min="4" max="4" width="21.375" style="181" customWidth="1"/>
    <col min="5" max="5" width="21.5" style="181" customWidth="1"/>
    <col min="6" max="6" width="13.625" style="181" customWidth="1"/>
    <col min="7" max="7" width="7" style="181" customWidth="1"/>
    <col min="8" max="8" width="6.625" style="181" customWidth="1"/>
    <col min="9" max="9" width="9.25" style="181" customWidth="1"/>
    <col min="10" max="16384" width="9" style="181"/>
  </cols>
  <sheetData>
    <row r="1" spans="1:9" ht="39.950000000000003" customHeight="1">
      <c r="A1" s="1348" t="s">
        <v>574</v>
      </c>
      <c r="B1" s="1348"/>
      <c r="C1" s="1348"/>
      <c r="D1" s="1348"/>
      <c r="E1" s="1348"/>
      <c r="F1" s="1348"/>
      <c r="G1" s="1348"/>
      <c r="H1" s="1348"/>
      <c r="I1" s="1348"/>
    </row>
    <row r="2" spans="1:9" s="216" customFormat="1" ht="35.1" customHeight="1">
      <c r="A2" s="212" t="s">
        <v>0</v>
      </c>
      <c r="B2" s="213" t="s">
        <v>129</v>
      </c>
      <c r="C2" s="214" t="s">
        <v>180</v>
      </c>
      <c r="D2" s="214" t="s">
        <v>575</v>
      </c>
      <c r="E2" s="215" t="s">
        <v>576</v>
      </c>
      <c r="F2" s="214" t="s">
        <v>577</v>
      </c>
      <c r="G2" s="214" t="s">
        <v>578</v>
      </c>
      <c r="H2" s="214" t="s">
        <v>579</v>
      </c>
      <c r="I2" s="214" t="s">
        <v>580</v>
      </c>
    </row>
    <row r="3" spans="1:9" s="222" customFormat="1" ht="35.1" customHeight="1">
      <c r="A3" s="217">
        <v>1</v>
      </c>
      <c r="B3" s="218" t="s">
        <v>459</v>
      </c>
      <c r="C3" s="219" t="s">
        <v>581</v>
      </c>
      <c r="D3" s="219" t="s">
        <v>581</v>
      </c>
      <c r="E3" s="219" t="s">
        <v>581</v>
      </c>
      <c r="F3" s="220" t="s">
        <v>582</v>
      </c>
      <c r="G3" s="219">
        <v>1</v>
      </c>
      <c r="H3" s="219">
        <v>299880</v>
      </c>
      <c r="I3" s="221">
        <v>299800</v>
      </c>
    </row>
    <row r="4" spans="1:9" s="222" customFormat="1" ht="35.1" customHeight="1">
      <c r="A4" s="217">
        <v>2</v>
      </c>
      <c r="B4" s="218" t="s">
        <v>460</v>
      </c>
      <c r="C4" s="219" t="s">
        <v>583</v>
      </c>
      <c r="D4" s="219" t="s">
        <v>583</v>
      </c>
      <c r="E4" s="219" t="s">
        <v>583</v>
      </c>
      <c r="F4" s="220" t="s">
        <v>582</v>
      </c>
      <c r="G4" s="219">
        <v>1</v>
      </c>
      <c r="H4" s="219">
        <v>299300</v>
      </c>
      <c r="I4" s="221">
        <v>299300</v>
      </c>
    </row>
    <row r="5" spans="1:9" s="222" customFormat="1" ht="35.1" customHeight="1">
      <c r="A5" s="217">
        <v>3</v>
      </c>
      <c r="B5" s="223" t="s">
        <v>584</v>
      </c>
      <c r="C5" s="224" t="s">
        <v>585</v>
      </c>
      <c r="D5" s="224" t="s">
        <v>585</v>
      </c>
      <c r="E5" s="224" t="s">
        <v>585</v>
      </c>
      <c r="F5" s="225" t="s">
        <v>582</v>
      </c>
      <c r="G5" s="219">
        <v>1</v>
      </c>
      <c r="H5" s="219">
        <v>682260</v>
      </c>
      <c r="I5" s="221">
        <v>682260</v>
      </c>
    </row>
    <row r="6" spans="1:9" s="222" customFormat="1" ht="35.1" customHeight="1">
      <c r="A6" s="226"/>
      <c r="B6" s="227"/>
      <c r="C6" s="228" t="s">
        <v>586</v>
      </c>
      <c r="D6" s="228"/>
      <c r="E6" s="228"/>
      <c r="F6" s="229"/>
      <c r="G6" s="230"/>
      <c r="H6" s="230"/>
      <c r="I6" s="231">
        <v>1281360</v>
      </c>
    </row>
    <row r="7" spans="1:9" s="222" customFormat="1" ht="35.1" customHeight="1">
      <c r="A7" s="217">
        <v>4</v>
      </c>
      <c r="B7" s="218" t="s">
        <v>587</v>
      </c>
      <c r="C7" s="219" t="s">
        <v>588</v>
      </c>
      <c r="D7" s="219" t="s">
        <v>588</v>
      </c>
      <c r="E7" s="219" t="s">
        <v>588</v>
      </c>
      <c r="F7" s="220" t="s">
        <v>582</v>
      </c>
      <c r="G7" s="219">
        <v>1</v>
      </c>
      <c r="H7" s="219">
        <v>304208</v>
      </c>
      <c r="I7" s="221">
        <v>304208</v>
      </c>
    </row>
    <row r="8" spans="1:9" s="222" customFormat="1" ht="35.1" customHeight="1">
      <c r="A8" s="226"/>
      <c r="B8" s="232"/>
      <c r="C8" s="230" t="s">
        <v>589</v>
      </c>
      <c r="D8" s="230"/>
      <c r="E8" s="230"/>
      <c r="F8" s="233"/>
      <c r="G8" s="230"/>
      <c r="H8" s="230"/>
      <c r="I8" s="231">
        <v>304208</v>
      </c>
    </row>
    <row r="9" spans="1:9" s="222" customFormat="1" ht="35.1" customHeight="1">
      <c r="A9" s="217">
        <v>5</v>
      </c>
      <c r="B9" s="218" t="s">
        <v>590</v>
      </c>
      <c r="C9" s="219" t="s">
        <v>591</v>
      </c>
      <c r="D9" s="219" t="s">
        <v>591</v>
      </c>
      <c r="E9" s="219" t="s">
        <v>591</v>
      </c>
      <c r="F9" s="220" t="s">
        <v>582</v>
      </c>
      <c r="G9" s="219">
        <v>1</v>
      </c>
      <c r="H9" s="219">
        <v>363320</v>
      </c>
      <c r="I9" s="234">
        <v>363320</v>
      </c>
    </row>
    <row r="10" spans="1:9" s="222" customFormat="1" ht="35.1" customHeight="1">
      <c r="A10" s="226"/>
      <c r="B10" s="232"/>
      <c r="C10" s="230" t="s">
        <v>592</v>
      </c>
      <c r="D10" s="230"/>
      <c r="E10" s="230"/>
      <c r="F10" s="233"/>
      <c r="G10" s="230"/>
      <c r="H10" s="230"/>
      <c r="I10" s="231">
        <v>363320</v>
      </c>
    </row>
    <row r="11" spans="1:9" s="222" customFormat="1" ht="35.1" customHeight="1">
      <c r="A11" s="217">
        <v>6</v>
      </c>
      <c r="B11" s="218" t="s">
        <v>435</v>
      </c>
      <c r="C11" s="219" t="s">
        <v>593</v>
      </c>
      <c r="D11" s="219" t="s">
        <v>593</v>
      </c>
      <c r="E11" s="219" t="s">
        <v>593</v>
      </c>
      <c r="F11" s="220" t="s">
        <v>582</v>
      </c>
      <c r="G11" s="219">
        <v>1</v>
      </c>
      <c r="H11" s="219">
        <v>361490</v>
      </c>
      <c r="I11" s="221">
        <v>361490</v>
      </c>
    </row>
    <row r="12" spans="1:9" s="222" customFormat="1" ht="35.1" customHeight="1">
      <c r="A12" s="226"/>
      <c r="B12" s="232"/>
      <c r="C12" s="230" t="s">
        <v>594</v>
      </c>
      <c r="D12" s="230"/>
      <c r="E12" s="230"/>
      <c r="F12" s="233"/>
      <c r="G12" s="230"/>
      <c r="H12" s="230"/>
      <c r="I12" s="231">
        <v>361490</v>
      </c>
    </row>
    <row r="13" spans="1:9" s="222" customFormat="1" ht="35.1" customHeight="1">
      <c r="A13" s="226"/>
      <c r="B13" s="235"/>
      <c r="C13" s="230" t="s">
        <v>595</v>
      </c>
      <c r="D13" s="230"/>
      <c r="E13" s="230"/>
      <c r="F13" s="229"/>
      <c r="G13" s="230"/>
      <c r="H13" s="230"/>
      <c r="I13" s="231">
        <v>2310378</v>
      </c>
    </row>
  </sheetData>
  <mergeCells count="1">
    <mergeCell ref="A1:I1"/>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0"/>
  <sheetViews>
    <sheetView workbookViewId="0">
      <selection activeCell="D4" sqref="D4"/>
    </sheetView>
  </sheetViews>
  <sheetFormatPr defaultRowHeight="13.5"/>
  <cols>
    <col min="1" max="1" width="5" style="181" customWidth="1"/>
    <col min="2" max="2" width="24.125" style="181" customWidth="1"/>
    <col min="3" max="3" width="15.125" style="181" customWidth="1"/>
    <col min="4" max="4" width="23.375" style="181" customWidth="1"/>
    <col min="5" max="5" width="28.5" style="181" customWidth="1"/>
    <col min="6" max="7" width="8.125" style="181" customWidth="1"/>
    <col min="8" max="8" width="10.125" style="181" customWidth="1"/>
    <col min="9" max="16384" width="9" style="181"/>
  </cols>
  <sheetData>
    <row r="1" spans="1:8" ht="22.5">
      <c r="A1" s="1349" t="s">
        <v>1821</v>
      </c>
      <c r="B1" s="1350"/>
      <c r="C1" s="1349"/>
      <c r="D1" s="1349"/>
      <c r="E1" s="1349"/>
      <c r="F1" s="1349"/>
      <c r="G1" s="1351"/>
      <c r="H1" s="1349"/>
    </row>
    <row r="2" spans="1:8" ht="20.100000000000001" customHeight="1">
      <c r="A2" s="184" t="s">
        <v>0</v>
      </c>
      <c r="B2" s="185" t="s">
        <v>596</v>
      </c>
      <c r="C2" s="186" t="s">
        <v>180</v>
      </c>
      <c r="D2" s="186" t="s">
        <v>575</v>
      </c>
      <c r="E2" s="186" t="s">
        <v>576</v>
      </c>
      <c r="F2" s="185" t="s">
        <v>578</v>
      </c>
      <c r="G2" s="185" t="s">
        <v>579</v>
      </c>
      <c r="H2" s="185" t="s">
        <v>580</v>
      </c>
    </row>
    <row r="3" spans="1:8" ht="20.100000000000001" customHeight="1">
      <c r="A3" s="187">
        <v>1</v>
      </c>
      <c r="B3" s="188" t="s">
        <v>434</v>
      </c>
      <c r="C3" s="189" t="s">
        <v>597</v>
      </c>
      <c r="D3" s="190" t="s">
        <v>598</v>
      </c>
      <c r="E3" s="189" t="s">
        <v>599</v>
      </c>
      <c r="F3" s="191">
        <v>1</v>
      </c>
      <c r="G3" s="192">
        <v>150000</v>
      </c>
      <c r="H3" s="192">
        <v>150000</v>
      </c>
    </row>
    <row r="4" spans="1:8" ht="20.100000000000001" customHeight="1">
      <c r="A4" s="187">
        <v>2</v>
      </c>
      <c r="B4" s="188" t="s">
        <v>434</v>
      </c>
      <c r="C4" s="189" t="s">
        <v>600</v>
      </c>
      <c r="D4" s="190" t="s">
        <v>601</v>
      </c>
      <c r="E4" s="190" t="s">
        <v>602</v>
      </c>
      <c r="F4" s="191">
        <v>1</v>
      </c>
      <c r="G4" s="192">
        <v>100000</v>
      </c>
      <c r="H4" s="192">
        <v>100000</v>
      </c>
    </row>
    <row r="5" spans="1:8" ht="20.100000000000001" customHeight="1">
      <c r="A5" s="187">
        <v>3</v>
      </c>
      <c r="B5" s="188" t="s">
        <v>435</v>
      </c>
      <c r="C5" s="189" t="s">
        <v>603</v>
      </c>
      <c r="D5" s="189" t="s">
        <v>604</v>
      </c>
      <c r="E5" s="189" t="s">
        <v>605</v>
      </c>
      <c r="F5" s="191">
        <v>1</v>
      </c>
      <c r="G5" s="192">
        <v>100000</v>
      </c>
      <c r="H5" s="192">
        <v>100000</v>
      </c>
    </row>
    <row r="6" spans="1:8" ht="20.100000000000001" customHeight="1">
      <c r="A6" s="187">
        <v>4</v>
      </c>
      <c r="B6" s="188" t="s">
        <v>435</v>
      </c>
      <c r="C6" s="189" t="s">
        <v>597</v>
      </c>
      <c r="D6" s="189" t="s">
        <v>606</v>
      </c>
      <c r="E6" s="189" t="s">
        <v>607</v>
      </c>
      <c r="F6" s="191">
        <v>1</v>
      </c>
      <c r="G6" s="192">
        <v>200000</v>
      </c>
      <c r="H6" s="192">
        <v>200000</v>
      </c>
    </row>
    <row r="7" spans="1:8" ht="20.100000000000001" customHeight="1">
      <c r="A7" s="193">
        <v>5</v>
      </c>
      <c r="B7" s="194" t="s">
        <v>608</v>
      </c>
      <c r="C7" s="195" t="s">
        <v>600</v>
      </c>
      <c r="D7" s="195" t="s">
        <v>609</v>
      </c>
      <c r="E7" s="195" t="s">
        <v>610</v>
      </c>
      <c r="F7" s="196">
        <v>1</v>
      </c>
      <c r="G7" s="197">
        <v>120000</v>
      </c>
      <c r="H7" s="197">
        <v>120000</v>
      </c>
    </row>
    <row r="8" spans="1:8" ht="20.100000000000001" customHeight="1">
      <c r="A8" s="187">
        <v>6</v>
      </c>
      <c r="B8" s="188" t="s">
        <v>608</v>
      </c>
      <c r="C8" s="189" t="s">
        <v>603</v>
      </c>
      <c r="D8" s="189" t="s">
        <v>611</v>
      </c>
      <c r="E8" s="189" t="s">
        <v>612</v>
      </c>
      <c r="F8" s="191">
        <v>1</v>
      </c>
      <c r="G8" s="192">
        <v>100000</v>
      </c>
      <c r="H8" s="192">
        <v>100000</v>
      </c>
    </row>
    <row r="9" spans="1:8" ht="20.100000000000001" customHeight="1">
      <c r="A9" s="187">
        <v>7</v>
      </c>
      <c r="B9" s="188" t="s">
        <v>608</v>
      </c>
      <c r="C9" s="189" t="s">
        <v>597</v>
      </c>
      <c r="D9" s="189" t="s">
        <v>613</v>
      </c>
      <c r="E9" s="189" t="s">
        <v>614</v>
      </c>
      <c r="F9" s="191">
        <v>1</v>
      </c>
      <c r="G9" s="192">
        <v>116800</v>
      </c>
      <c r="H9" s="192">
        <v>116800</v>
      </c>
    </row>
    <row r="10" spans="1:8" ht="20.100000000000001" customHeight="1">
      <c r="A10" s="198"/>
      <c r="B10" s="199" t="s">
        <v>615</v>
      </c>
      <c r="C10" s="200"/>
      <c r="D10" s="200"/>
      <c r="E10" s="200"/>
      <c r="F10" s="201"/>
      <c r="G10" s="200"/>
      <c r="H10" s="200">
        <f>SUM(H3:H9)</f>
        <v>886800</v>
      </c>
    </row>
    <row r="11" spans="1:8" ht="20.100000000000001" customHeight="1">
      <c r="A11" s="187">
        <v>1</v>
      </c>
      <c r="B11" s="188" t="s">
        <v>616</v>
      </c>
      <c r="C11" s="189" t="s">
        <v>597</v>
      </c>
      <c r="D11" s="189" t="s">
        <v>617</v>
      </c>
      <c r="E11" s="189" t="s">
        <v>618</v>
      </c>
      <c r="F11" s="191">
        <v>1</v>
      </c>
      <c r="G11" s="192">
        <v>61600</v>
      </c>
      <c r="H11" s="192">
        <v>61600</v>
      </c>
    </row>
    <row r="12" spans="1:8" ht="20.100000000000001" customHeight="1">
      <c r="A12" s="1352">
        <v>2</v>
      </c>
      <c r="B12" s="1354" t="s">
        <v>619</v>
      </c>
      <c r="C12" s="1354" t="s">
        <v>597</v>
      </c>
      <c r="D12" s="1356" t="s">
        <v>620</v>
      </c>
      <c r="E12" s="189" t="s">
        <v>621</v>
      </c>
      <c r="F12" s="191">
        <v>120</v>
      </c>
      <c r="G12" s="192">
        <v>480</v>
      </c>
      <c r="H12" s="192">
        <v>57600</v>
      </c>
    </row>
    <row r="13" spans="1:8" ht="20.100000000000001" customHeight="1">
      <c r="A13" s="1353">
        <v>3</v>
      </c>
      <c r="B13" s="1355"/>
      <c r="C13" s="1355" t="s">
        <v>597</v>
      </c>
      <c r="D13" s="1357"/>
      <c r="E13" s="195" t="s">
        <v>622</v>
      </c>
      <c r="F13" s="196">
        <v>8</v>
      </c>
      <c r="G13" s="197">
        <v>4300</v>
      </c>
      <c r="H13" s="197">
        <v>34400</v>
      </c>
    </row>
    <row r="14" spans="1:8" ht="20.100000000000001" customHeight="1">
      <c r="A14" s="1353">
        <v>4</v>
      </c>
      <c r="B14" s="1355"/>
      <c r="C14" s="1355" t="s">
        <v>597</v>
      </c>
      <c r="D14" s="1357"/>
      <c r="E14" s="195" t="s">
        <v>623</v>
      </c>
      <c r="F14" s="196">
        <v>3</v>
      </c>
      <c r="G14" s="197">
        <v>16000</v>
      </c>
      <c r="H14" s="197">
        <v>48000</v>
      </c>
    </row>
    <row r="15" spans="1:8" ht="20.100000000000001" customHeight="1">
      <c r="A15" s="202">
        <v>3</v>
      </c>
      <c r="B15" s="203" t="s">
        <v>619</v>
      </c>
      <c r="C15" s="204" t="s">
        <v>624</v>
      </c>
      <c r="D15" s="204" t="s">
        <v>624</v>
      </c>
      <c r="E15" s="204" t="s">
        <v>624</v>
      </c>
      <c r="F15" s="205" t="s">
        <v>183</v>
      </c>
      <c r="G15" s="206" t="s">
        <v>625</v>
      </c>
      <c r="H15" s="206">
        <v>100000</v>
      </c>
    </row>
    <row r="16" spans="1:8" ht="20.100000000000001" customHeight="1">
      <c r="A16" s="202">
        <v>4</v>
      </c>
      <c r="B16" s="203" t="s">
        <v>619</v>
      </c>
      <c r="C16" s="204" t="s">
        <v>626</v>
      </c>
      <c r="D16" s="204" t="s">
        <v>626</v>
      </c>
      <c r="E16" s="204" t="s">
        <v>626</v>
      </c>
      <c r="F16" s="205" t="s">
        <v>183</v>
      </c>
      <c r="G16" s="206" t="s">
        <v>627</v>
      </c>
      <c r="H16" s="206">
        <v>50000</v>
      </c>
    </row>
    <row r="17" spans="1:8" ht="20.100000000000001" customHeight="1">
      <c r="A17" s="1352">
        <v>5</v>
      </c>
      <c r="B17" s="1354" t="s">
        <v>628</v>
      </c>
      <c r="C17" s="1354" t="s">
        <v>597</v>
      </c>
      <c r="D17" s="1354" t="s">
        <v>629</v>
      </c>
      <c r="E17" s="189" t="s">
        <v>630</v>
      </c>
      <c r="F17" s="191">
        <v>2</v>
      </c>
      <c r="G17" s="192">
        <v>22000</v>
      </c>
      <c r="H17" s="192">
        <v>44000</v>
      </c>
    </row>
    <row r="18" spans="1:8" ht="20.100000000000001" customHeight="1">
      <c r="A18" s="1353">
        <v>6</v>
      </c>
      <c r="B18" s="1355"/>
      <c r="C18" s="1355" t="s">
        <v>597</v>
      </c>
      <c r="D18" s="1355" t="s">
        <v>629</v>
      </c>
      <c r="E18" s="189" t="s">
        <v>631</v>
      </c>
      <c r="F18" s="191">
        <v>2</v>
      </c>
      <c r="G18" s="192">
        <v>18000</v>
      </c>
      <c r="H18" s="192">
        <v>36000</v>
      </c>
    </row>
    <row r="19" spans="1:8" ht="20.100000000000001" customHeight="1">
      <c r="A19" s="187">
        <v>6</v>
      </c>
      <c r="B19" s="188" t="s">
        <v>632</v>
      </c>
      <c r="C19" s="189" t="s">
        <v>597</v>
      </c>
      <c r="D19" s="189" t="s">
        <v>633</v>
      </c>
      <c r="E19" s="189" t="s">
        <v>634</v>
      </c>
      <c r="F19" s="191">
        <v>1</v>
      </c>
      <c r="G19" s="192">
        <v>125000</v>
      </c>
      <c r="H19" s="192">
        <v>125000</v>
      </c>
    </row>
    <row r="20" spans="1:8" ht="20.100000000000001" customHeight="1">
      <c r="A20" s="187">
        <v>7</v>
      </c>
      <c r="B20" s="188" t="s">
        <v>635</v>
      </c>
      <c r="C20" s="189" t="s">
        <v>597</v>
      </c>
      <c r="D20" s="189" t="s">
        <v>636</v>
      </c>
      <c r="E20" s="189" t="s">
        <v>637</v>
      </c>
      <c r="F20" s="191">
        <v>225</v>
      </c>
      <c r="G20" s="192">
        <v>400</v>
      </c>
      <c r="H20" s="192">
        <v>90000</v>
      </c>
    </row>
    <row r="21" spans="1:8" ht="20.100000000000001" customHeight="1">
      <c r="A21" s="1352">
        <v>8</v>
      </c>
      <c r="B21" s="1354" t="s">
        <v>638</v>
      </c>
      <c r="C21" s="1354" t="s">
        <v>597</v>
      </c>
      <c r="D21" s="1356" t="s">
        <v>639</v>
      </c>
      <c r="E21" s="189" t="s">
        <v>640</v>
      </c>
      <c r="F21" s="188">
        <v>3</v>
      </c>
      <c r="G21" s="192">
        <v>10000</v>
      </c>
      <c r="H21" s="192">
        <v>30000</v>
      </c>
    </row>
    <row r="22" spans="1:8" ht="20.100000000000001" customHeight="1">
      <c r="A22" s="1353">
        <v>19</v>
      </c>
      <c r="B22" s="1355"/>
      <c r="C22" s="1355" t="s">
        <v>597</v>
      </c>
      <c r="D22" s="1355" t="s">
        <v>641</v>
      </c>
      <c r="E22" s="189" t="s">
        <v>642</v>
      </c>
      <c r="F22" s="188">
        <v>3</v>
      </c>
      <c r="G22" s="192">
        <v>5000</v>
      </c>
      <c r="H22" s="192">
        <v>15000</v>
      </c>
    </row>
    <row r="23" spans="1:8" ht="20.100000000000001" customHeight="1">
      <c r="A23" s="1353">
        <v>20</v>
      </c>
      <c r="B23" s="1355"/>
      <c r="C23" s="1355" t="s">
        <v>597</v>
      </c>
      <c r="D23" s="1355" t="s">
        <v>641</v>
      </c>
      <c r="E23" s="189" t="s">
        <v>643</v>
      </c>
      <c r="F23" s="188">
        <v>10</v>
      </c>
      <c r="G23" s="192">
        <v>500</v>
      </c>
      <c r="H23" s="192">
        <v>5000</v>
      </c>
    </row>
    <row r="24" spans="1:8" ht="20.100000000000001" customHeight="1">
      <c r="A24" s="1353">
        <v>21</v>
      </c>
      <c r="B24" s="1355"/>
      <c r="C24" s="1355" t="s">
        <v>597</v>
      </c>
      <c r="D24" s="1355" t="s">
        <v>641</v>
      </c>
      <c r="E24" s="189" t="s">
        <v>644</v>
      </c>
      <c r="F24" s="188">
        <v>4</v>
      </c>
      <c r="G24" s="192">
        <v>5000</v>
      </c>
      <c r="H24" s="192">
        <v>20000</v>
      </c>
    </row>
    <row r="25" spans="1:8" ht="20.100000000000001" customHeight="1">
      <c r="A25" s="1353">
        <v>22</v>
      </c>
      <c r="B25" s="1355"/>
      <c r="C25" s="1355" t="s">
        <v>597</v>
      </c>
      <c r="D25" s="1355" t="s">
        <v>641</v>
      </c>
      <c r="E25" s="189" t="s">
        <v>645</v>
      </c>
      <c r="F25" s="188">
        <v>2</v>
      </c>
      <c r="G25" s="192">
        <v>3000</v>
      </c>
      <c r="H25" s="192">
        <v>6000</v>
      </c>
    </row>
    <row r="26" spans="1:8" ht="20.100000000000001" customHeight="1">
      <c r="A26" s="1353">
        <v>23</v>
      </c>
      <c r="B26" s="1355"/>
      <c r="C26" s="1355" t="s">
        <v>597</v>
      </c>
      <c r="D26" s="1355" t="s">
        <v>641</v>
      </c>
      <c r="E26" s="189" t="s">
        <v>646</v>
      </c>
      <c r="F26" s="188">
        <v>3</v>
      </c>
      <c r="G26" s="192">
        <v>12500</v>
      </c>
      <c r="H26" s="192">
        <v>37500</v>
      </c>
    </row>
    <row r="27" spans="1:8" ht="20.100000000000001" customHeight="1">
      <c r="A27" s="1352">
        <v>9</v>
      </c>
      <c r="B27" s="1354" t="s">
        <v>647</v>
      </c>
      <c r="C27" s="1354" t="s">
        <v>603</v>
      </c>
      <c r="D27" s="189" t="s">
        <v>648</v>
      </c>
      <c r="E27" s="189" t="s">
        <v>649</v>
      </c>
      <c r="F27" s="191">
        <v>1</v>
      </c>
      <c r="G27" s="192">
        <v>18000</v>
      </c>
      <c r="H27" s="192">
        <v>18000</v>
      </c>
    </row>
    <row r="28" spans="1:8" ht="20.100000000000001" customHeight="1">
      <c r="A28" s="1353">
        <v>29</v>
      </c>
      <c r="B28" s="1355"/>
      <c r="C28" s="1355" t="s">
        <v>603</v>
      </c>
      <c r="D28" s="189" t="s">
        <v>650</v>
      </c>
      <c r="E28" s="189" t="s">
        <v>651</v>
      </c>
      <c r="F28" s="191">
        <v>1</v>
      </c>
      <c r="G28" s="192">
        <v>8000</v>
      </c>
      <c r="H28" s="192">
        <v>8000</v>
      </c>
    </row>
    <row r="29" spans="1:8" ht="20.100000000000001" customHeight="1">
      <c r="A29" s="1353">
        <v>30</v>
      </c>
      <c r="B29" s="1355"/>
      <c r="C29" s="1355" t="s">
        <v>603</v>
      </c>
      <c r="D29" s="189" t="s">
        <v>652</v>
      </c>
      <c r="E29" s="189" t="s">
        <v>653</v>
      </c>
      <c r="F29" s="191">
        <v>4</v>
      </c>
      <c r="G29" s="192">
        <v>2000</v>
      </c>
      <c r="H29" s="192">
        <v>8000</v>
      </c>
    </row>
    <row r="30" spans="1:8" ht="20.100000000000001" customHeight="1">
      <c r="A30" s="1353">
        <v>31</v>
      </c>
      <c r="B30" s="1355"/>
      <c r="C30" s="1355" t="s">
        <v>603</v>
      </c>
      <c r="D30" s="189" t="s">
        <v>654</v>
      </c>
      <c r="E30" s="189" t="s">
        <v>655</v>
      </c>
      <c r="F30" s="191">
        <v>4</v>
      </c>
      <c r="G30" s="192">
        <v>4000</v>
      </c>
      <c r="H30" s="192">
        <v>16000</v>
      </c>
    </row>
    <row r="31" spans="1:8" ht="20.100000000000001" customHeight="1">
      <c r="A31" s="202">
        <v>10</v>
      </c>
      <c r="B31" s="203" t="s">
        <v>656</v>
      </c>
      <c r="C31" s="203" t="s">
        <v>657</v>
      </c>
      <c r="D31" s="204" t="s">
        <v>657</v>
      </c>
      <c r="E31" s="204" t="s">
        <v>657</v>
      </c>
      <c r="F31" s="205" t="s">
        <v>183</v>
      </c>
      <c r="G31" s="206" t="s">
        <v>625</v>
      </c>
      <c r="H31" s="206">
        <v>100000</v>
      </c>
    </row>
    <row r="32" spans="1:8" ht="20.100000000000001" customHeight="1">
      <c r="A32" s="207"/>
      <c r="B32" s="201" t="s">
        <v>658</v>
      </c>
      <c r="C32" s="200"/>
      <c r="D32" s="200"/>
      <c r="E32" s="200"/>
      <c r="F32" s="201"/>
      <c r="G32" s="200"/>
      <c r="H32" s="200">
        <f>SUM(H11:H31)</f>
        <v>910100</v>
      </c>
    </row>
    <row r="33" spans="1:8" ht="20.100000000000001" customHeight="1">
      <c r="A33" s="202">
        <v>1</v>
      </c>
      <c r="B33" s="203" t="s">
        <v>659</v>
      </c>
      <c r="C33" s="203" t="s">
        <v>660</v>
      </c>
      <c r="D33" s="203" t="s">
        <v>660</v>
      </c>
      <c r="E33" s="203" t="s">
        <v>660</v>
      </c>
      <c r="F33" s="205" t="s">
        <v>183</v>
      </c>
      <c r="G33" s="206" t="s">
        <v>627</v>
      </c>
      <c r="H33" s="206">
        <v>50000</v>
      </c>
    </row>
    <row r="34" spans="1:8" ht="20.100000000000001" customHeight="1">
      <c r="A34" s="1352">
        <v>2</v>
      </c>
      <c r="B34" s="1354" t="s">
        <v>661</v>
      </c>
      <c r="C34" s="1354" t="s">
        <v>603</v>
      </c>
      <c r="D34" s="1354" t="s">
        <v>662</v>
      </c>
      <c r="E34" s="188" t="s">
        <v>663</v>
      </c>
      <c r="F34" s="208">
        <v>16</v>
      </c>
      <c r="G34" s="209">
        <v>3100</v>
      </c>
      <c r="H34" s="209">
        <v>49600</v>
      </c>
    </row>
    <row r="35" spans="1:8" ht="20.100000000000001" customHeight="1">
      <c r="A35" s="1353">
        <v>41</v>
      </c>
      <c r="B35" s="1355"/>
      <c r="C35" s="1355" t="s">
        <v>603</v>
      </c>
      <c r="D35" s="1355" t="s">
        <v>662</v>
      </c>
      <c r="E35" s="188" t="s">
        <v>664</v>
      </c>
      <c r="F35" s="208">
        <v>10</v>
      </c>
      <c r="G35" s="209">
        <v>4500</v>
      </c>
      <c r="H35" s="209">
        <v>45000</v>
      </c>
    </row>
    <row r="36" spans="1:8" ht="20.100000000000001" customHeight="1">
      <c r="A36" s="1353">
        <v>42</v>
      </c>
      <c r="B36" s="1355"/>
      <c r="C36" s="1355" t="s">
        <v>603</v>
      </c>
      <c r="D36" s="1355" t="s">
        <v>662</v>
      </c>
      <c r="E36" s="188" t="s">
        <v>665</v>
      </c>
      <c r="F36" s="208">
        <v>10</v>
      </c>
      <c r="G36" s="209">
        <v>4500</v>
      </c>
      <c r="H36" s="209">
        <v>45000</v>
      </c>
    </row>
    <row r="37" spans="1:8" ht="20.100000000000001" customHeight="1">
      <c r="A37" s="1353">
        <v>43</v>
      </c>
      <c r="B37" s="1355"/>
      <c r="C37" s="1355" t="s">
        <v>603</v>
      </c>
      <c r="D37" s="1355" t="s">
        <v>662</v>
      </c>
      <c r="E37" s="188" t="s">
        <v>666</v>
      </c>
      <c r="F37" s="208">
        <v>2</v>
      </c>
      <c r="G37" s="209">
        <v>30000</v>
      </c>
      <c r="H37" s="209">
        <v>60000</v>
      </c>
    </row>
    <row r="38" spans="1:8" ht="20.100000000000001" customHeight="1">
      <c r="A38" s="1352">
        <v>3</v>
      </c>
      <c r="B38" s="1354" t="s">
        <v>661</v>
      </c>
      <c r="C38" s="1354" t="s">
        <v>600</v>
      </c>
      <c r="D38" s="1356" t="s">
        <v>667</v>
      </c>
      <c r="E38" s="189" t="s">
        <v>668</v>
      </c>
      <c r="F38" s="191">
        <v>1</v>
      </c>
      <c r="G38" s="192">
        <v>150000</v>
      </c>
      <c r="H38" s="192">
        <v>150000</v>
      </c>
    </row>
    <row r="39" spans="1:8" ht="20.100000000000001" customHeight="1">
      <c r="A39" s="1353">
        <v>45</v>
      </c>
      <c r="B39" s="1355"/>
      <c r="C39" s="1355" t="s">
        <v>600</v>
      </c>
      <c r="D39" s="1355"/>
      <c r="E39" s="189" t="s">
        <v>669</v>
      </c>
      <c r="F39" s="191">
        <v>1</v>
      </c>
      <c r="G39" s="192">
        <v>150000</v>
      </c>
      <c r="H39" s="192">
        <v>150000</v>
      </c>
    </row>
    <row r="40" spans="1:8" ht="20.100000000000001" customHeight="1">
      <c r="A40" s="1353">
        <v>46</v>
      </c>
      <c r="B40" s="1355"/>
      <c r="C40" s="1355" t="s">
        <v>600</v>
      </c>
      <c r="D40" s="1355"/>
      <c r="E40" s="189" t="s">
        <v>670</v>
      </c>
      <c r="F40" s="191">
        <v>1</v>
      </c>
      <c r="G40" s="192">
        <v>150000</v>
      </c>
      <c r="H40" s="192">
        <v>150000</v>
      </c>
    </row>
    <row r="41" spans="1:8" ht="20.100000000000001" customHeight="1">
      <c r="A41" s="1353">
        <v>47</v>
      </c>
      <c r="B41" s="1355"/>
      <c r="C41" s="1355" t="s">
        <v>600</v>
      </c>
      <c r="D41" s="1355"/>
      <c r="E41" s="189" t="s">
        <v>671</v>
      </c>
      <c r="F41" s="191">
        <v>1</v>
      </c>
      <c r="G41" s="192">
        <v>150000</v>
      </c>
      <c r="H41" s="192">
        <v>150000</v>
      </c>
    </row>
    <row r="42" spans="1:8" ht="20.100000000000001" customHeight="1">
      <c r="A42" s="1352">
        <v>4</v>
      </c>
      <c r="B42" s="1354" t="s">
        <v>661</v>
      </c>
      <c r="C42" s="1354" t="s">
        <v>597</v>
      </c>
      <c r="D42" s="1356" t="s">
        <v>667</v>
      </c>
      <c r="E42" s="189" t="s">
        <v>672</v>
      </c>
      <c r="F42" s="191">
        <v>1</v>
      </c>
      <c r="G42" s="192">
        <v>150000</v>
      </c>
      <c r="H42" s="192">
        <v>150000</v>
      </c>
    </row>
    <row r="43" spans="1:8" ht="20.100000000000001" customHeight="1">
      <c r="A43" s="1353">
        <v>49</v>
      </c>
      <c r="B43" s="1355"/>
      <c r="C43" s="1355" t="s">
        <v>597</v>
      </c>
      <c r="D43" s="1355" t="s">
        <v>673</v>
      </c>
      <c r="E43" s="189" t="s">
        <v>674</v>
      </c>
      <c r="F43" s="191">
        <v>1</v>
      </c>
      <c r="G43" s="192">
        <v>150000</v>
      </c>
      <c r="H43" s="192">
        <v>150000</v>
      </c>
    </row>
    <row r="44" spans="1:8" ht="20.100000000000001" customHeight="1">
      <c r="A44" s="1353">
        <v>50</v>
      </c>
      <c r="B44" s="1355"/>
      <c r="C44" s="1355" t="s">
        <v>597</v>
      </c>
      <c r="D44" s="1355" t="s">
        <v>673</v>
      </c>
      <c r="E44" s="189" t="s">
        <v>675</v>
      </c>
      <c r="F44" s="191">
        <v>1</v>
      </c>
      <c r="G44" s="192">
        <v>190000</v>
      </c>
      <c r="H44" s="192">
        <v>190000</v>
      </c>
    </row>
    <row r="45" spans="1:8" ht="20.100000000000001" customHeight="1">
      <c r="A45" s="207"/>
      <c r="B45" s="201" t="s">
        <v>676</v>
      </c>
      <c r="C45" s="200"/>
      <c r="D45" s="200"/>
      <c r="E45" s="200"/>
      <c r="F45" s="201"/>
      <c r="G45" s="200"/>
      <c r="H45" s="200">
        <f>SUM(H33:H44)</f>
        <v>1339600</v>
      </c>
    </row>
    <row r="46" spans="1:8" ht="20.100000000000001" customHeight="1">
      <c r="A46" s="187">
        <v>1</v>
      </c>
      <c r="B46" s="188" t="s">
        <v>677</v>
      </c>
      <c r="C46" s="188" t="s">
        <v>597</v>
      </c>
      <c r="D46" s="188" t="s">
        <v>678</v>
      </c>
      <c r="E46" s="188" t="s">
        <v>679</v>
      </c>
      <c r="F46" s="191">
        <v>1</v>
      </c>
      <c r="G46" s="192">
        <v>87200</v>
      </c>
      <c r="H46" s="210">
        <v>87200</v>
      </c>
    </row>
    <row r="47" spans="1:8" ht="20.100000000000001" customHeight="1">
      <c r="A47" s="187">
        <v>2</v>
      </c>
      <c r="B47" s="188" t="s">
        <v>680</v>
      </c>
      <c r="C47" s="189" t="s">
        <v>597</v>
      </c>
      <c r="D47" s="189" t="s">
        <v>681</v>
      </c>
      <c r="E47" s="189" t="s">
        <v>682</v>
      </c>
      <c r="F47" s="191">
        <v>1</v>
      </c>
      <c r="G47" s="192">
        <v>100000</v>
      </c>
      <c r="H47" s="192">
        <v>100000</v>
      </c>
    </row>
    <row r="48" spans="1:8" ht="20.100000000000001" customHeight="1">
      <c r="A48" s="187">
        <v>3</v>
      </c>
      <c r="B48" s="188" t="s">
        <v>683</v>
      </c>
      <c r="C48" s="189" t="s">
        <v>597</v>
      </c>
      <c r="D48" s="189" t="s">
        <v>684</v>
      </c>
      <c r="E48" s="189" t="s">
        <v>685</v>
      </c>
      <c r="F48" s="191">
        <v>1</v>
      </c>
      <c r="G48" s="192">
        <v>196400</v>
      </c>
      <c r="H48" s="192">
        <v>196400</v>
      </c>
    </row>
    <row r="49" spans="1:9" ht="20.100000000000001" customHeight="1">
      <c r="A49" s="187">
        <v>4</v>
      </c>
      <c r="B49" s="188" t="s">
        <v>683</v>
      </c>
      <c r="C49" s="189" t="s">
        <v>686</v>
      </c>
      <c r="D49" s="189" t="s">
        <v>687</v>
      </c>
      <c r="E49" s="189" t="s">
        <v>687</v>
      </c>
      <c r="F49" s="191">
        <v>1</v>
      </c>
      <c r="G49" s="192">
        <v>0</v>
      </c>
      <c r="H49" s="192">
        <v>0</v>
      </c>
      <c r="I49" s="181" t="s">
        <v>1083</v>
      </c>
    </row>
    <row r="50" spans="1:9" ht="20.100000000000001" customHeight="1">
      <c r="A50" s="187">
        <v>5</v>
      </c>
      <c r="B50" s="188" t="s">
        <v>688</v>
      </c>
      <c r="C50" s="189" t="s">
        <v>597</v>
      </c>
      <c r="D50" s="189" t="s">
        <v>689</v>
      </c>
      <c r="E50" s="189" t="s">
        <v>690</v>
      </c>
      <c r="F50" s="191">
        <v>1</v>
      </c>
      <c r="G50" s="192">
        <v>200000</v>
      </c>
      <c r="H50" s="192">
        <v>200000</v>
      </c>
    </row>
    <row r="51" spans="1:9" ht="20.100000000000001" customHeight="1">
      <c r="A51" s="187">
        <v>6</v>
      </c>
      <c r="B51" s="211" t="s">
        <v>691</v>
      </c>
      <c r="C51" s="189" t="s">
        <v>597</v>
      </c>
      <c r="D51" s="189" t="s">
        <v>692</v>
      </c>
      <c r="E51" s="189" t="s">
        <v>693</v>
      </c>
      <c r="F51" s="191">
        <v>1</v>
      </c>
      <c r="G51" s="192">
        <v>200000</v>
      </c>
      <c r="H51" s="192">
        <v>200000</v>
      </c>
    </row>
    <row r="52" spans="1:9" s="180" customFormat="1" ht="20.100000000000001" customHeight="1">
      <c r="A52" s="1373">
        <v>7</v>
      </c>
      <c r="B52" s="1383" t="s">
        <v>694</v>
      </c>
      <c r="C52" s="1386" t="s">
        <v>603</v>
      </c>
      <c r="D52" s="1380" t="s">
        <v>1776</v>
      </c>
      <c r="E52" s="446" t="s">
        <v>1781</v>
      </c>
      <c r="F52" s="448">
        <v>100</v>
      </c>
      <c r="G52" s="449">
        <v>170</v>
      </c>
      <c r="H52" s="449">
        <v>17000</v>
      </c>
      <c r="I52" s="450"/>
    </row>
    <row r="53" spans="1:9" s="180" customFormat="1" ht="20.100000000000001" customHeight="1">
      <c r="A53" s="1374"/>
      <c r="B53" s="1384"/>
      <c r="C53" s="1378"/>
      <c r="D53" s="1381"/>
      <c r="E53" s="446" t="s">
        <v>1782</v>
      </c>
      <c r="F53" s="448">
        <v>300</v>
      </c>
      <c r="G53" s="449">
        <v>50</v>
      </c>
      <c r="H53" s="449">
        <v>15000</v>
      </c>
      <c r="I53" s="450"/>
    </row>
    <row r="54" spans="1:9" s="180" customFormat="1" ht="20.100000000000001" customHeight="1">
      <c r="A54" s="1374"/>
      <c r="B54" s="1384"/>
      <c r="C54" s="1378"/>
      <c r="D54" s="1381"/>
      <c r="E54" s="446" t="s">
        <v>1783</v>
      </c>
      <c r="F54" s="448" t="s">
        <v>1807</v>
      </c>
      <c r="G54" s="449">
        <v>500</v>
      </c>
      <c r="H54" s="449">
        <v>18000</v>
      </c>
      <c r="I54" s="450"/>
    </row>
    <row r="55" spans="1:9" s="180" customFormat="1" ht="20.100000000000001" customHeight="1">
      <c r="A55" s="1374"/>
      <c r="B55" s="1384"/>
      <c r="C55" s="1378"/>
      <c r="D55" s="1381"/>
      <c r="E55" s="446" t="s">
        <v>1784</v>
      </c>
      <c r="F55" s="448">
        <v>2</v>
      </c>
      <c r="G55" s="449">
        <v>3000</v>
      </c>
      <c r="H55" s="449">
        <v>6000</v>
      </c>
      <c r="I55" s="450"/>
    </row>
    <row r="56" spans="1:9" s="180" customFormat="1" ht="20.100000000000001" customHeight="1">
      <c r="A56" s="1374"/>
      <c r="B56" s="1384"/>
      <c r="C56" s="1378"/>
      <c r="D56" s="1381"/>
      <c r="E56" s="446" t="s">
        <v>1785</v>
      </c>
      <c r="F56" s="448">
        <v>600</v>
      </c>
      <c r="G56" s="449">
        <v>20</v>
      </c>
      <c r="H56" s="449">
        <v>12000</v>
      </c>
      <c r="I56" s="450"/>
    </row>
    <row r="57" spans="1:9" s="180" customFormat="1" ht="20.100000000000001" customHeight="1">
      <c r="A57" s="1374"/>
      <c r="B57" s="1384"/>
      <c r="C57" s="1378"/>
      <c r="D57" s="1381"/>
      <c r="E57" s="446" t="s">
        <v>1786</v>
      </c>
      <c r="F57" s="448">
        <v>100</v>
      </c>
      <c r="G57" s="449">
        <v>180</v>
      </c>
      <c r="H57" s="449">
        <v>18000</v>
      </c>
      <c r="I57" s="450"/>
    </row>
    <row r="58" spans="1:9" s="180" customFormat="1" ht="20.100000000000001" customHeight="1">
      <c r="A58" s="1374"/>
      <c r="B58" s="1384"/>
      <c r="C58" s="1378"/>
      <c r="D58" s="1381"/>
      <c r="E58" s="451" t="s">
        <v>1787</v>
      </c>
      <c r="F58" s="448">
        <v>100</v>
      </c>
      <c r="G58" s="449">
        <v>20</v>
      </c>
      <c r="H58" s="449">
        <v>2000</v>
      </c>
      <c r="I58" s="450"/>
    </row>
    <row r="59" spans="1:9" s="269" customFormat="1" ht="20.100000000000001" customHeight="1">
      <c r="A59" s="1374">
        <v>7</v>
      </c>
      <c r="B59" s="1384"/>
      <c r="C59" s="1378"/>
      <c r="D59" s="1382"/>
      <c r="E59" s="451" t="s">
        <v>1788</v>
      </c>
      <c r="F59" s="448">
        <v>100</v>
      </c>
      <c r="G59" s="449">
        <v>20</v>
      </c>
      <c r="H59" s="449">
        <v>2000</v>
      </c>
      <c r="I59" s="450"/>
    </row>
    <row r="60" spans="1:9" s="269" customFormat="1" ht="20.100000000000001" customHeight="1">
      <c r="A60" s="1374"/>
      <c r="B60" s="1384"/>
      <c r="C60" s="1378"/>
      <c r="D60" s="1367" t="s">
        <v>1777</v>
      </c>
      <c r="E60" s="451" t="s">
        <v>1789</v>
      </c>
      <c r="F60" s="448">
        <v>200</v>
      </c>
      <c r="G60" s="449">
        <v>50</v>
      </c>
      <c r="H60" s="449">
        <v>10000</v>
      </c>
      <c r="I60" s="341"/>
    </row>
    <row r="61" spans="1:9" s="269" customFormat="1" ht="20.100000000000001" customHeight="1">
      <c r="A61" s="1374"/>
      <c r="B61" s="1384"/>
      <c r="C61" s="1378"/>
      <c r="D61" s="1368"/>
      <c r="E61" s="451" t="s">
        <v>1790</v>
      </c>
      <c r="F61" s="448">
        <v>200</v>
      </c>
      <c r="G61" s="449">
        <v>175</v>
      </c>
      <c r="H61" s="449">
        <v>35000</v>
      </c>
      <c r="I61" s="341"/>
    </row>
    <row r="62" spans="1:9" s="269" customFormat="1" ht="20.100000000000001" customHeight="1">
      <c r="A62" s="1374"/>
      <c r="B62" s="1384"/>
      <c r="C62" s="1378"/>
      <c r="D62" s="1368"/>
      <c r="E62" s="451" t="s">
        <v>1791</v>
      </c>
      <c r="F62" s="448">
        <v>100</v>
      </c>
      <c r="G62" s="449">
        <v>50</v>
      </c>
      <c r="H62" s="449">
        <v>5000</v>
      </c>
      <c r="I62" s="341"/>
    </row>
    <row r="63" spans="1:9" s="269" customFormat="1" ht="20.100000000000001" customHeight="1">
      <c r="A63" s="1374"/>
      <c r="B63" s="1384"/>
      <c r="C63" s="1378"/>
      <c r="D63" s="1368"/>
      <c r="E63" s="451" t="s">
        <v>704</v>
      </c>
      <c r="F63" s="448">
        <v>4</v>
      </c>
      <c r="G63" s="449">
        <v>2000</v>
      </c>
      <c r="H63" s="449">
        <v>8000</v>
      </c>
      <c r="I63" s="341"/>
    </row>
    <row r="64" spans="1:9" s="269" customFormat="1" ht="20.100000000000001" customHeight="1">
      <c r="A64" s="1374"/>
      <c r="B64" s="1384"/>
      <c r="C64" s="1378"/>
      <c r="D64" s="1369"/>
      <c r="E64" s="451" t="s">
        <v>1792</v>
      </c>
      <c r="F64" s="448">
        <v>4</v>
      </c>
      <c r="G64" s="449">
        <v>3000</v>
      </c>
      <c r="H64" s="449">
        <v>12000</v>
      </c>
      <c r="I64" s="341"/>
    </row>
    <row r="65" spans="1:9" s="269" customFormat="1" ht="20.100000000000001" customHeight="1">
      <c r="A65" s="1374"/>
      <c r="B65" s="1384"/>
      <c r="C65" s="1378"/>
      <c r="D65" s="1370" t="s">
        <v>1778</v>
      </c>
      <c r="E65" s="451" t="s">
        <v>1793</v>
      </c>
      <c r="F65" s="448" t="s">
        <v>1808</v>
      </c>
      <c r="G65" s="449">
        <v>1500</v>
      </c>
      <c r="H65" s="452">
        <v>50000</v>
      </c>
      <c r="I65" s="341"/>
    </row>
    <row r="66" spans="1:9" s="269" customFormat="1" ht="20.100000000000001" customHeight="1">
      <c r="A66" s="1374"/>
      <c r="B66" s="1384"/>
      <c r="C66" s="1378"/>
      <c r="D66" s="1371"/>
      <c r="E66" s="451" t="s">
        <v>1794</v>
      </c>
      <c r="F66" s="448">
        <v>30</v>
      </c>
      <c r="G66" s="449">
        <v>700</v>
      </c>
      <c r="H66" s="452">
        <v>21000</v>
      </c>
      <c r="I66" s="341"/>
    </row>
    <row r="67" spans="1:9" s="269" customFormat="1" ht="20.100000000000001" customHeight="1">
      <c r="A67" s="1374"/>
      <c r="B67" s="1384"/>
      <c r="C67" s="1378"/>
      <c r="D67" s="1372"/>
      <c r="E67" s="451" t="s">
        <v>1795</v>
      </c>
      <c r="F67" s="448"/>
      <c r="G67" s="449"/>
      <c r="H67" s="452">
        <v>9000</v>
      </c>
      <c r="I67" s="341"/>
    </row>
    <row r="68" spans="1:9" s="269" customFormat="1" ht="20.100000000000001" customHeight="1">
      <c r="A68" s="1374"/>
      <c r="B68" s="1384"/>
      <c r="C68" s="1378"/>
      <c r="D68" s="1370" t="s">
        <v>1779</v>
      </c>
      <c r="E68" s="451" t="s">
        <v>1796</v>
      </c>
      <c r="F68" s="448" t="s">
        <v>1809</v>
      </c>
      <c r="G68" s="449">
        <v>400</v>
      </c>
      <c r="H68" s="449">
        <v>10000</v>
      </c>
      <c r="I68" s="450"/>
    </row>
    <row r="69" spans="1:9" s="269" customFormat="1" ht="20.100000000000001" customHeight="1">
      <c r="A69" s="1374"/>
      <c r="B69" s="1384"/>
      <c r="C69" s="1378"/>
      <c r="D69" s="1371"/>
      <c r="E69" s="451" t="s">
        <v>1806</v>
      </c>
      <c r="F69" s="448" t="s">
        <v>1810</v>
      </c>
      <c r="G69" s="453" t="s">
        <v>1811</v>
      </c>
      <c r="H69" s="449">
        <v>40000</v>
      </c>
      <c r="I69" s="450"/>
    </row>
    <row r="70" spans="1:9" s="269" customFormat="1" ht="20.100000000000001" customHeight="1">
      <c r="A70" s="1374"/>
      <c r="B70" s="1384"/>
      <c r="C70" s="1378"/>
      <c r="D70" s="1371"/>
      <c r="E70" s="451" t="s">
        <v>1797</v>
      </c>
      <c r="F70" s="454">
        <v>150</v>
      </c>
      <c r="G70" s="455">
        <v>20</v>
      </c>
      <c r="H70" s="455">
        <v>3000</v>
      </c>
      <c r="I70" s="450"/>
    </row>
    <row r="71" spans="1:9" s="269" customFormat="1" ht="20.100000000000001" customHeight="1">
      <c r="A71" s="1374"/>
      <c r="B71" s="1384"/>
      <c r="C71" s="1378"/>
      <c r="D71" s="1371"/>
      <c r="E71" s="456" t="s">
        <v>1798</v>
      </c>
      <c r="F71" s="448" t="s">
        <v>1812</v>
      </c>
      <c r="G71" s="449">
        <v>1000</v>
      </c>
      <c r="H71" s="449">
        <v>6000</v>
      </c>
      <c r="I71" s="450"/>
    </row>
    <row r="72" spans="1:9" s="269" customFormat="1" ht="20.100000000000001" customHeight="1">
      <c r="A72" s="1374"/>
      <c r="B72" s="1384"/>
      <c r="C72" s="1378"/>
      <c r="D72" s="1371"/>
      <c r="E72" s="456" t="s">
        <v>1799</v>
      </c>
      <c r="F72" s="448" t="s">
        <v>1813</v>
      </c>
      <c r="G72" s="449">
        <v>3000</v>
      </c>
      <c r="H72" s="449">
        <v>6000</v>
      </c>
      <c r="I72" s="450"/>
    </row>
    <row r="73" spans="1:9" s="269" customFormat="1" ht="20.100000000000001" customHeight="1">
      <c r="A73" s="1374"/>
      <c r="B73" s="1384"/>
      <c r="C73" s="1378"/>
      <c r="D73" s="1371"/>
      <c r="E73" s="456" t="s">
        <v>1800</v>
      </c>
      <c r="F73" s="448">
        <v>300</v>
      </c>
      <c r="G73" s="449">
        <v>50</v>
      </c>
      <c r="H73" s="449">
        <v>15000</v>
      </c>
      <c r="I73" s="450"/>
    </row>
    <row r="74" spans="1:9" s="269" customFormat="1" ht="20.100000000000001" customHeight="1">
      <c r="A74" s="1374"/>
      <c r="B74" s="1384"/>
      <c r="C74" s="1378"/>
      <c r="D74" s="1372"/>
      <c r="E74" s="457" t="s">
        <v>1801</v>
      </c>
      <c r="F74" s="448">
        <v>20</v>
      </c>
      <c r="G74" s="449">
        <v>500</v>
      </c>
      <c r="H74" s="449">
        <v>10000</v>
      </c>
      <c r="I74" s="450"/>
    </row>
    <row r="75" spans="1:9" s="269" customFormat="1" ht="20.100000000000001" customHeight="1">
      <c r="A75" s="1374"/>
      <c r="B75" s="1384"/>
      <c r="C75" s="1378"/>
      <c r="D75" s="1377" t="s">
        <v>1780</v>
      </c>
      <c r="E75" s="447" t="s">
        <v>1802</v>
      </c>
      <c r="F75" s="448">
        <v>10</v>
      </c>
      <c r="G75" s="449">
        <v>1000</v>
      </c>
      <c r="H75" s="449">
        <v>10000</v>
      </c>
      <c r="I75" s="458"/>
    </row>
    <row r="76" spans="1:9" s="269" customFormat="1" ht="20.100000000000001" customHeight="1">
      <c r="A76" s="1374"/>
      <c r="B76" s="1384"/>
      <c r="C76" s="1378"/>
      <c r="D76" s="1378"/>
      <c r="E76" s="447" t="s">
        <v>1803</v>
      </c>
      <c r="F76" s="448">
        <v>30</v>
      </c>
      <c r="G76" s="449">
        <v>1000</v>
      </c>
      <c r="H76" s="449">
        <v>30000</v>
      </c>
      <c r="I76" s="458"/>
    </row>
    <row r="77" spans="1:9" s="269" customFormat="1" ht="20.100000000000001" customHeight="1">
      <c r="A77" s="1374"/>
      <c r="B77" s="1384"/>
      <c r="C77" s="1378"/>
      <c r="D77" s="1378"/>
      <c r="E77" s="447" t="s">
        <v>1804</v>
      </c>
      <c r="F77" s="448">
        <v>1</v>
      </c>
      <c r="G77" s="449">
        <v>30000</v>
      </c>
      <c r="H77" s="449">
        <v>30000</v>
      </c>
      <c r="I77" s="458"/>
    </row>
    <row r="78" spans="1:9" s="269" customFormat="1" ht="20.100000000000001" customHeight="1">
      <c r="A78" s="1375"/>
      <c r="B78" s="1385"/>
      <c r="C78" s="1379"/>
      <c r="D78" s="1379"/>
      <c r="E78" s="447" t="s">
        <v>1805</v>
      </c>
      <c r="F78" s="453" t="s">
        <v>1814</v>
      </c>
      <c r="G78" s="449">
        <v>500</v>
      </c>
      <c r="H78" s="449">
        <v>20000</v>
      </c>
      <c r="I78" s="341"/>
    </row>
    <row r="79" spans="1:9" ht="20.100000000000001" customHeight="1">
      <c r="A79" s="202">
        <v>8</v>
      </c>
      <c r="B79" s="459" t="s">
        <v>695</v>
      </c>
      <c r="C79" s="460" t="s">
        <v>657</v>
      </c>
      <c r="D79" s="460" t="s">
        <v>657</v>
      </c>
      <c r="E79" s="460" t="s">
        <v>657</v>
      </c>
      <c r="F79" s="461" t="s">
        <v>183</v>
      </c>
      <c r="G79" s="462" t="s">
        <v>625</v>
      </c>
      <c r="H79" s="462">
        <v>100000</v>
      </c>
      <c r="I79" s="222"/>
    </row>
    <row r="80" spans="1:9" ht="20.100000000000001" customHeight="1">
      <c r="A80" s="202">
        <v>9</v>
      </c>
      <c r="B80" s="459" t="s">
        <v>696</v>
      </c>
      <c r="C80" s="460" t="s">
        <v>657</v>
      </c>
      <c r="D80" s="460" t="s">
        <v>657</v>
      </c>
      <c r="E80" s="460" t="s">
        <v>657</v>
      </c>
      <c r="F80" s="461" t="s">
        <v>183</v>
      </c>
      <c r="G80" s="462" t="s">
        <v>625</v>
      </c>
      <c r="H80" s="462">
        <v>100000</v>
      </c>
      <c r="I80" s="222"/>
    </row>
    <row r="81" spans="1:9" ht="20.100000000000001" customHeight="1">
      <c r="A81" s="202">
        <v>10</v>
      </c>
      <c r="B81" s="459" t="s">
        <v>697</v>
      </c>
      <c r="C81" s="460" t="s">
        <v>657</v>
      </c>
      <c r="D81" s="460" t="s">
        <v>657</v>
      </c>
      <c r="E81" s="460" t="s">
        <v>657</v>
      </c>
      <c r="F81" s="461" t="s">
        <v>183</v>
      </c>
      <c r="G81" s="462" t="s">
        <v>625</v>
      </c>
      <c r="H81" s="462">
        <v>100000</v>
      </c>
      <c r="I81" s="222"/>
    </row>
    <row r="82" spans="1:9" ht="20.100000000000001" customHeight="1">
      <c r="A82" s="202">
        <v>11</v>
      </c>
      <c r="B82" s="459" t="s">
        <v>698</v>
      </c>
      <c r="C82" s="460" t="s">
        <v>657</v>
      </c>
      <c r="D82" s="460" t="s">
        <v>657</v>
      </c>
      <c r="E82" s="460" t="s">
        <v>657</v>
      </c>
      <c r="F82" s="461" t="s">
        <v>183</v>
      </c>
      <c r="G82" s="462" t="s">
        <v>625</v>
      </c>
      <c r="H82" s="462">
        <v>100000</v>
      </c>
      <c r="I82" s="222"/>
    </row>
    <row r="83" spans="1:9" ht="20.100000000000001" customHeight="1">
      <c r="A83" s="463"/>
      <c r="B83" s="464" t="s">
        <v>699</v>
      </c>
      <c r="C83" s="200"/>
      <c r="D83" s="200"/>
      <c r="E83" s="200"/>
      <c r="F83" s="464"/>
      <c r="G83" s="200"/>
      <c r="H83" s="200">
        <f>SUM(H46:H82)</f>
        <v>1603600</v>
      </c>
      <c r="I83" s="222"/>
    </row>
    <row r="84" spans="1:9" ht="20.100000000000001" customHeight="1">
      <c r="A84" s="236">
        <v>1</v>
      </c>
      <c r="B84" s="465" t="s">
        <v>587</v>
      </c>
      <c r="C84" s="466" t="s">
        <v>597</v>
      </c>
      <c r="D84" s="466" t="s">
        <v>700</v>
      </c>
      <c r="E84" s="466" t="s">
        <v>606</v>
      </c>
      <c r="F84" s="467">
        <v>1</v>
      </c>
      <c r="G84" s="468">
        <v>150000</v>
      </c>
      <c r="H84" s="468">
        <v>150000</v>
      </c>
      <c r="I84" s="222"/>
    </row>
    <row r="85" spans="1:9" ht="20.100000000000001" customHeight="1">
      <c r="A85" s="202">
        <v>2</v>
      </c>
      <c r="B85" s="459" t="s">
        <v>587</v>
      </c>
      <c r="C85" s="460" t="s">
        <v>624</v>
      </c>
      <c r="D85" s="460" t="s">
        <v>624</v>
      </c>
      <c r="E85" s="460" t="s">
        <v>624</v>
      </c>
      <c r="F85" s="461" t="s">
        <v>183</v>
      </c>
      <c r="G85" s="462" t="s">
        <v>625</v>
      </c>
      <c r="H85" s="462">
        <v>100000</v>
      </c>
      <c r="I85" s="222"/>
    </row>
    <row r="86" spans="1:9" ht="20.100000000000001" customHeight="1">
      <c r="A86" s="1364">
        <v>3</v>
      </c>
      <c r="B86" s="1365" t="s">
        <v>701</v>
      </c>
      <c r="C86" s="1365" t="s">
        <v>597</v>
      </c>
      <c r="D86" s="469" t="s">
        <v>702</v>
      </c>
      <c r="E86" s="470" t="s">
        <v>703</v>
      </c>
      <c r="F86" s="471">
        <v>200</v>
      </c>
      <c r="G86" s="472">
        <v>248</v>
      </c>
      <c r="H86" s="472">
        <v>49600</v>
      </c>
      <c r="I86" s="222"/>
    </row>
    <row r="87" spans="1:9" ht="20.100000000000001" customHeight="1">
      <c r="A87" s="1353">
        <v>4</v>
      </c>
      <c r="B87" s="1366"/>
      <c r="C87" s="1366" t="s">
        <v>597</v>
      </c>
      <c r="D87" s="469" t="s">
        <v>704</v>
      </c>
      <c r="E87" s="470" t="s">
        <v>705</v>
      </c>
      <c r="F87" s="471">
        <v>48</v>
      </c>
      <c r="G87" s="472">
        <v>800</v>
      </c>
      <c r="H87" s="472">
        <v>38400</v>
      </c>
      <c r="I87" s="222"/>
    </row>
    <row r="88" spans="1:9" ht="20.100000000000001" customHeight="1">
      <c r="A88" s="1353">
        <v>5</v>
      </c>
      <c r="B88" s="1366"/>
      <c r="C88" s="1366" t="s">
        <v>597</v>
      </c>
      <c r="D88" s="469" t="s">
        <v>706</v>
      </c>
      <c r="E88" s="470" t="s">
        <v>707</v>
      </c>
      <c r="F88" s="471">
        <v>560</v>
      </c>
      <c r="G88" s="472">
        <v>200</v>
      </c>
      <c r="H88" s="472">
        <v>112000</v>
      </c>
      <c r="I88" s="222"/>
    </row>
    <row r="89" spans="1:9" ht="20.100000000000001" customHeight="1">
      <c r="A89" s="202">
        <v>4</v>
      </c>
      <c r="B89" s="203" t="s">
        <v>701</v>
      </c>
      <c r="C89" s="460" t="s">
        <v>626</v>
      </c>
      <c r="D89" s="460" t="s">
        <v>626</v>
      </c>
      <c r="E89" s="460" t="s">
        <v>626</v>
      </c>
      <c r="F89" s="473" t="s">
        <v>183</v>
      </c>
      <c r="G89" s="474" t="s">
        <v>627</v>
      </c>
      <c r="H89" s="474">
        <v>50000</v>
      </c>
      <c r="I89" s="222"/>
    </row>
    <row r="90" spans="1:9" ht="20.100000000000001" customHeight="1">
      <c r="A90" s="1358">
        <v>5</v>
      </c>
      <c r="B90" s="1361" t="s">
        <v>708</v>
      </c>
      <c r="C90" s="1361" t="s">
        <v>597</v>
      </c>
      <c r="D90" s="475" t="s">
        <v>709</v>
      </c>
      <c r="E90" s="475" t="s">
        <v>710</v>
      </c>
      <c r="F90" s="476">
        <v>300</v>
      </c>
      <c r="G90" s="477">
        <v>85</v>
      </c>
      <c r="H90" s="477">
        <v>25500</v>
      </c>
      <c r="I90" s="222"/>
    </row>
    <row r="91" spans="1:9" ht="20.100000000000001" customHeight="1">
      <c r="A91" s="1359"/>
      <c r="B91" s="1362"/>
      <c r="C91" s="1362"/>
      <c r="D91" s="475" t="s">
        <v>711</v>
      </c>
      <c r="E91" s="475" t="s">
        <v>712</v>
      </c>
      <c r="F91" s="476">
        <v>200</v>
      </c>
      <c r="G91" s="477">
        <v>95</v>
      </c>
      <c r="H91" s="477">
        <v>19000</v>
      </c>
      <c r="I91" s="222"/>
    </row>
    <row r="92" spans="1:9" ht="20.100000000000001" customHeight="1">
      <c r="A92" s="1359"/>
      <c r="B92" s="1362"/>
      <c r="C92" s="1362"/>
      <c r="D92" s="475" t="s">
        <v>713</v>
      </c>
      <c r="E92" s="475" t="s">
        <v>714</v>
      </c>
      <c r="F92" s="476">
        <v>300</v>
      </c>
      <c r="G92" s="477">
        <v>50</v>
      </c>
      <c r="H92" s="477">
        <v>15000</v>
      </c>
      <c r="I92" s="222"/>
    </row>
    <row r="93" spans="1:9" ht="20.100000000000001" customHeight="1">
      <c r="A93" s="1359"/>
      <c r="B93" s="1362"/>
      <c r="C93" s="1362"/>
      <c r="D93" s="475" t="s">
        <v>715</v>
      </c>
      <c r="E93" s="475" t="s">
        <v>716</v>
      </c>
      <c r="F93" s="476">
        <v>300</v>
      </c>
      <c r="G93" s="477">
        <v>60</v>
      </c>
      <c r="H93" s="477">
        <v>18000</v>
      </c>
      <c r="I93" s="222"/>
    </row>
    <row r="94" spans="1:9" ht="20.100000000000001" customHeight="1">
      <c r="A94" s="1359"/>
      <c r="B94" s="1362"/>
      <c r="C94" s="1362"/>
      <c r="D94" s="475" t="s">
        <v>717</v>
      </c>
      <c r="E94" s="475" t="s">
        <v>650</v>
      </c>
      <c r="F94" s="476">
        <v>290</v>
      </c>
      <c r="G94" s="477">
        <v>50</v>
      </c>
      <c r="H94" s="477">
        <v>14500</v>
      </c>
      <c r="I94" s="222"/>
    </row>
    <row r="95" spans="1:9" ht="20.100000000000001" customHeight="1">
      <c r="A95" s="1360"/>
      <c r="B95" s="1363"/>
      <c r="C95" s="1363"/>
      <c r="D95" s="475" t="s">
        <v>704</v>
      </c>
      <c r="E95" s="475" t="s">
        <v>718</v>
      </c>
      <c r="F95" s="476">
        <v>110</v>
      </c>
      <c r="G95" s="477">
        <v>800</v>
      </c>
      <c r="H95" s="477">
        <v>88000</v>
      </c>
      <c r="I95" s="222"/>
    </row>
    <row r="96" spans="1:9" ht="20.100000000000001" customHeight="1">
      <c r="A96" s="202">
        <v>6</v>
      </c>
      <c r="B96" s="203" t="s">
        <v>719</v>
      </c>
      <c r="C96" s="460" t="s">
        <v>660</v>
      </c>
      <c r="D96" s="460" t="s">
        <v>660</v>
      </c>
      <c r="E96" s="460" t="s">
        <v>660</v>
      </c>
      <c r="F96" s="461" t="s">
        <v>183</v>
      </c>
      <c r="G96" s="462" t="s">
        <v>627</v>
      </c>
      <c r="H96" s="462">
        <v>50000</v>
      </c>
      <c r="I96" s="222"/>
    </row>
    <row r="97" spans="1:9" ht="20.100000000000001" customHeight="1">
      <c r="A97" s="202">
        <v>7</v>
      </c>
      <c r="B97" s="203" t="s">
        <v>720</v>
      </c>
      <c r="C97" s="460" t="s">
        <v>657</v>
      </c>
      <c r="D97" s="460" t="s">
        <v>657</v>
      </c>
      <c r="E97" s="460" t="s">
        <v>657</v>
      </c>
      <c r="F97" s="461" t="s">
        <v>183</v>
      </c>
      <c r="G97" s="462" t="s">
        <v>625</v>
      </c>
      <c r="H97" s="462">
        <v>100000</v>
      </c>
      <c r="I97" s="222"/>
    </row>
    <row r="98" spans="1:9" ht="20.100000000000001" customHeight="1">
      <c r="A98" s="202">
        <v>8</v>
      </c>
      <c r="B98" s="203" t="s">
        <v>721</v>
      </c>
      <c r="C98" s="460" t="s">
        <v>624</v>
      </c>
      <c r="D98" s="460" t="s">
        <v>624</v>
      </c>
      <c r="E98" s="460" t="s">
        <v>624</v>
      </c>
      <c r="F98" s="461" t="s">
        <v>183</v>
      </c>
      <c r="G98" s="462" t="s">
        <v>625</v>
      </c>
      <c r="H98" s="462">
        <v>100000</v>
      </c>
      <c r="I98" s="222"/>
    </row>
    <row r="99" spans="1:9" ht="20.100000000000001" customHeight="1">
      <c r="A99" s="463"/>
      <c r="B99" s="464" t="s">
        <v>722</v>
      </c>
      <c r="C99" s="200"/>
      <c r="D99" s="200"/>
      <c r="E99" s="200"/>
      <c r="F99" s="464"/>
      <c r="G99" s="200"/>
      <c r="H99" s="200">
        <f>SUM(H84:H98)</f>
        <v>930000</v>
      </c>
      <c r="I99" s="222"/>
    </row>
    <row r="100" spans="1:9" ht="20.100000000000001" customHeight="1">
      <c r="A100" s="236">
        <v>1</v>
      </c>
      <c r="B100" s="478" t="s">
        <v>173</v>
      </c>
      <c r="C100" s="470" t="s">
        <v>603</v>
      </c>
      <c r="D100" s="470" t="s">
        <v>723</v>
      </c>
      <c r="E100" s="469" t="s">
        <v>724</v>
      </c>
      <c r="F100" s="471">
        <v>1</v>
      </c>
      <c r="G100" s="472">
        <v>14000</v>
      </c>
      <c r="H100" s="472">
        <v>14000</v>
      </c>
      <c r="I100" s="222"/>
    </row>
    <row r="101" spans="1:9" ht="20.100000000000001" customHeight="1">
      <c r="A101" s="479">
        <v>2</v>
      </c>
      <c r="B101" s="478" t="s">
        <v>173</v>
      </c>
      <c r="C101" s="480" t="s">
        <v>597</v>
      </c>
      <c r="D101" s="480" t="s">
        <v>725</v>
      </c>
      <c r="E101" s="480" t="s">
        <v>726</v>
      </c>
      <c r="F101" s="481">
        <v>50</v>
      </c>
      <c r="G101" s="482">
        <v>100</v>
      </c>
      <c r="H101" s="482">
        <v>30000</v>
      </c>
      <c r="I101" s="222"/>
    </row>
    <row r="102" spans="1:9" ht="20.100000000000001" customHeight="1">
      <c r="A102" s="236">
        <v>3</v>
      </c>
      <c r="B102" s="465" t="s">
        <v>172</v>
      </c>
      <c r="C102" s="466" t="s">
        <v>597</v>
      </c>
      <c r="D102" s="466" t="s">
        <v>727</v>
      </c>
      <c r="E102" s="466" t="s">
        <v>728</v>
      </c>
      <c r="F102" s="467">
        <v>1</v>
      </c>
      <c r="G102" s="468">
        <v>60000</v>
      </c>
      <c r="H102" s="468">
        <v>60000</v>
      </c>
      <c r="I102" s="222"/>
    </row>
    <row r="103" spans="1:9" ht="20.100000000000001" customHeight="1">
      <c r="A103" s="1353">
        <v>4</v>
      </c>
      <c r="B103" s="1366" t="s">
        <v>458</v>
      </c>
      <c r="C103" s="1366" t="s">
        <v>597</v>
      </c>
      <c r="D103" s="1365" t="s">
        <v>729</v>
      </c>
      <c r="E103" s="469" t="s">
        <v>730</v>
      </c>
      <c r="F103" s="471">
        <v>3</v>
      </c>
      <c r="G103" s="472">
        <v>5000</v>
      </c>
      <c r="H103" s="472">
        <v>15000</v>
      </c>
      <c r="I103" s="222"/>
    </row>
    <row r="104" spans="1:9" ht="20.100000000000001" customHeight="1">
      <c r="A104" s="1353">
        <v>9</v>
      </c>
      <c r="B104" s="1366"/>
      <c r="C104" s="1366" t="s">
        <v>597</v>
      </c>
      <c r="D104" s="1366" t="s">
        <v>729</v>
      </c>
      <c r="E104" s="469" t="s">
        <v>731</v>
      </c>
      <c r="F104" s="471">
        <v>2</v>
      </c>
      <c r="G104" s="472">
        <v>10000</v>
      </c>
      <c r="H104" s="472">
        <v>20000</v>
      </c>
      <c r="I104" s="222"/>
    </row>
    <row r="105" spans="1:9" ht="20.100000000000001" customHeight="1">
      <c r="A105" s="1364">
        <v>5</v>
      </c>
      <c r="B105" s="1365" t="s">
        <v>458</v>
      </c>
      <c r="C105" s="1365" t="s">
        <v>603</v>
      </c>
      <c r="D105" s="469" t="s">
        <v>732</v>
      </c>
      <c r="E105" s="469" t="s">
        <v>726</v>
      </c>
      <c r="F105" s="471">
        <v>50</v>
      </c>
      <c r="G105" s="472">
        <v>200</v>
      </c>
      <c r="H105" s="472">
        <v>10000</v>
      </c>
      <c r="I105" s="222"/>
    </row>
    <row r="106" spans="1:9" ht="20.100000000000001" customHeight="1">
      <c r="A106" s="1353">
        <v>11</v>
      </c>
      <c r="B106" s="1366"/>
      <c r="C106" s="1366" t="s">
        <v>603</v>
      </c>
      <c r="D106" s="469" t="s">
        <v>733</v>
      </c>
      <c r="E106" s="469" t="s">
        <v>734</v>
      </c>
      <c r="F106" s="471">
        <v>5</v>
      </c>
      <c r="G106" s="472">
        <v>2000</v>
      </c>
      <c r="H106" s="472">
        <v>10000</v>
      </c>
      <c r="I106" s="222"/>
    </row>
    <row r="107" spans="1:9" ht="20.100000000000001" customHeight="1">
      <c r="A107" s="1353">
        <v>12</v>
      </c>
      <c r="B107" s="1366"/>
      <c r="C107" s="1366" t="s">
        <v>603</v>
      </c>
      <c r="D107" s="469" t="s">
        <v>733</v>
      </c>
      <c r="E107" s="469" t="s">
        <v>735</v>
      </c>
      <c r="F107" s="471">
        <v>10</v>
      </c>
      <c r="G107" s="472">
        <v>2000</v>
      </c>
      <c r="H107" s="472">
        <v>20000</v>
      </c>
      <c r="I107" s="222"/>
    </row>
    <row r="108" spans="1:9" ht="20.100000000000001" customHeight="1">
      <c r="A108" s="202">
        <v>6</v>
      </c>
      <c r="B108" s="203" t="s">
        <v>458</v>
      </c>
      <c r="C108" s="460" t="s">
        <v>660</v>
      </c>
      <c r="D108" s="460" t="s">
        <v>660</v>
      </c>
      <c r="E108" s="460" t="s">
        <v>660</v>
      </c>
      <c r="F108" s="473" t="s">
        <v>183</v>
      </c>
      <c r="G108" s="474" t="s">
        <v>625</v>
      </c>
      <c r="H108" s="474">
        <v>100000</v>
      </c>
      <c r="I108" s="222"/>
    </row>
    <row r="109" spans="1:9" ht="20.100000000000001" customHeight="1">
      <c r="A109" s="467">
        <v>7</v>
      </c>
      <c r="B109" s="465" t="s">
        <v>459</v>
      </c>
      <c r="C109" s="465" t="s">
        <v>603</v>
      </c>
      <c r="D109" s="465" t="s">
        <v>736</v>
      </c>
      <c r="E109" s="466" t="s">
        <v>731</v>
      </c>
      <c r="F109" s="467">
        <v>1</v>
      </c>
      <c r="G109" s="468">
        <v>23000</v>
      </c>
      <c r="H109" s="468">
        <v>23000</v>
      </c>
      <c r="I109" s="222"/>
    </row>
    <row r="110" spans="1:9" ht="20.100000000000001" customHeight="1">
      <c r="A110" s="467">
        <v>8</v>
      </c>
      <c r="B110" s="465" t="s">
        <v>459</v>
      </c>
      <c r="C110" s="465" t="s">
        <v>597</v>
      </c>
      <c r="D110" s="465" t="s">
        <v>737</v>
      </c>
      <c r="E110" s="466" t="s">
        <v>738</v>
      </c>
      <c r="F110" s="467">
        <v>1</v>
      </c>
      <c r="G110" s="468">
        <v>80000</v>
      </c>
      <c r="H110" s="468">
        <v>80000</v>
      </c>
      <c r="I110" s="222"/>
    </row>
    <row r="111" spans="1:9" ht="20.100000000000001" customHeight="1">
      <c r="A111" s="202">
        <v>9</v>
      </c>
      <c r="B111" s="203" t="s">
        <v>459</v>
      </c>
      <c r="C111" s="460" t="s">
        <v>626</v>
      </c>
      <c r="D111" s="460" t="s">
        <v>626</v>
      </c>
      <c r="E111" s="460" t="s">
        <v>626</v>
      </c>
      <c r="F111" s="461" t="s">
        <v>183</v>
      </c>
      <c r="G111" s="462" t="s">
        <v>627</v>
      </c>
      <c r="H111" s="462">
        <v>50000</v>
      </c>
      <c r="I111" s="222"/>
    </row>
    <row r="112" spans="1:9" ht="20.100000000000001" customHeight="1">
      <c r="A112" s="236">
        <v>10</v>
      </c>
      <c r="B112" s="465" t="s">
        <v>460</v>
      </c>
      <c r="C112" s="466" t="s">
        <v>597</v>
      </c>
      <c r="D112" s="466" t="s">
        <v>739</v>
      </c>
      <c r="E112" s="466" t="s">
        <v>740</v>
      </c>
      <c r="F112" s="467">
        <v>1</v>
      </c>
      <c r="G112" s="468">
        <v>78200</v>
      </c>
      <c r="H112" s="468">
        <v>78200</v>
      </c>
      <c r="I112" s="222"/>
    </row>
    <row r="113" spans="1:9" ht="20.100000000000001" customHeight="1">
      <c r="A113" s="202">
        <v>11</v>
      </c>
      <c r="B113" s="459" t="s">
        <v>460</v>
      </c>
      <c r="C113" s="460" t="s">
        <v>626</v>
      </c>
      <c r="D113" s="460" t="s">
        <v>626</v>
      </c>
      <c r="E113" s="460" t="s">
        <v>626</v>
      </c>
      <c r="F113" s="461" t="s">
        <v>183</v>
      </c>
      <c r="G113" s="462" t="s">
        <v>627</v>
      </c>
      <c r="H113" s="462">
        <v>50000</v>
      </c>
      <c r="I113" s="222"/>
    </row>
    <row r="114" spans="1:9" ht="20.100000000000001" customHeight="1">
      <c r="A114" s="1387">
        <v>12</v>
      </c>
      <c r="B114" s="1376" t="s">
        <v>461</v>
      </c>
      <c r="C114" s="1376" t="s">
        <v>603</v>
      </c>
      <c r="D114" s="1376" t="s">
        <v>741</v>
      </c>
      <c r="E114" s="466" t="s">
        <v>742</v>
      </c>
      <c r="F114" s="467">
        <v>1</v>
      </c>
      <c r="G114" s="468">
        <v>30000</v>
      </c>
      <c r="H114" s="468">
        <v>30000</v>
      </c>
      <c r="I114" s="222"/>
    </row>
    <row r="115" spans="1:9" ht="20.100000000000001" customHeight="1">
      <c r="A115" s="1353">
        <v>22</v>
      </c>
      <c r="B115" s="1366"/>
      <c r="C115" s="1366" t="s">
        <v>603</v>
      </c>
      <c r="D115" s="1366" t="s">
        <v>741</v>
      </c>
      <c r="E115" s="466" t="s">
        <v>743</v>
      </c>
      <c r="F115" s="467">
        <v>1</v>
      </c>
      <c r="G115" s="468">
        <v>10000</v>
      </c>
      <c r="H115" s="468">
        <v>10000</v>
      </c>
      <c r="I115" s="222"/>
    </row>
    <row r="116" spans="1:9" ht="20.100000000000001" customHeight="1">
      <c r="A116" s="236">
        <v>13</v>
      </c>
      <c r="B116" s="465" t="s">
        <v>744</v>
      </c>
      <c r="C116" s="466" t="s">
        <v>603</v>
      </c>
      <c r="D116" s="466" t="s">
        <v>745</v>
      </c>
      <c r="E116" s="466" t="s">
        <v>746</v>
      </c>
      <c r="F116" s="467">
        <v>1</v>
      </c>
      <c r="G116" s="468">
        <v>30000</v>
      </c>
      <c r="H116" s="468">
        <v>30000</v>
      </c>
      <c r="I116" s="222"/>
    </row>
    <row r="117" spans="1:9" ht="20.100000000000001" customHeight="1">
      <c r="A117" s="236">
        <v>14</v>
      </c>
      <c r="B117" s="465" t="s">
        <v>744</v>
      </c>
      <c r="C117" s="466" t="s">
        <v>597</v>
      </c>
      <c r="D117" s="466" t="s">
        <v>747</v>
      </c>
      <c r="E117" s="466" t="s">
        <v>748</v>
      </c>
      <c r="F117" s="467">
        <v>1</v>
      </c>
      <c r="G117" s="468">
        <v>90000</v>
      </c>
      <c r="H117" s="468">
        <v>90000</v>
      </c>
      <c r="I117" s="222"/>
    </row>
    <row r="118" spans="1:9" ht="20.100000000000001" customHeight="1">
      <c r="A118" s="202">
        <v>15</v>
      </c>
      <c r="B118" s="459" t="s">
        <v>744</v>
      </c>
      <c r="C118" s="460" t="s">
        <v>660</v>
      </c>
      <c r="D118" s="460" t="s">
        <v>660</v>
      </c>
      <c r="E118" s="460" t="s">
        <v>660</v>
      </c>
      <c r="F118" s="461" t="s">
        <v>183</v>
      </c>
      <c r="G118" s="462" t="s">
        <v>627</v>
      </c>
      <c r="H118" s="462">
        <v>50000</v>
      </c>
      <c r="I118" s="222"/>
    </row>
    <row r="119" spans="1:9" ht="20.100000000000001" customHeight="1">
      <c r="A119" s="1387">
        <v>16</v>
      </c>
      <c r="B119" s="1376" t="s">
        <v>749</v>
      </c>
      <c r="C119" s="1376" t="s">
        <v>600</v>
      </c>
      <c r="D119" s="1376" t="s">
        <v>750</v>
      </c>
      <c r="E119" s="466" t="s">
        <v>751</v>
      </c>
      <c r="F119" s="467">
        <v>1</v>
      </c>
      <c r="G119" s="468">
        <v>12000</v>
      </c>
      <c r="H119" s="468">
        <v>12000</v>
      </c>
      <c r="I119" s="222"/>
    </row>
    <row r="120" spans="1:9" ht="20.100000000000001" customHeight="1">
      <c r="A120" s="1353">
        <v>29</v>
      </c>
      <c r="B120" s="1366"/>
      <c r="C120" s="1366" t="s">
        <v>600</v>
      </c>
      <c r="D120" s="1366" t="s">
        <v>750</v>
      </c>
      <c r="E120" s="466" t="s">
        <v>752</v>
      </c>
      <c r="F120" s="467">
        <v>8</v>
      </c>
      <c r="G120" s="468">
        <v>2000</v>
      </c>
      <c r="H120" s="468">
        <v>16000</v>
      </c>
      <c r="I120" s="222"/>
    </row>
    <row r="121" spans="1:9" ht="20.100000000000001" customHeight="1">
      <c r="A121" s="1353">
        <v>30</v>
      </c>
      <c r="B121" s="1366"/>
      <c r="C121" s="1366" t="s">
        <v>600</v>
      </c>
      <c r="D121" s="1366" t="s">
        <v>750</v>
      </c>
      <c r="E121" s="466" t="s">
        <v>753</v>
      </c>
      <c r="F121" s="467">
        <v>1</v>
      </c>
      <c r="G121" s="468">
        <v>24000</v>
      </c>
      <c r="H121" s="468">
        <v>24000</v>
      </c>
      <c r="I121" s="222"/>
    </row>
    <row r="122" spans="1:9" ht="20.100000000000001" customHeight="1">
      <c r="A122" s="1353">
        <v>31</v>
      </c>
      <c r="B122" s="1366"/>
      <c r="C122" s="1366" t="s">
        <v>600</v>
      </c>
      <c r="D122" s="1366" t="s">
        <v>750</v>
      </c>
      <c r="E122" s="466" t="s">
        <v>754</v>
      </c>
      <c r="F122" s="467">
        <v>16</v>
      </c>
      <c r="G122" s="468">
        <v>500</v>
      </c>
      <c r="H122" s="468">
        <v>8000</v>
      </c>
      <c r="I122" s="222"/>
    </row>
    <row r="123" spans="1:9" ht="20.100000000000001" customHeight="1">
      <c r="A123" s="463"/>
      <c r="B123" s="464" t="s">
        <v>755</v>
      </c>
      <c r="C123" s="200"/>
      <c r="D123" s="200"/>
      <c r="E123" s="200"/>
      <c r="F123" s="464"/>
      <c r="G123" s="200"/>
      <c r="H123" s="200">
        <f>SUM(H100:H122)</f>
        <v>830200</v>
      </c>
      <c r="I123" s="222"/>
    </row>
    <row r="124" spans="1:9" ht="20.100000000000001" customHeight="1">
      <c r="A124" s="236">
        <v>1</v>
      </c>
      <c r="B124" s="470" t="s">
        <v>590</v>
      </c>
      <c r="C124" s="469" t="s">
        <v>597</v>
      </c>
      <c r="D124" s="469" t="s">
        <v>756</v>
      </c>
      <c r="E124" s="469" t="s">
        <v>757</v>
      </c>
      <c r="F124" s="471">
        <v>1</v>
      </c>
      <c r="G124" s="472">
        <v>150000</v>
      </c>
      <c r="H124" s="472">
        <v>150000</v>
      </c>
      <c r="I124" s="222"/>
    </row>
    <row r="125" spans="1:9" ht="20.100000000000001" customHeight="1">
      <c r="A125" s="202">
        <v>2</v>
      </c>
      <c r="B125" s="483" t="s">
        <v>590</v>
      </c>
      <c r="C125" s="460" t="s">
        <v>624</v>
      </c>
      <c r="D125" s="460" t="s">
        <v>624</v>
      </c>
      <c r="E125" s="460" t="s">
        <v>624</v>
      </c>
      <c r="F125" s="473" t="s">
        <v>183</v>
      </c>
      <c r="G125" s="474" t="s">
        <v>625</v>
      </c>
      <c r="H125" s="474">
        <v>100000</v>
      </c>
      <c r="I125" s="222"/>
    </row>
    <row r="126" spans="1:9" ht="20.100000000000001" customHeight="1">
      <c r="A126" s="202">
        <v>3</v>
      </c>
      <c r="B126" s="483" t="s">
        <v>590</v>
      </c>
      <c r="C126" s="460" t="s">
        <v>626</v>
      </c>
      <c r="D126" s="460" t="s">
        <v>626</v>
      </c>
      <c r="E126" s="460" t="s">
        <v>626</v>
      </c>
      <c r="F126" s="473" t="s">
        <v>183</v>
      </c>
      <c r="G126" s="474" t="s">
        <v>627</v>
      </c>
      <c r="H126" s="474">
        <v>50000</v>
      </c>
      <c r="I126" s="222"/>
    </row>
    <row r="127" spans="1:9" ht="20.100000000000001" customHeight="1">
      <c r="A127" s="236">
        <v>4</v>
      </c>
      <c r="B127" s="465" t="s">
        <v>758</v>
      </c>
      <c r="C127" s="466" t="s">
        <v>600</v>
      </c>
      <c r="D127" s="466" t="s">
        <v>759</v>
      </c>
      <c r="E127" s="466" t="s">
        <v>760</v>
      </c>
      <c r="F127" s="467">
        <v>1</v>
      </c>
      <c r="G127" s="468">
        <v>80000</v>
      </c>
      <c r="H127" s="468">
        <v>80000</v>
      </c>
      <c r="I127" s="222"/>
    </row>
    <row r="128" spans="1:9" ht="20.100000000000001" customHeight="1">
      <c r="A128" s="236">
        <v>5</v>
      </c>
      <c r="B128" s="465" t="s">
        <v>761</v>
      </c>
      <c r="C128" s="469" t="s">
        <v>597</v>
      </c>
      <c r="D128" s="466" t="s">
        <v>762</v>
      </c>
      <c r="E128" s="466" t="s">
        <v>763</v>
      </c>
      <c r="F128" s="467">
        <v>1</v>
      </c>
      <c r="G128" s="468">
        <v>200000</v>
      </c>
      <c r="H128" s="468">
        <v>200000</v>
      </c>
      <c r="I128" s="222"/>
    </row>
    <row r="129" spans="1:12" ht="20.100000000000001" customHeight="1">
      <c r="A129" s="202">
        <v>6</v>
      </c>
      <c r="B129" s="459" t="s">
        <v>761</v>
      </c>
      <c r="C129" s="460" t="s">
        <v>660</v>
      </c>
      <c r="D129" s="460" t="s">
        <v>660</v>
      </c>
      <c r="E129" s="460" t="s">
        <v>660</v>
      </c>
      <c r="F129" s="461" t="s">
        <v>183</v>
      </c>
      <c r="G129" s="462" t="s">
        <v>625</v>
      </c>
      <c r="H129" s="462">
        <v>100000</v>
      </c>
      <c r="I129" s="222"/>
    </row>
    <row r="130" spans="1:12" ht="20.100000000000001" customHeight="1">
      <c r="A130" s="236">
        <v>7</v>
      </c>
      <c r="B130" s="465" t="s">
        <v>764</v>
      </c>
      <c r="C130" s="466" t="s">
        <v>597</v>
      </c>
      <c r="D130" s="466" t="s">
        <v>765</v>
      </c>
      <c r="E130" s="466" t="s">
        <v>766</v>
      </c>
      <c r="F130" s="467">
        <v>1</v>
      </c>
      <c r="G130" s="468">
        <v>100000</v>
      </c>
      <c r="H130" s="468">
        <v>100000</v>
      </c>
      <c r="I130" s="222"/>
    </row>
    <row r="131" spans="1:12" ht="20.100000000000001" customHeight="1">
      <c r="A131" s="236">
        <v>8</v>
      </c>
      <c r="B131" s="465" t="s">
        <v>767</v>
      </c>
      <c r="C131" s="466" t="s">
        <v>768</v>
      </c>
      <c r="D131" s="466" t="s">
        <v>767</v>
      </c>
      <c r="E131" s="466" t="s">
        <v>767</v>
      </c>
      <c r="F131" s="467">
        <v>1</v>
      </c>
      <c r="G131" s="468">
        <v>600000</v>
      </c>
      <c r="H131" s="468">
        <v>600000</v>
      </c>
      <c r="I131" s="222" t="s">
        <v>1815</v>
      </c>
      <c r="J131" s="181" t="s">
        <v>1081</v>
      </c>
      <c r="L131" s="181" t="s">
        <v>1082</v>
      </c>
    </row>
    <row r="132" spans="1:12" ht="20.100000000000001" customHeight="1">
      <c r="A132" s="236">
        <v>9</v>
      </c>
      <c r="B132" s="465" t="s">
        <v>769</v>
      </c>
      <c r="C132" s="466" t="s">
        <v>597</v>
      </c>
      <c r="D132" s="466" t="s">
        <v>770</v>
      </c>
      <c r="E132" s="466" t="s">
        <v>771</v>
      </c>
      <c r="F132" s="467">
        <v>4</v>
      </c>
      <c r="G132" s="468">
        <v>100000</v>
      </c>
      <c r="H132" s="468">
        <v>400000</v>
      </c>
      <c r="I132" s="222"/>
    </row>
    <row r="133" spans="1:12" ht="20.100000000000001" customHeight="1">
      <c r="A133" s="202">
        <v>10</v>
      </c>
      <c r="B133" s="459" t="s">
        <v>772</v>
      </c>
      <c r="C133" s="460" t="s">
        <v>657</v>
      </c>
      <c r="D133" s="460" t="s">
        <v>657</v>
      </c>
      <c r="E133" s="460" t="s">
        <v>657</v>
      </c>
      <c r="F133" s="461" t="s">
        <v>183</v>
      </c>
      <c r="G133" s="462" t="s">
        <v>625</v>
      </c>
      <c r="H133" s="462">
        <v>100000</v>
      </c>
      <c r="I133" s="222"/>
    </row>
    <row r="134" spans="1:12" ht="20.100000000000001" customHeight="1">
      <c r="A134" s="202">
        <v>11</v>
      </c>
      <c r="B134" s="203" t="s">
        <v>773</v>
      </c>
      <c r="C134" s="460" t="s">
        <v>624</v>
      </c>
      <c r="D134" s="460" t="s">
        <v>624</v>
      </c>
      <c r="E134" s="460" t="s">
        <v>624</v>
      </c>
      <c r="F134" s="461" t="s">
        <v>183</v>
      </c>
      <c r="G134" s="462" t="s">
        <v>625</v>
      </c>
      <c r="H134" s="462">
        <v>100000</v>
      </c>
      <c r="I134" s="222"/>
    </row>
    <row r="135" spans="1:12" ht="20.100000000000001" customHeight="1">
      <c r="A135" s="463"/>
      <c r="B135" s="464" t="s">
        <v>774</v>
      </c>
      <c r="C135" s="200"/>
      <c r="D135" s="200"/>
      <c r="E135" s="200"/>
      <c r="F135" s="464"/>
      <c r="G135" s="200"/>
      <c r="H135" s="200">
        <f>SUM(H124:H134)</f>
        <v>1980000</v>
      </c>
      <c r="I135" s="222"/>
    </row>
    <row r="136" spans="1:12" ht="20.100000000000001" customHeight="1">
      <c r="A136" s="1387">
        <v>1</v>
      </c>
      <c r="B136" s="1376" t="s">
        <v>775</v>
      </c>
      <c r="C136" s="1376" t="s">
        <v>597</v>
      </c>
      <c r="D136" s="466" t="s">
        <v>776</v>
      </c>
      <c r="E136" s="466" t="s">
        <v>777</v>
      </c>
      <c r="F136" s="467">
        <v>30</v>
      </c>
      <c r="G136" s="468">
        <v>800</v>
      </c>
      <c r="H136" s="468">
        <v>24000</v>
      </c>
      <c r="I136" s="222"/>
    </row>
    <row r="137" spans="1:12" ht="20.100000000000001" customHeight="1">
      <c r="A137" s="1353">
        <v>2</v>
      </c>
      <c r="B137" s="1366"/>
      <c r="C137" s="1366" t="s">
        <v>597</v>
      </c>
      <c r="D137" s="466" t="s">
        <v>778</v>
      </c>
      <c r="E137" s="466" t="s">
        <v>779</v>
      </c>
      <c r="F137" s="467">
        <v>10</v>
      </c>
      <c r="G137" s="468">
        <v>2000</v>
      </c>
      <c r="H137" s="468">
        <v>20000</v>
      </c>
      <c r="I137" s="222"/>
    </row>
    <row r="138" spans="1:12" ht="20.100000000000001" customHeight="1">
      <c r="A138" s="202">
        <v>2</v>
      </c>
      <c r="B138" s="203" t="s">
        <v>775</v>
      </c>
      <c r="C138" s="460" t="s">
        <v>626</v>
      </c>
      <c r="D138" s="460" t="s">
        <v>626</v>
      </c>
      <c r="E138" s="460" t="s">
        <v>626</v>
      </c>
      <c r="F138" s="461" t="s">
        <v>183</v>
      </c>
      <c r="G138" s="462" t="s">
        <v>627</v>
      </c>
      <c r="H138" s="462">
        <v>50000</v>
      </c>
      <c r="I138" s="222"/>
    </row>
    <row r="139" spans="1:12" ht="20.100000000000001" customHeight="1">
      <c r="A139" s="236">
        <v>3</v>
      </c>
      <c r="B139" s="465" t="s">
        <v>780</v>
      </c>
      <c r="C139" s="466" t="s">
        <v>600</v>
      </c>
      <c r="D139" s="466" t="s">
        <v>781</v>
      </c>
      <c r="E139" s="466" t="s">
        <v>782</v>
      </c>
      <c r="F139" s="467">
        <v>1</v>
      </c>
      <c r="G139" s="468">
        <v>100000</v>
      </c>
      <c r="H139" s="468">
        <v>100000</v>
      </c>
      <c r="I139" s="222"/>
    </row>
    <row r="140" spans="1:12" ht="20.100000000000001" customHeight="1">
      <c r="A140" s="202">
        <v>4</v>
      </c>
      <c r="B140" s="459" t="s">
        <v>780</v>
      </c>
      <c r="C140" s="460" t="s">
        <v>624</v>
      </c>
      <c r="D140" s="460" t="s">
        <v>624</v>
      </c>
      <c r="E140" s="460" t="s">
        <v>624</v>
      </c>
      <c r="F140" s="461" t="s">
        <v>183</v>
      </c>
      <c r="G140" s="462" t="s">
        <v>625</v>
      </c>
      <c r="H140" s="462">
        <v>100000</v>
      </c>
      <c r="I140" s="222"/>
    </row>
    <row r="141" spans="1:12" ht="20.100000000000001" customHeight="1">
      <c r="A141" s="236">
        <v>5</v>
      </c>
      <c r="B141" s="465" t="s">
        <v>783</v>
      </c>
      <c r="C141" s="466" t="s">
        <v>597</v>
      </c>
      <c r="D141" s="466" t="s">
        <v>784</v>
      </c>
      <c r="E141" s="466" t="s">
        <v>785</v>
      </c>
      <c r="F141" s="467">
        <v>1</v>
      </c>
      <c r="G141" s="468">
        <v>150000</v>
      </c>
      <c r="H141" s="468">
        <v>150000</v>
      </c>
      <c r="I141" s="222"/>
    </row>
    <row r="142" spans="1:12" ht="20.100000000000001" customHeight="1">
      <c r="A142" s="202">
        <v>6</v>
      </c>
      <c r="B142" s="459" t="s">
        <v>786</v>
      </c>
      <c r="C142" s="460" t="s">
        <v>624</v>
      </c>
      <c r="D142" s="460" t="s">
        <v>624</v>
      </c>
      <c r="E142" s="460" t="s">
        <v>624</v>
      </c>
      <c r="F142" s="461" t="s">
        <v>183</v>
      </c>
      <c r="G142" s="462" t="s">
        <v>625</v>
      </c>
      <c r="H142" s="462">
        <v>100000</v>
      </c>
      <c r="I142" s="222"/>
    </row>
    <row r="143" spans="1:12" ht="20.100000000000001" customHeight="1">
      <c r="A143" s="236">
        <v>7</v>
      </c>
      <c r="B143" s="465" t="s">
        <v>786</v>
      </c>
      <c r="C143" s="466" t="s">
        <v>600</v>
      </c>
      <c r="D143" s="466" t="s">
        <v>787</v>
      </c>
      <c r="E143" s="466" t="s">
        <v>788</v>
      </c>
      <c r="F143" s="467">
        <v>1</v>
      </c>
      <c r="G143" s="468">
        <v>150000</v>
      </c>
      <c r="H143" s="468">
        <v>150000</v>
      </c>
      <c r="I143" s="222"/>
    </row>
    <row r="144" spans="1:12" ht="20.100000000000001" customHeight="1">
      <c r="A144" s="463"/>
      <c r="B144" s="464" t="s">
        <v>789</v>
      </c>
      <c r="C144" s="200"/>
      <c r="D144" s="200"/>
      <c r="E144" s="200"/>
      <c r="F144" s="464"/>
      <c r="G144" s="200"/>
      <c r="H144" s="200">
        <f>SUM(H136:H143)</f>
        <v>694000</v>
      </c>
      <c r="I144" s="222"/>
    </row>
    <row r="145" spans="1:9" ht="20.100000000000001" customHeight="1">
      <c r="A145" s="202">
        <v>1</v>
      </c>
      <c r="B145" s="459" t="s">
        <v>790</v>
      </c>
      <c r="C145" s="460" t="s">
        <v>624</v>
      </c>
      <c r="D145" s="460" t="s">
        <v>624</v>
      </c>
      <c r="E145" s="460" t="s">
        <v>624</v>
      </c>
      <c r="F145" s="461" t="s">
        <v>183</v>
      </c>
      <c r="G145" s="462" t="s">
        <v>625</v>
      </c>
      <c r="H145" s="462">
        <v>100000</v>
      </c>
      <c r="I145" s="222"/>
    </row>
    <row r="146" spans="1:9" ht="20.100000000000001" customHeight="1">
      <c r="A146" s="202">
        <v>2</v>
      </c>
      <c r="B146" s="459" t="s">
        <v>791</v>
      </c>
      <c r="C146" s="460" t="s">
        <v>626</v>
      </c>
      <c r="D146" s="460" t="s">
        <v>626</v>
      </c>
      <c r="E146" s="460" t="s">
        <v>626</v>
      </c>
      <c r="F146" s="461" t="s">
        <v>183</v>
      </c>
      <c r="G146" s="462" t="s">
        <v>627</v>
      </c>
      <c r="H146" s="462">
        <v>50000</v>
      </c>
      <c r="I146" s="222"/>
    </row>
    <row r="147" spans="1:9" ht="20.100000000000001" customHeight="1">
      <c r="A147" s="1387">
        <v>3</v>
      </c>
      <c r="B147" s="1376" t="s">
        <v>792</v>
      </c>
      <c r="C147" s="1376" t="s">
        <v>597</v>
      </c>
      <c r="D147" s="466" t="s">
        <v>793</v>
      </c>
      <c r="E147" s="466" t="s">
        <v>794</v>
      </c>
      <c r="F147" s="467">
        <v>132</v>
      </c>
      <c r="G147" s="468">
        <v>500</v>
      </c>
      <c r="H147" s="468">
        <v>66000</v>
      </c>
      <c r="I147" s="222"/>
    </row>
    <row r="148" spans="1:9" ht="20.100000000000001" customHeight="1">
      <c r="A148" s="1353">
        <v>6</v>
      </c>
      <c r="B148" s="1366"/>
      <c r="C148" s="1366" t="s">
        <v>597</v>
      </c>
      <c r="D148" s="466" t="s">
        <v>793</v>
      </c>
      <c r="E148" s="466" t="s">
        <v>795</v>
      </c>
      <c r="F148" s="467">
        <v>165</v>
      </c>
      <c r="G148" s="468">
        <v>400</v>
      </c>
      <c r="H148" s="468">
        <v>66000</v>
      </c>
      <c r="I148" s="222"/>
    </row>
    <row r="149" spans="1:9" ht="20.100000000000001" customHeight="1">
      <c r="A149" s="1353">
        <v>7</v>
      </c>
      <c r="B149" s="1366"/>
      <c r="C149" s="1366" t="s">
        <v>597</v>
      </c>
      <c r="D149" s="466" t="s">
        <v>793</v>
      </c>
      <c r="E149" s="466" t="s">
        <v>796</v>
      </c>
      <c r="F149" s="467">
        <v>165</v>
      </c>
      <c r="G149" s="468">
        <v>400</v>
      </c>
      <c r="H149" s="468">
        <v>66000</v>
      </c>
      <c r="I149" s="222"/>
    </row>
    <row r="150" spans="1:9" ht="20.100000000000001" customHeight="1">
      <c r="A150" s="1353">
        <v>8</v>
      </c>
      <c r="B150" s="1366"/>
      <c r="C150" s="1366" t="s">
        <v>597</v>
      </c>
      <c r="D150" s="466" t="s">
        <v>797</v>
      </c>
      <c r="E150" s="466" t="s">
        <v>794</v>
      </c>
      <c r="F150" s="467">
        <v>132</v>
      </c>
      <c r="G150" s="468">
        <v>500</v>
      </c>
      <c r="H150" s="468">
        <v>66000</v>
      </c>
      <c r="I150" s="222"/>
    </row>
    <row r="151" spans="1:9" ht="20.100000000000001" customHeight="1">
      <c r="A151" s="1353">
        <v>9</v>
      </c>
      <c r="B151" s="1366"/>
      <c r="C151" s="1366" t="s">
        <v>597</v>
      </c>
      <c r="D151" s="466" t="s">
        <v>797</v>
      </c>
      <c r="E151" s="466" t="s">
        <v>795</v>
      </c>
      <c r="F151" s="467">
        <v>165</v>
      </c>
      <c r="G151" s="468">
        <v>400</v>
      </c>
      <c r="H151" s="468">
        <v>66000</v>
      </c>
      <c r="I151" s="222"/>
    </row>
    <row r="152" spans="1:9" ht="20.100000000000001" customHeight="1">
      <c r="A152" s="1353">
        <v>10</v>
      </c>
      <c r="B152" s="1366"/>
      <c r="C152" s="1366" t="s">
        <v>597</v>
      </c>
      <c r="D152" s="466" t="s">
        <v>797</v>
      </c>
      <c r="E152" s="466" t="s">
        <v>796</v>
      </c>
      <c r="F152" s="467">
        <v>165</v>
      </c>
      <c r="G152" s="468">
        <v>400</v>
      </c>
      <c r="H152" s="468">
        <v>66000</v>
      </c>
      <c r="I152" s="222"/>
    </row>
    <row r="153" spans="1:9" ht="20.100000000000001" customHeight="1">
      <c r="A153" s="1353">
        <v>11</v>
      </c>
      <c r="B153" s="1366"/>
      <c r="C153" s="1366" t="s">
        <v>597</v>
      </c>
      <c r="D153" s="466" t="s">
        <v>798</v>
      </c>
      <c r="E153" s="466" t="s">
        <v>794</v>
      </c>
      <c r="F153" s="467">
        <v>132</v>
      </c>
      <c r="G153" s="468">
        <v>500</v>
      </c>
      <c r="H153" s="484">
        <v>66000</v>
      </c>
      <c r="I153" s="222"/>
    </row>
    <row r="154" spans="1:9" ht="20.100000000000001" customHeight="1">
      <c r="A154" s="1353">
        <v>12</v>
      </c>
      <c r="B154" s="1366"/>
      <c r="C154" s="1366" t="s">
        <v>597</v>
      </c>
      <c r="D154" s="466" t="s">
        <v>798</v>
      </c>
      <c r="E154" s="466" t="s">
        <v>795</v>
      </c>
      <c r="F154" s="467">
        <v>165</v>
      </c>
      <c r="G154" s="468">
        <v>400</v>
      </c>
      <c r="H154" s="484">
        <v>66000</v>
      </c>
      <c r="I154" s="222"/>
    </row>
    <row r="155" spans="1:9" ht="20.100000000000001" customHeight="1">
      <c r="A155" s="1353">
        <v>13</v>
      </c>
      <c r="B155" s="1366"/>
      <c r="C155" s="1366" t="s">
        <v>597</v>
      </c>
      <c r="D155" s="466" t="s">
        <v>798</v>
      </c>
      <c r="E155" s="466" t="s">
        <v>796</v>
      </c>
      <c r="F155" s="467">
        <v>165</v>
      </c>
      <c r="G155" s="468">
        <v>400</v>
      </c>
      <c r="H155" s="484">
        <v>66000</v>
      </c>
      <c r="I155" s="222"/>
    </row>
    <row r="156" spans="1:9" ht="20.100000000000001" customHeight="1">
      <c r="A156" s="1353">
        <v>14</v>
      </c>
      <c r="B156" s="1366"/>
      <c r="C156" s="1366" t="s">
        <v>597</v>
      </c>
      <c r="D156" s="466" t="s">
        <v>799</v>
      </c>
      <c r="E156" s="466" t="s">
        <v>794</v>
      </c>
      <c r="F156" s="467">
        <v>200</v>
      </c>
      <c r="G156" s="468">
        <v>500</v>
      </c>
      <c r="H156" s="468">
        <v>100000</v>
      </c>
      <c r="I156" s="222"/>
    </row>
    <row r="157" spans="1:9" ht="20.100000000000001" customHeight="1">
      <c r="A157" s="1353">
        <v>15</v>
      </c>
      <c r="B157" s="1366"/>
      <c r="C157" s="1366" t="s">
        <v>597</v>
      </c>
      <c r="D157" s="466" t="s">
        <v>799</v>
      </c>
      <c r="E157" s="466" t="s">
        <v>796</v>
      </c>
      <c r="F157" s="467">
        <v>250</v>
      </c>
      <c r="G157" s="468">
        <v>400</v>
      </c>
      <c r="H157" s="468">
        <v>100000</v>
      </c>
      <c r="I157" s="222"/>
    </row>
    <row r="158" spans="1:9" ht="20.100000000000001" customHeight="1">
      <c r="A158" s="202">
        <v>4</v>
      </c>
      <c r="B158" s="203" t="s">
        <v>800</v>
      </c>
      <c r="C158" s="460" t="s">
        <v>660</v>
      </c>
      <c r="D158" s="460" t="s">
        <v>660</v>
      </c>
      <c r="E158" s="460" t="s">
        <v>660</v>
      </c>
      <c r="F158" s="461" t="s">
        <v>183</v>
      </c>
      <c r="G158" s="462" t="s">
        <v>625</v>
      </c>
      <c r="H158" s="462">
        <v>100000</v>
      </c>
      <c r="I158" s="222"/>
    </row>
    <row r="159" spans="1:9" ht="20.100000000000001" customHeight="1">
      <c r="A159" s="207"/>
      <c r="B159" s="201" t="s">
        <v>801</v>
      </c>
      <c r="C159" s="200"/>
      <c r="D159" s="200"/>
      <c r="E159" s="200"/>
      <c r="F159" s="201"/>
      <c r="G159" s="200"/>
      <c r="H159" s="200">
        <f>SUM(H145:H158)</f>
        <v>1044000</v>
      </c>
    </row>
    <row r="160" spans="1:9" ht="20.100000000000001" customHeight="1">
      <c r="A160" s="198"/>
      <c r="B160" s="199" t="s">
        <v>802</v>
      </c>
      <c r="C160" s="200"/>
      <c r="D160" s="200"/>
      <c r="E160" s="200"/>
      <c r="F160" s="201"/>
      <c r="G160" s="200"/>
      <c r="H160" s="200">
        <f>SUM(H159,H144,H135,H123,H99,H83,H45,H32,H10)</f>
        <v>10218300</v>
      </c>
    </row>
  </sheetData>
  <mergeCells count="63">
    <mergeCell ref="D75:D78"/>
    <mergeCell ref="D52:D59"/>
    <mergeCell ref="B52:B78"/>
    <mergeCell ref="C52:C78"/>
    <mergeCell ref="A147:A157"/>
    <mergeCell ref="B147:B157"/>
    <mergeCell ref="C147:C157"/>
    <mergeCell ref="A119:A122"/>
    <mergeCell ref="B119:B122"/>
    <mergeCell ref="C119:C122"/>
    <mergeCell ref="D119:D122"/>
    <mergeCell ref="A136:A137"/>
    <mergeCell ref="B136:B137"/>
    <mergeCell ref="C136:C137"/>
    <mergeCell ref="A114:A115"/>
    <mergeCell ref="B114:B115"/>
    <mergeCell ref="C114:C115"/>
    <mergeCell ref="D114:D115"/>
    <mergeCell ref="A103:A104"/>
    <mergeCell ref="B103:B104"/>
    <mergeCell ref="C103:C104"/>
    <mergeCell ref="D103:D104"/>
    <mergeCell ref="A105:A107"/>
    <mergeCell ref="B105:B107"/>
    <mergeCell ref="C105:C107"/>
    <mergeCell ref="D42:D44"/>
    <mergeCell ref="A86:A88"/>
    <mergeCell ref="B86:B88"/>
    <mergeCell ref="C86:C88"/>
    <mergeCell ref="A34:A37"/>
    <mergeCell ref="B34:B37"/>
    <mergeCell ref="C34:C37"/>
    <mergeCell ref="D34:D37"/>
    <mergeCell ref="A38:A41"/>
    <mergeCell ref="B38:B41"/>
    <mergeCell ref="C38:C41"/>
    <mergeCell ref="D38:D41"/>
    <mergeCell ref="D60:D64"/>
    <mergeCell ref="D65:D67"/>
    <mergeCell ref="A52:A78"/>
    <mergeCell ref="D68:D74"/>
    <mergeCell ref="A27:A30"/>
    <mergeCell ref="B27:B30"/>
    <mergeCell ref="C27:C30"/>
    <mergeCell ref="A90:A95"/>
    <mergeCell ref="A42:A44"/>
    <mergeCell ref="B42:B44"/>
    <mergeCell ref="C42:C44"/>
    <mergeCell ref="B90:B95"/>
    <mergeCell ref="C90:C95"/>
    <mergeCell ref="A17:A18"/>
    <mergeCell ref="B17:B18"/>
    <mergeCell ref="C17:C18"/>
    <mergeCell ref="D17:D18"/>
    <mergeCell ref="A21:A26"/>
    <mergeCell ref="B21:B26"/>
    <mergeCell ref="C21:C26"/>
    <mergeCell ref="D21:D26"/>
    <mergeCell ref="A1:H1"/>
    <mergeCell ref="A12:A14"/>
    <mergeCell ref="B12:B14"/>
    <mergeCell ref="C12:C14"/>
    <mergeCell ref="D12:D14"/>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2"/>
  <sheetViews>
    <sheetView workbookViewId="0">
      <selection activeCell="B1" sqref="B1:G1"/>
    </sheetView>
  </sheetViews>
  <sheetFormatPr defaultRowHeight="13.5"/>
  <cols>
    <col min="1" max="1" width="6.5" style="181" customWidth="1"/>
    <col min="2" max="2" width="18.625" style="181" customWidth="1"/>
    <col min="3" max="3" width="24.125" style="181" customWidth="1"/>
    <col min="4" max="4" width="36.5" style="181" customWidth="1"/>
    <col min="5" max="5" width="6.875" style="181" customWidth="1"/>
    <col min="6" max="6" width="9.375" style="181" customWidth="1"/>
    <col min="7" max="7" width="10.375" style="181" customWidth="1"/>
    <col min="8" max="10" width="9" style="181"/>
    <col min="11" max="11" width="14.625" style="181" bestFit="1" customWidth="1"/>
    <col min="12" max="16384" width="9" style="181"/>
  </cols>
  <sheetData>
    <row r="1" spans="1:11" ht="20.25">
      <c r="A1" s="237"/>
      <c r="B1" s="1388" t="s">
        <v>1822</v>
      </c>
      <c r="C1" s="1388"/>
      <c r="D1" s="1388"/>
      <c r="E1" s="1388"/>
      <c r="F1" s="1388"/>
      <c r="G1" s="1388"/>
      <c r="H1" s="237"/>
    </row>
    <row r="2" spans="1:11" s="240" customFormat="1" ht="30" customHeight="1">
      <c r="A2" s="238" t="s">
        <v>0</v>
      </c>
      <c r="B2" s="238" t="s">
        <v>803</v>
      </c>
      <c r="C2" s="238" t="s">
        <v>575</v>
      </c>
      <c r="D2" s="238" t="s">
        <v>576</v>
      </c>
      <c r="E2" s="238" t="s">
        <v>578</v>
      </c>
      <c r="F2" s="238" t="s">
        <v>579</v>
      </c>
      <c r="G2" s="238" t="s">
        <v>580</v>
      </c>
      <c r="H2" s="239" t="s">
        <v>572</v>
      </c>
      <c r="I2" s="239" t="s">
        <v>1763</v>
      </c>
    </row>
    <row r="3" spans="1:11" ht="20.100000000000001" customHeight="1">
      <c r="A3" s="241">
        <v>1</v>
      </c>
      <c r="B3" s="242" t="s">
        <v>804</v>
      </c>
      <c r="C3" s="243" t="s">
        <v>805</v>
      </c>
      <c r="D3" s="243" t="s">
        <v>806</v>
      </c>
      <c r="E3" s="241">
        <v>1</v>
      </c>
      <c r="F3" s="241">
        <v>50000</v>
      </c>
      <c r="G3" s="241">
        <v>50000</v>
      </c>
      <c r="H3" s="244"/>
    </row>
    <row r="4" spans="1:11" ht="20.100000000000001" customHeight="1">
      <c r="A4" s="241">
        <v>2</v>
      </c>
      <c r="B4" s="242" t="s">
        <v>810</v>
      </c>
      <c r="C4" s="243" t="s">
        <v>811</v>
      </c>
      <c r="D4" s="243" t="s">
        <v>812</v>
      </c>
      <c r="E4" s="241">
        <v>1</v>
      </c>
      <c r="F4" s="241">
        <v>80000</v>
      </c>
      <c r="G4" s="241">
        <v>80000</v>
      </c>
      <c r="H4" s="244"/>
    </row>
    <row r="5" spans="1:11" ht="20.100000000000001" customHeight="1">
      <c r="A5" s="245">
        <v>3</v>
      </c>
      <c r="B5" s="246" t="s">
        <v>813</v>
      </c>
      <c r="C5" s="247" t="s">
        <v>814</v>
      </c>
      <c r="D5" s="247" t="s">
        <v>815</v>
      </c>
      <c r="E5" s="245">
        <v>1</v>
      </c>
      <c r="F5" s="245">
        <v>80000</v>
      </c>
      <c r="G5" s="245">
        <v>80000</v>
      </c>
      <c r="H5" s="248" t="s">
        <v>816</v>
      </c>
      <c r="I5" s="249">
        <v>-2</v>
      </c>
    </row>
    <row r="6" spans="1:11" ht="20.100000000000001" customHeight="1">
      <c r="A6" s="245">
        <v>4</v>
      </c>
      <c r="B6" s="246" t="s">
        <v>813</v>
      </c>
      <c r="C6" s="247" t="s">
        <v>819</v>
      </c>
      <c r="D6" s="247" t="s">
        <v>820</v>
      </c>
      <c r="E6" s="245">
        <v>1</v>
      </c>
      <c r="F6" s="245">
        <v>50000</v>
      </c>
      <c r="G6" s="245">
        <v>50000</v>
      </c>
      <c r="H6" s="248" t="s">
        <v>809</v>
      </c>
    </row>
    <row r="7" spans="1:11" ht="20.100000000000001" customHeight="1">
      <c r="A7" s="241">
        <v>5</v>
      </c>
      <c r="B7" s="242" t="s">
        <v>821</v>
      </c>
      <c r="C7" s="243" t="s">
        <v>822</v>
      </c>
      <c r="D7" s="243" t="s">
        <v>823</v>
      </c>
      <c r="E7" s="241">
        <v>1</v>
      </c>
      <c r="F7" s="241">
        <v>70000</v>
      </c>
      <c r="G7" s="241">
        <v>70000</v>
      </c>
      <c r="H7" s="244"/>
    </row>
    <row r="8" spans="1:11" ht="20.100000000000001" customHeight="1">
      <c r="A8" s="241">
        <v>6</v>
      </c>
      <c r="B8" s="242" t="s">
        <v>821</v>
      </c>
      <c r="C8" s="243" t="s">
        <v>805</v>
      </c>
      <c r="D8" s="243" t="s">
        <v>806</v>
      </c>
      <c r="E8" s="241">
        <v>1</v>
      </c>
      <c r="F8" s="241">
        <v>50000</v>
      </c>
      <c r="G8" s="241">
        <v>50000</v>
      </c>
      <c r="H8" s="244"/>
    </row>
    <row r="9" spans="1:11" ht="20.100000000000001" customHeight="1">
      <c r="A9" s="245">
        <v>7</v>
      </c>
      <c r="B9" s="246" t="s">
        <v>824</v>
      </c>
      <c r="C9" s="247" t="s">
        <v>825</v>
      </c>
      <c r="D9" s="247" t="s">
        <v>826</v>
      </c>
      <c r="E9" s="245">
        <v>1</v>
      </c>
      <c r="F9" s="245">
        <v>200000</v>
      </c>
      <c r="G9" s="245">
        <v>200000</v>
      </c>
      <c r="H9" s="237"/>
      <c r="I9" s="249">
        <v>-5</v>
      </c>
      <c r="K9" s="244">
        <v>15</v>
      </c>
    </row>
    <row r="10" spans="1:11" ht="20.100000000000001" customHeight="1">
      <c r="A10" s="250">
        <v>8</v>
      </c>
      <c r="B10" s="246" t="s">
        <v>824</v>
      </c>
      <c r="C10" s="247" t="s">
        <v>827</v>
      </c>
      <c r="D10" s="251" t="s">
        <v>1269</v>
      </c>
      <c r="E10" s="245">
        <v>1</v>
      </c>
      <c r="F10" s="245">
        <v>150000</v>
      </c>
      <c r="G10" s="245">
        <v>150000</v>
      </c>
      <c r="H10" s="237"/>
    </row>
    <row r="11" spans="1:11" ht="20.100000000000001" customHeight="1">
      <c r="A11" s="250">
        <v>9</v>
      </c>
      <c r="B11" s="252" t="s">
        <v>824</v>
      </c>
      <c r="C11" s="253" t="s">
        <v>1762</v>
      </c>
      <c r="D11" s="253" t="s">
        <v>1304</v>
      </c>
      <c r="E11" s="254">
        <v>1</v>
      </c>
      <c r="F11" s="254">
        <v>150000</v>
      </c>
      <c r="G11" s="254">
        <v>150000</v>
      </c>
      <c r="H11" s="237"/>
    </row>
    <row r="12" spans="1:11" ht="20.100000000000001" customHeight="1">
      <c r="A12" s="250">
        <v>10</v>
      </c>
      <c r="B12" s="255" t="s">
        <v>824</v>
      </c>
      <c r="C12" s="256" t="s">
        <v>817</v>
      </c>
      <c r="D12" s="256" t="s">
        <v>1303</v>
      </c>
      <c r="E12" s="257">
        <v>1</v>
      </c>
      <c r="F12" s="257">
        <v>160000</v>
      </c>
      <c r="G12" s="257">
        <v>160000</v>
      </c>
      <c r="H12" s="237"/>
    </row>
    <row r="13" spans="1:11" ht="20.100000000000001" customHeight="1">
      <c r="A13" s="258"/>
      <c r="B13" s="258" t="s">
        <v>828</v>
      </c>
      <c r="C13" s="259"/>
      <c r="D13" s="259"/>
      <c r="E13" s="258"/>
      <c r="F13" s="258"/>
      <c r="G13" s="258">
        <f>SUM(G3:G12)</f>
        <v>1040000</v>
      </c>
      <c r="H13" s="237"/>
    </row>
    <row r="14" spans="1:11" ht="20.100000000000001" customHeight="1">
      <c r="A14" s="250">
        <v>1</v>
      </c>
      <c r="B14" s="246" t="s">
        <v>829</v>
      </c>
      <c r="C14" s="247" t="s">
        <v>830</v>
      </c>
      <c r="D14" s="247" t="s">
        <v>831</v>
      </c>
      <c r="E14" s="245">
        <v>1</v>
      </c>
      <c r="F14" s="245">
        <v>55000</v>
      </c>
      <c r="G14" s="245">
        <v>55000</v>
      </c>
      <c r="H14" s="248" t="s">
        <v>832</v>
      </c>
    </row>
    <row r="15" spans="1:11" ht="20.100000000000001" customHeight="1">
      <c r="A15" s="241">
        <v>2</v>
      </c>
      <c r="B15" s="242" t="s">
        <v>834</v>
      </c>
      <c r="C15" s="243" t="s">
        <v>805</v>
      </c>
      <c r="D15" s="243" t="s">
        <v>806</v>
      </c>
      <c r="E15" s="241">
        <v>1</v>
      </c>
      <c r="F15" s="241">
        <v>50000</v>
      </c>
      <c r="G15" s="241">
        <v>50000</v>
      </c>
      <c r="H15" s="244" t="s">
        <v>835</v>
      </c>
    </row>
    <row r="16" spans="1:11" ht="20.100000000000001" customHeight="1">
      <c r="A16" s="260">
        <v>3</v>
      </c>
      <c r="B16" s="246" t="s">
        <v>834</v>
      </c>
      <c r="C16" s="247" t="s">
        <v>1270</v>
      </c>
      <c r="D16" s="247" t="s">
        <v>1271</v>
      </c>
      <c r="E16" s="245">
        <v>1</v>
      </c>
      <c r="F16" s="245">
        <v>60000</v>
      </c>
      <c r="G16" s="245">
        <v>60000</v>
      </c>
      <c r="H16" s="261" t="s">
        <v>832</v>
      </c>
    </row>
    <row r="17" spans="1:9" ht="20.100000000000001" customHeight="1">
      <c r="A17" s="241">
        <v>4</v>
      </c>
      <c r="B17" s="242" t="s">
        <v>836</v>
      </c>
      <c r="C17" s="243" t="s">
        <v>805</v>
      </c>
      <c r="D17" s="243" t="s">
        <v>806</v>
      </c>
      <c r="E17" s="241">
        <v>1</v>
      </c>
      <c r="F17" s="241">
        <v>50000</v>
      </c>
      <c r="G17" s="241">
        <v>50000</v>
      </c>
      <c r="H17" s="244"/>
    </row>
    <row r="18" spans="1:9" ht="20.100000000000001" customHeight="1">
      <c r="A18" s="241">
        <v>5</v>
      </c>
      <c r="B18" s="242" t="s">
        <v>836</v>
      </c>
      <c r="C18" s="243" t="s">
        <v>837</v>
      </c>
      <c r="D18" s="243" t="s">
        <v>838</v>
      </c>
      <c r="E18" s="241">
        <v>1</v>
      </c>
      <c r="F18" s="241">
        <v>47360</v>
      </c>
      <c r="G18" s="241">
        <v>47360</v>
      </c>
      <c r="H18" s="244"/>
    </row>
    <row r="19" spans="1:9" ht="20.100000000000001" customHeight="1">
      <c r="A19" s="250">
        <v>6</v>
      </c>
      <c r="B19" s="246" t="s">
        <v>836</v>
      </c>
      <c r="C19" s="247" t="s">
        <v>839</v>
      </c>
      <c r="D19" s="247" t="s">
        <v>840</v>
      </c>
      <c r="E19" s="245">
        <v>1</v>
      </c>
      <c r="F19" s="245">
        <v>52000</v>
      </c>
      <c r="G19" s="245">
        <v>52000</v>
      </c>
      <c r="H19" s="248" t="s">
        <v>841</v>
      </c>
    </row>
    <row r="20" spans="1:9" ht="20.100000000000001" customHeight="1">
      <c r="A20" s="241">
        <v>7</v>
      </c>
      <c r="B20" s="242" t="s">
        <v>842</v>
      </c>
      <c r="C20" s="243" t="s">
        <v>805</v>
      </c>
      <c r="D20" s="243" t="s">
        <v>806</v>
      </c>
      <c r="E20" s="241">
        <v>1</v>
      </c>
      <c r="F20" s="241">
        <v>50000</v>
      </c>
      <c r="G20" s="241">
        <v>50000</v>
      </c>
      <c r="H20" s="244"/>
    </row>
    <row r="21" spans="1:9" ht="20.100000000000001" customHeight="1">
      <c r="A21" s="241">
        <v>8</v>
      </c>
      <c r="B21" s="242" t="s">
        <v>842</v>
      </c>
      <c r="C21" s="243" t="s">
        <v>837</v>
      </c>
      <c r="D21" s="243" t="s">
        <v>838</v>
      </c>
      <c r="E21" s="241">
        <v>1</v>
      </c>
      <c r="F21" s="241">
        <v>71040</v>
      </c>
      <c r="G21" s="241">
        <v>71040</v>
      </c>
      <c r="H21" s="244"/>
    </row>
    <row r="22" spans="1:9" ht="20.100000000000001" customHeight="1">
      <c r="A22" s="250">
        <v>9</v>
      </c>
      <c r="B22" s="246" t="s">
        <v>842</v>
      </c>
      <c r="C22" s="247" t="s">
        <v>843</v>
      </c>
      <c r="D22" s="247" t="s">
        <v>844</v>
      </c>
      <c r="E22" s="245">
        <v>1</v>
      </c>
      <c r="F22" s="245">
        <v>100000</v>
      </c>
      <c r="G22" s="245">
        <v>100000</v>
      </c>
      <c r="H22" s="248" t="s">
        <v>845</v>
      </c>
    </row>
    <row r="23" spans="1:9" ht="20.100000000000001" customHeight="1">
      <c r="A23" s="250">
        <v>10</v>
      </c>
      <c r="B23" s="246" t="s">
        <v>842</v>
      </c>
      <c r="C23" s="247" t="s">
        <v>846</v>
      </c>
      <c r="D23" s="247" t="s">
        <v>847</v>
      </c>
      <c r="E23" s="245">
        <v>1</v>
      </c>
      <c r="F23" s="245">
        <v>80000</v>
      </c>
      <c r="G23" s="245">
        <v>80000</v>
      </c>
      <c r="H23" s="248" t="s">
        <v>833</v>
      </c>
    </row>
    <row r="24" spans="1:9" ht="20.100000000000001" customHeight="1">
      <c r="A24" s="250">
        <v>11</v>
      </c>
      <c r="B24" s="246" t="s">
        <v>842</v>
      </c>
      <c r="C24" s="247" t="s">
        <v>848</v>
      </c>
      <c r="D24" s="247" t="s">
        <v>1272</v>
      </c>
      <c r="E24" s="245">
        <v>1</v>
      </c>
      <c r="F24" s="245">
        <v>80000</v>
      </c>
      <c r="G24" s="245">
        <v>80000</v>
      </c>
      <c r="H24" s="248" t="s">
        <v>809</v>
      </c>
    </row>
    <row r="25" spans="1:9" ht="20.100000000000001" customHeight="1">
      <c r="A25" s="241">
        <v>12</v>
      </c>
      <c r="B25" s="242" t="s">
        <v>849</v>
      </c>
      <c r="C25" s="243" t="s">
        <v>822</v>
      </c>
      <c r="D25" s="243" t="s">
        <v>850</v>
      </c>
      <c r="E25" s="241">
        <v>1</v>
      </c>
      <c r="F25" s="241">
        <v>70000</v>
      </c>
      <c r="G25" s="241">
        <v>70000</v>
      </c>
      <c r="H25" s="244"/>
    </row>
    <row r="26" spans="1:9" ht="20.100000000000001" customHeight="1">
      <c r="A26" s="250">
        <v>13</v>
      </c>
      <c r="B26" s="246" t="s">
        <v>792</v>
      </c>
      <c r="C26" s="251" t="s">
        <v>1273</v>
      </c>
      <c r="D26" s="251" t="s">
        <v>1274</v>
      </c>
      <c r="E26" s="245">
        <v>1</v>
      </c>
      <c r="F26" s="245">
        <v>80000</v>
      </c>
      <c r="G26" s="245">
        <v>80000</v>
      </c>
      <c r="H26" s="237"/>
    </row>
    <row r="27" spans="1:9" ht="20.100000000000001" customHeight="1">
      <c r="A27" s="250">
        <v>14</v>
      </c>
      <c r="B27" s="246" t="s">
        <v>792</v>
      </c>
      <c r="C27" s="247" t="s">
        <v>851</v>
      </c>
      <c r="D27" s="251" t="s">
        <v>1275</v>
      </c>
      <c r="E27" s="245">
        <v>1</v>
      </c>
      <c r="F27" s="245">
        <v>80000</v>
      </c>
      <c r="G27" s="245">
        <v>80000</v>
      </c>
      <c r="H27" s="237"/>
    </row>
    <row r="28" spans="1:9" ht="20.100000000000001" customHeight="1">
      <c r="A28" s="245">
        <v>15</v>
      </c>
      <c r="B28" s="246" t="s">
        <v>792</v>
      </c>
      <c r="C28" s="247" t="s">
        <v>852</v>
      </c>
      <c r="D28" s="251" t="s">
        <v>1276</v>
      </c>
      <c r="E28" s="245">
        <v>1</v>
      </c>
      <c r="F28" s="245">
        <v>180000</v>
      </c>
      <c r="G28" s="245">
        <v>180000</v>
      </c>
      <c r="H28" s="262"/>
    </row>
    <row r="29" spans="1:9" ht="20.100000000000001" customHeight="1">
      <c r="A29" s="258"/>
      <c r="B29" s="258" t="s">
        <v>801</v>
      </c>
      <c r="C29" s="259"/>
      <c r="D29" s="259"/>
      <c r="E29" s="258"/>
      <c r="F29" s="258"/>
      <c r="G29" s="258">
        <v>1105400</v>
      </c>
      <c r="H29" s="237"/>
    </row>
    <row r="30" spans="1:9" ht="20.100000000000001" customHeight="1">
      <c r="A30" s="241">
        <v>1</v>
      </c>
      <c r="B30" s="242" t="s">
        <v>853</v>
      </c>
      <c r="C30" s="243" t="s">
        <v>805</v>
      </c>
      <c r="D30" s="243" t="s">
        <v>806</v>
      </c>
      <c r="E30" s="241">
        <v>1</v>
      </c>
      <c r="F30" s="241">
        <v>50000</v>
      </c>
      <c r="G30" s="241">
        <v>50000</v>
      </c>
      <c r="H30" s="244"/>
    </row>
    <row r="31" spans="1:9" ht="20.100000000000001" customHeight="1">
      <c r="A31" s="250">
        <v>2</v>
      </c>
      <c r="B31" s="246" t="s">
        <v>853</v>
      </c>
      <c r="C31" s="247" t="s">
        <v>854</v>
      </c>
      <c r="D31" s="247" t="s">
        <v>855</v>
      </c>
      <c r="E31" s="245">
        <v>1</v>
      </c>
      <c r="F31" s="245">
        <v>80000</v>
      </c>
      <c r="G31" s="245">
        <v>80000</v>
      </c>
      <c r="H31" s="248" t="s">
        <v>816</v>
      </c>
      <c r="I31" s="249">
        <v>-2</v>
      </c>
    </row>
    <row r="32" spans="1:9" ht="20.100000000000001" customHeight="1">
      <c r="A32" s="260">
        <v>3</v>
      </c>
      <c r="B32" s="263" t="s">
        <v>856</v>
      </c>
      <c r="C32" s="247" t="s">
        <v>1277</v>
      </c>
      <c r="D32" s="264" t="s">
        <v>1278</v>
      </c>
      <c r="E32" s="245">
        <v>40</v>
      </c>
      <c r="F32" s="245">
        <v>2000</v>
      </c>
      <c r="G32" s="245">
        <v>80000</v>
      </c>
      <c r="H32" s="261" t="s">
        <v>816</v>
      </c>
      <c r="I32" s="249">
        <v>-2</v>
      </c>
    </row>
    <row r="33" spans="1:9" ht="20.100000000000001" customHeight="1">
      <c r="A33" s="250">
        <v>4</v>
      </c>
      <c r="B33" s="246" t="s">
        <v>856</v>
      </c>
      <c r="C33" s="247" t="s">
        <v>807</v>
      </c>
      <c r="D33" s="251" t="s">
        <v>1279</v>
      </c>
      <c r="E33" s="245">
        <v>1</v>
      </c>
      <c r="F33" s="245">
        <v>80000</v>
      </c>
      <c r="G33" s="245">
        <v>80000</v>
      </c>
      <c r="H33" s="248" t="s">
        <v>809</v>
      </c>
    </row>
    <row r="34" spans="1:9" ht="20.100000000000001" customHeight="1">
      <c r="A34" s="241">
        <v>5</v>
      </c>
      <c r="B34" s="242" t="s">
        <v>857</v>
      </c>
      <c r="C34" s="243" t="s">
        <v>805</v>
      </c>
      <c r="D34" s="243" t="s">
        <v>806</v>
      </c>
      <c r="E34" s="241">
        <v>1</v>
      </c>
      <c r="F34" s="241">
        <v>50000</v>
      </c>
      <c r="G34" s="241">
        <v>50000</v>
      </c>
      <c r="H34" s="244"/>
    </row>
    <row r="35" spans="1:9" ht="20.100000000000001" customHeight="1">
      <c r="A35" s="250">
        <v>6</v>
      </c>
      <c r="B35" s="246" t="s">
        <v>857</v>
      </c>
      <c r="C35" s="247" t="s">
        <v>858</v>
      </c>
      <c r="D35" s="247" t="s">
        <v>859</v>
      </c>
      <c r="E35" s="245">
        <v>1</v>
      </c>
      <c r="F35" s="245">
        <v>50000</v>
      </c>
      <c r="G35" s="245">
        <v>50000</v>
      </c>
      <c r="H35" s="248" t="s">
        <v>833</v>
      </c>
    </row>
    <row r="36" spans="1:9" ht="20.100000000000001" customHeight="1">
      <c r="A36" s="250">
        <v>7</v>
      </c>
      <c r="B36" s="246" t="s">
        <v>661</v>
      </c>
      <c r="C36" s="247" t="s">
        <v>861</v>
      </c>
      <c r="D36" s="251" t="s">
        <v>1280</v>
      </c>
      <c r="E36" s="245">
        <v>1</v>
      </c>
      <c r="F36" s="245">
        <v>88000</v>
      </c>
      <c r="G36" s="245">
        <v>88000</v>
      </c>
      <c r="H36" s="237"/>
    </row>
    <row r="37" spans="1:9" ht="20.100000000000001" customHeight="1">
      <c r="A37" s="250">
        <v>8</v>
      </c>
      <c r="B37" s="246" t="s">
        <v>661</v>
      </c>
      <c r="C37" s="247" t="s">
        <v>862</v>
      </c>
      <c r="D37" s="251" t="s">
        <v>1281</v>
      </c>
      <c r="E37" s="245">
        <v>1</v>
      </c>
      <c r="F37" s="245">
        <v>250000</v>
      </c>
      <c r="G37" s="245">
        <v>250000</v>
      </c>
      <c r="H37" s="237"/>
    </row>
    <row r="38" spans="1:9" ht="20.100000000000001" customHeight="1">
      <c r="A38" s="250">
        <v>9</v>
      </c>
      <c r="B38" s="246" t="s">
        <v>661</v>
      </c>
      <c r="C38" s="251" t="s">
        <v>1282</v>
      </c>
      <c r="D38" s="251" t="s">
        <v>1283</v>
      </c>
      <c r="E38" s="245">
        <v>1</v>
      </c>
      <c r="F38" s="245">
        <v>120000</v>
      </c>
      <c r="G38" s="245">
        <v>120000</v>
      </c>
      <c r="H38" s="237"/>
    </row>
    <row r="39" spans="1:9" ht="20.100000000000001" customHeight="1">
      <c r="A39" s="258"/>
      <c r="B39" s="258" t="s">
        <v>676</v>
      </c>
      <c r="C39" s="259"/>
      <c r="D39" s="259"/>
      <c r="E39" s="258"/>
      <c r="F39" s="258"/>
      <c r="G39" s="258">
        <f>SUM(G30:G38)</f>
        <v>848000</v>
      </c>
      <c r="H39" s="237"/>
    </row>
    <row r="40" spans="1:9" ht="20.100000000000001" customHeight="1">
      <c r="A40" s="250">
        <v>1</v>
      </c>
      <c r="B40" s="246" t="s">
        <v>863</v>
      </c>
      <c r="C40" s="247" t="s">
        <v>864</v>
      </c>
      <c r="D40" s="247" t="s">
        <v>865</v>
      </c>
      <c r="E40" s="245">
        <v>1</v>
      </c>
      <c r="F40" s="245">
        <v>80000</v>
      </c>
      <c r="G40" s="245">
        <v>80000</v>
      </c>
      <c r="H40" s="248" t="s">
        <v>809</v>
      </c>
    </row>
    <row r="41" spans="1:9" ht="20.100000000000001" customHeight="1">
      <c r="A41" s="250">
        <v>2</v>
      </c>
      <c r="B41" s="246" t="s">
        <v>863</v>
      </c>
      <c r="C41" s="247" t="s">
        <v>866</v>
      </c>
      <c r="D41" s="251" t="s">
        <v>1284</v>
      </c>
      <c r="E41" s="245">
        <v>1</v>
      </c>
      <c r="F41" s="245">
        <v>80000</v>
      </c>
      <c r="G41" s="245">
        <v>80000</v>
      </c>
      <c r="H41" s="248" t="s">
        <v>860</v>
      </c>
    </row>
    <row r="42" spans="1:9" ht="20.100000000000001" customHeight="1">
      <c r="A42" s="241">
        <v>3</v>
      </c>
      <c r="B42" s="242" t="s">
        <v>867</v>
      </c>
      <c r="C42" s="243" t="s">
        <v>805</v>
      </c>
      <c r="D42" s="243" t="s">
        <v>806</v>
      </c>
      <c r="E42" s="241">
        <v>1</v>
      </c>
      <c r="F42" s="241">
        <v>50000</v>
      </c>
      <c r="G42" s="241">
        <v>50000</v>
      </c>
      <c r="H42" s="244"/>
    </row>
    <row r="43" spans="1:9" ht="20.100000000000001" customHeight="1">
      <c r="A43" s="241">
        <v>4</v>
      </c>
      <c r="B43" s="242" t="s">
        <v>174</v>
      </c>
      <c r="C43" s="243" t="s">
        <v>805</v>
      </c>
      <c r="D43" s="243" t="s">
        <v>806</v>
      </c>
      <c r="E43" s="241">
        <v>1</v>
      </c>
      <c r="F43" s="241">
        <v>50000</v>
      </c>
      <c r="G43" s="241">
        <v>50000</v>
      </c>
      <c r="H43" s="244"/>
    </row>
    <row r="44" spans="1:9" ht="20.100000000000001" customHeight="1">
      <c r="A44" s="250">
        <v>5</v>
      </c>
      <c r="B44" s="246" t="s">
        <v>174</v>
      </c>
      <c r="C44" s="247" t="s">
        <v>868</v>
      </c>
      <c r="D44" s="247" t="s">
        <v>868</v>
      </c>
      <c r="E44" s="245">
        <v>1</v>
      </c>
      <c r="F44" s="245">
        <v>50000</v>
      </c>
      <c r="G44" s="245">
        <v>50000</v>
      </c>
      <c r="H44" s="248" t="s">
        <v>809</v>
      </c>
      <c r="I44" s="249"/>
    </row>
    <row r="45" spans="1:9" ht="20.100000000000001" customHeight="1">
      <c r="A45" s="250">
        <v>6</v>
      </c>
      <c r="B45" s="246" t="s">
        <v>869</v>
      </c>
      <c r="C45" s="247" t="s">
        <v>870</v>
      </c>
      <c r="D45" s="247" t="s">
        <v>870</v>
      </c>
      <c r="E45" s="245">
        <v>1</v>
      </c>
      <c r="F45" s="245">
        <v>80000</v>
      </c>
      <c r="G45" s="245">
        <v>80000</v>
      </c>
      <c r="H45" s="1389" t="s">
        <v>809</v>
      </c>
      <c r="I45" s="249">
        <v>-2</v>
      </c>
    </row>
    <row r="46" spans="1:9" ht="20.100000000000001" customHeight="1">
      <c r="A46" s="250">
        <v>7</v>
      </c>
      <c r="B46" s="246" t="s">
        <v>869</v>
      </c>
      <c r="C46" s="247" t="s">
        <v>871</v>
      </c>
      <c r="D46" s="247" t="s">
        <v>871</v>
      </c>
      <c r="E46" s="245">
        <v>1</v>
      </c>
      <c r="F46" s="245">
        <v>50000</v>
      </c>
      <c r="G46" s="245">
        <v>50000</v>
      </c>
      <c r="H46" s="1389"/>
    </row>
    <row r="47" spans="1:9" ht="20.100000000000001" customHeight="1">
      <c r="A47" s="241">
        <v>8</v>
      </c>
      <c r="B47" s="242" t="s">
        <v>872</v>
      </c>
      <c r="C47" s="243" t="s">
        <v>805</v>
      </c>
      <c r="D47" s="243" t="s">
        <v>806</v>
      </c>
      <c r="E47" s="241">
        <v>1</v>
      </c>
      <c r="F47" s="241">
        <v>50000</v>
      </c>
      <c r="G47" s="241">
        <v>50000</v>
      </c>
      <c r="H47" s="244"/>
    </row>
    <row r="48" spans="1:9" ht="20.100000000000001" customHeight="1">
      <c r="A48" s="241">
        <v>9</v>
      </c>
      <c r="B48" s="242" t="s">
        <v>873</v>
      </c>
      <c r="C48" s="243" t="s">
        <v>805</v>
      </c>
      <c r="D48" s="243" t="s">
        <v>806</v>
      </c>
      <c r="E48" s="241">
        <v>1</v>
      </c>
      <c r="F48" s="241">
        <v>50000</v>
      </c>
      <c r="G48" s="241">
        <v>50000</v>
      </c>
      <c r="H48" s="244" t="s">
        <v>835</v>
      </c>
    </row>
    <row r="49" spans="1:9" ht="20.100000000000001" customHeight="1">
      <c r="A49" s="250">
        <v>10</v>
      </c>
      <c r="B49" s="246" t="s">
        <v>873</v>
      </c>
      <c r="C49" s="251" t="s">
        <v>1285</v>
      </c>
      <c r="D49" s="251" t="s">
        <v>1286</v>
      </c>
      <c r="E49" s="245">
        <v>1</v>
      </c>
      <c r="F49" s="245">
        <v>170000</v>
      </c>
      <c r="G49" s="245">
        <v>170000</v>
      </c>
      <c r="H49" s="248" t="s">
        <v>809</v>
      </c>
    </row>
    <row r="50" spans="1:9" ht="20.100000000000001" customHeight="1">
      <c r="A50" s="250">
        <v>11</v>
      </c>
      <c r="B50" s="246" t="s">
        <v>873</v>
      </c>
      <c r="C50" s="247" t="s">
        <v>874</v>
      </c>
      <c r="D50" s="247" t="s">
        <v>875</v>
      </c>
      <c r="E50" s="245">
        <v>1</v>
      </c>
      <c r="F50" s="245">
        <v>100000</v>
      </c>
      <c r="G50" s="245">
        <v>100000</v>
      </c>
      <c r="H50" s="248" t="s">
        <v>860</v>
      </c>
    </row>
    <row r="51" spans="1:9" ht="20.100000000000001" customHeight="1">
      <c r="A51" s="250">
        <v>12</v>
      </c>
      <c r="B51" s="246" t="s">
        <v>873</v>
      </c>
      <c r="C51" s="247" t="s">
        <v>807</v>
      </c>
      <c r="D51" s="251" t="s">
        <v>1287</v>
      </c>
      <c r="E51" s="245">
        <v>1</v>
      </c>
      <c r="F51" s="245">
        <v>80000</v>
      </c>
      <c r="G51" s="245">
        <v>80000</v>
      </c>
      <c r="H51" s="248" t="s">
        <v>832</v>
      </c>
    </row>
    <row r="52" spans="1:9" ht="20.100000000000001" customHeight="1">
      <c r="A52" s="250">
        <v>13</v>
      </c>
      <c r="B52" s="246" t="s">
        <v>876</v>
      </c>
      <c r="C52" s="247" t="s">
        <v>877</v>
      </c>
      <c r="D52" s="247" t="s">
        <v>878</v>
      </c>
      <c r="E52" s="245">
        <v>1</v>
      </c>
      <c r="F52" s="245">
        <v>180000</v>
      </c>
      <c r="G52" s="245">
        <v>180000</v>
      </c>
      <c r="H52" s="237"/>
    </row>
    <row r="53" spans="1:9" ht="20.100000000000001" customHeight="1">
      <c r="A53" s="250">
        <v>14</v>
      </c>
      <c r="B53" s="246" t="s">
        <v>876</v>
      </c>
      <c r="C53" s="247" t="s">
        <v>879</v>
      </c>
      <c r="D53" s="247" t="s">
        <v>880</v>
      </c>
      <c r="E53" s="245">
        <v>1</v>
      </c>
      <c r="F53" s="245">
        <v>100000</v>
      </c>
      <c r="G53" s="245">
        <v>100000</v>
      </c>
      <c r="H53" s="237"/>
    </row>
    <row r="54" spans="1:9" ht="20.100000000000001" customHeight="1">
      <c r="A54" s="250">
        <v>15</v>
      </c>
      <c r="B54" s="246" t="s">
        <v>876</v>
      </c>
      <c r="C54" s="247" t="s">
        <v>881</v>
      </c>
      <c r="D54" s="247" t="s">
        <v>882</v>
      </c>
      <c r="E54" s="245">
        <v>1</v>
      </c>
      <c r="F54" s="245">
        <v>80000</v>
      </c>
      <c r="G54" s="245">
        <v>80000</v>
      </c>
      <c r="H54" s="237"/>
    </row>
    <row r="55" spans="1:9" ht="20.100000000000001" customHeight="1">
      <c r="A55" s="258"/>
      <c r="B55" s="258" t="s">
        <v>755</v>
      </c>
      <c r="C55" s="259"/>
      <c r="D55" s="259"/>
      <c r="E55" s="258"/>
      <c r="F55" s="258"/>
      <c r="G55" s="258">
        <f>SUM(G40:G54)</f>
        <v>1250000</v>
      </c>
      <c r="H55" s="237"/>
    </row>
    <row r="56" spans="1:9" ht="20.100000000000001" customHeight="1">
      <c r="A56" s="241">
        <v>1</v>
      </c>
      <c r="B56" s="242" t="s">
        <v>883</v>
      </c>
      <c r="C56" s="243" t="s">
        <v>805</v>
      </c>
      <c r="D56" s="243" t="s">
        <v>806</v>
      </c>
      <c r="E56" s="241">
        <v>1</v>
      </c>
      <c r="F56" s="241">
        <v>50000</v>
      </c>
      <c r="G56" s="241">
        <v>50000</v>
      </c>
      <c r="H56" s="244"/>
    </row>
    <row r="57" spans="1:9" ht="20.100000000000001" customHeight="1">
      <c r="A57" s="250">
        <v>2</v>
      </c>
      <c r="B57" s="246" t="s">
        <v>883</v>
      </c>
      <c r="C57" s="247" t="s">
        <v>854</v>
      </c>
      <c r="D57" s="247" t="s">
        <v>885</v>
      </c>
      <c r="E57" s="245">
        <v>1</v>
      </c>
      <c r="F57" s="245">
        <v>80000</v>
      </c>
      <c r="G57" s="245">
        <v>80000</v>
      </c>
      <c r="H57" s="248" t="s">
        <v>816</v>
      </c>
      <c r="I57" s="249">
        <v>-2</v>
      </c>
    </row>
    <row r="58" spans="1:9" ht="20.100000000000001" customHeight="1">
      <c r="A58" s="250">
        <v>3</v>
      </c>
      <c r="B58" s="246" t="s">
        <v>884</v>
      </c>
      <c r="C58" s="247" t="s">
        <v>886</v>
      </c>
      <c r="D58" s="247" t="s">
        <v>887</v>
      </c>
      <c r="E58" s="245">
        <v>1</v>
      </c>
      <c r="F58" s="245">
        <v>37200</v>
      </c>
      <c r="G58" s="245">
        <v>37200</v>
      </c>
      <c r="H58" s="248" t="s">
        <v>818</v>
      </c>
    </row>
    <row r="59" spans="1:9" ht="20.100000000000001" customHeight="1">
      <c r="A59" s="241">
        <v>4</v>
      </c>
      <c r="B59" s="242" t="s">
        <v>888</v>
      </c>
      <c r="C59" s="243" t="s">
        <v>811</v>
      </c>
      <c r="D59" s="243" t="s">
        <v>812</v>
      </c>
      <c r="E59" s="241">
        <v>1</v>
      </c>
      <c r="F59" s="241">
        <v>80000</v>
      </c>
      <c r="G59" s="241">
        <v>80000</v>
      </c>
      <c r="H59" s="244"/>
    </row>
    <row r="60" spans="1:9" ht="20.100000000000001" customHeight="1">
      <c r="A60" s="241">
        <v>5</v>
      </c>
      <c r="B60" s="242" t="s">
        <v>888</v>
      </c>
      <c r="C60" s="243" t="s">
        <v>822</v>
      </c>
      <c r="D60" s="243" t="s">
        <v>823</v>
      </c>
      <c r="E60" s="241">
        <v>1</v>
      </c>
      <c r="F60" s="241">
        <v>70000</v>
      </c>
      <c r="G60" s="241">
        <v>70000</v>
      </c>
      <c r="H60" s="244"/>
    </row>
    <row r="61" spans="1:9" ht="20.100000000000001" customHeight="1">
      <c r="A61" s="250">
        <v>6</v>
      </c>
      <c r="B61" s="246" t="s">
        <v>888</v>
      </c>
      <c r="C61" s="247" t="s">
        <v>889</v>
      </c>
      <c r="D61" s="247" t="s">
        <v>890</v>
      </c>
      <c r="E61" s="245">
        <v>1</v>
      </c>
      <c r="F61" s="245">
        <v>50000</v>
      </c>
      <c r="G61" s="245">
        <v>50000</v>
      </c>
      <c r="H61" s="248" t="s">
        <v>816</v>
      </c>
    </row>
    <row r="62" spans="1:9" ht="20.100000000000001" customHeight="1">
      <c r="A62" s="241">
        <v>7</v>
      </c>
      <c r="B62" s="242" t="s">
        <v>891</v>
      </c>
      <c r="C62" s="243" t="s">
        <v>811</v>
      </c>
      <c r="D62" s="243" t="s">
        <v>812</v>
      </c>
      <c r="E62" s="241">
        <v>1</v>
      </c>
      <c r="F62" s="241">
        <v>80000</v>
      </c>
      <c r="G62" s="241">
        <v>80000</v>
      </c>
      <c r="H62" s="244"/>
    </row>
    <row r="63" spans="1:9" ht="20.100000000000001" customHeight="1">
      <c r="A63" s="241">
        <v>8</v>
      </c>
      <c r="B63" s="242" t="s">
        <v>891</v>
      </c>
      <c r="C63" s="243" t="s">
        <v>805</v>
      </c>
      <c r="D63" s="243" t="s">
        <v>806</v>
      </c>
      <c r="E63" s="241">
        <v>1</v>
      </c>
      <c r="F63" s="241">
        <v>50000</v>
      </c>
      <c r="G63" s="241">
        <v>50000</v>
      </c>
      <c r="H63" s="244"/>
    </row>
    <row r="64" spans="1:9" ht="20.100000000000001" customHeight="1">
      <c r="A64" s="250">
        <v>9</v>
      </c>
      <c r="B64" s="246" t="s">
        <v>891</v>
      </c>
      <c r="C64" s="247" t="s">
        <v>892</v>
      </c>
      <c r="D64" s="247" t="s">
        <v>893</v>
      </c>
      <c r="E64" s="245">
        <v>1</v>
      </c>
      <c r="F64" s="245">
        <v>60000</v>
      </c>
      <c r="G64" s="245">
        <v>60000</v>
      </c>
      <c r="H64" s="248" t="s">
        <v>816</v>
      </c>
    </row>
    <row r="65" spans="1:8" ht="20.100000000000001" customHeight="1">
      <c r="A65" s="241">
        <v>10</v>
      </c>
      <c r="B65" s="242" t="s">
        <v>894</v>
      </c>
      <c r="C65" s="243" t="s">
        <v>837</v>
      </c>
      <c r="D65" s="243" t="s">
        <v>838</v>
      </c>
      <c r="E65" s="241">
        <v>1</v>
      </c>
      <c r="F65" s="241">
        <v>71040</v>
      </c>
      <c r="G65" s="241">
        <v>71040</v>
      </c>
      <c r="H65" s="244"/>
    </row>
    <row r="66" spans="1:8" ht="20.100000000000001" customHeight="1">
      <c r="A66" s="241">
        <v>11</v>
      </c>
      <c r="B66" s="242" t="s">
        <v>895</v>
      </c>
      <c r="C66" s="243" t="s">
        <v>837</v>
      </c>
      <c r="D66" s="243" t="s">
        <v>838</v>
      </c>
      <c r="E66" s="241">
        <v>1</v>
      </c>
      <c r="F66" s="241">
        <v>65120</v>
      </c>
      <c r="G66" s="241">
        <v>65120</v>
      </c>
      <c r="H66" s="244"/>
    </row>
    <row r="67" spans="1:8" ht="20.100000000000001" customHeight="1">
      <c r="A67" s="250">
        <v>12</v>
      </c>
      <c r="B67" s="246" t="s">
        <v>896</v>
      </c>
      <c r="C67" s="251" t="s">
        <v>1288</v>
      </c>
      <c r="D67" s="251" t="s">
        <v>1289</v>
      </c>
      <c r="E67" s="245">
        <v>1</v>
      </c>
      <c r="F67" s="245">
        <v>100000</v>
      </c>
      <c r="G67" s="245">
        <v>100000</v>
      </c>
      <c r="H67" s="237"/>
    </row>
    <row r="68" spans="1:8" ht="20.100000000000001" customHeight="1">
      <c r="A68" s="250">
        <v>13</v>
      </c>
      <c r="B68" s="246" t="s">
        <v>896</v>
      </c>
      <c r="C68" s="251" t="s">
        <v>1290</v>
      </c>
      <c r="D68" s="251" t="s">
        <v>1291</v>
      </c>
      <c r="E68" s="245">
        <v>1</v>
      </c>
      <c r="F68" s="245">
        <v>150000</v>
      </c>
      <c r="G68" s="245">
        <v>150000</v>
      </c>
      <c r="H68" s="237"/>
    </row>
    <row r="69" spans="1:8" ht="20.100000000000001" customHeight="1">
      <c r="A69" s="250">
        <v>14</v>
      </c>
      <c r="B69" s="246" t="s">
        <v>896</v>
      </c>
      <c r="C69" s="247" t="s">
        <v>897</v>
      </c>
      <c r="D69" s="247" t="s">
        <v>898</v>
      </c>
      <c r="E69" s="245">
        <v>1</v>
      </c>
      <c r="F69" s="245">
        <v>80000</v>
      </c>
      <c r="G69" s="245">
        <v>80000</v>
      </c>
      <c r="H69" s="237"/>
    </row>
    <row r="70" spans="1:8" ht="20.100000000000001" customHeight="1">
      <c r="A70" s="250">
        <v>15</v>
      </c>
      <c r="B70" s="246" t="s">
        <v>896</v>
      </c>
      <c r="C70" s="247" t="s">
        <v>899</v>
      </c>
      <c r="D70" s="247" t="s">
        <v>900</v>
      </c>
      <c r="E70" s="245">
        <v>1</v>
      </c>
      <c r="F70" s="245">
        <v>100000</v>
      </c>
      <c r="G70" s="245">
        <v>100000</v>
      </c>
      <c r="H70" s="237"/>
    </row>
    <row r="71" spans="1:8" ht="20.100000000000001" customHeight="1">
      <c r="A71" s="258"/>
      <c r="B71" s="258" t="s">
        <v>658</v>
      </c>
      <c r="C71" s="259"/>
      <c r="D71" s="259"/>
      <c r="E71" s="258"/>
      <c r="F71" s="258"/>
      <c r="G71" s="258">
        <f>SUM(G56:G70)</f>
        <v>1123360</v>
      </c>
      <c r="H71" s="237"/>
    </row>
    <row r="72" spans="1:8" ht="20.100000000000001" customHeight="1">
      <c r="A72" s="241">
        <v>1</v>
      </c>
      <c r="B72" s="242" t="s">
        <v>901</v>
      </c>
      <c r="C72" s="243" t="s">
        <v>811</v>
      </c>
      <c r="D72" s="243" t="s">
        <v>812</v>
      </c>
      <c r="E72" s="241">
        <v>1</v>
      </c>
      <c r="F72" s="241">
        <v>80000</v>
      </c>
      <c r="G72" s="241">
        <v>80000</v>
      </c>
      <c r="H72" s="244"/>
    </row>
    <row r="73" spans="1:8" ht="20.100000000000001" customHeight="1">
      <c r="A73" s="241">
        <v>2</v>
      </c>
      <c r="B73" s="242" t="s">
        <v>901</v>
      </c>
      <c r="C73" s="243" t="s">
        <v>822</v>
      </c>
      <c r="D73" s="243" t="s">
        <v>902</v>
      </c>
      <c r="E73" s="241">
        <v>1</v>
      </c>
      <c r="F73" s="241">
        <v>70000</v>
      </c>
      <c r="G73" s="241">
        <v>70000</v>
      </c>
      <c r="H73" s="244"/>
    </row>
    <row r="74" spans="1:8" ht="20.100000000000001" customHeight="1">
      <c r="A74" s="241">
        <v>3</v>
      </c>
      <c r="B74" s="242" t="s">
        <v>901</v>
      </c>
      <c r="C74" s="243" t="s">
        <v>805</v>
      </c>
      <c r="D74" s="243" t="s">
        <v>806</v>
      </c>
      <c r="E74" s="241">
        <v>1</v>
      </c>
      <c r="F74" s="241">
        <v>50000</v>
      </c>
      <c r="G74" s="241">
        <v>50000</v>
      </c>
      <c r="H74" s="244"/>
    </row>
    <row r="75" spans="1:8" ht="20.100000000000001" customHeight="1">
      <c r="A75" s="241">
        <v>4</v>
      </c>
      <c r="B75" s="242" t="s">
        <v>903</v>
      </c>
      <c r="C75" s="243" t="s">
        <v>811</v>
      </c>
      <c r="D75" s="243" t="s">
        <v>812</v>
      </c>
      <c r="E75" s="241">
        <v>1</v>
      </c>
      <c r="F75" s="241">
        <v>80000</v>
      </c>
      <c r="G75" s="241">
        <v>80000</v>
      </c>
      <c r="H75" s="244"/>
    </row>
    <row r="76" spans="1:8" ht="20.100000000000001" customHeight="1">
      <c r="A76" s="241">
        <v>5</v>
      </c>
      <c r="B76" s="242" t="s">
        <v>904</v>
      </c>
      <c r="C76" s="243" t="s">
        <v>822</v>
      </c>
      <c r="D76" s="243" t="s">
        <v>905</v>
      </c>
      <c r="E76" s="241">
        <v>1</v>
      </c>
      <c r="F76" s="241">
        <v>70000</v>
      </c>
      <c r="G76" s="241">
        <v>70000</v>
      </c>
      <c r="H76" s="244"/>
    </row>
    <row r="77" spans="1:8" ht="20.100000000000001" customHeight="1">
      <c r="A77" s="241">
        <v>6</v>
      </c>
      <c r="B77" s="242" t="s">
        <v>904</v>
      </c>
      <c r="C77" s="243" t="s">
        <v>805</v>
      </c>
      <c r="D77" s="243" t="s">
        <v>806</v>
      </c>
      <c r="E77" s="241">
        <v>1</v>
      </c>
      <c r="F77" s="241">
        <v>50000</v>
      </c>
      <c r="G77" s="241">
        <v>50000</v>
      </c>
      <c r="H77" s="244"/>
    </row>
    <row r="78" spans="1:8" ht="20.100000000000001" customHeight="1">
      <c r="A78" s="250">
        <v>7</v>
      </c>
      <c r="B78" s="246" t="s">
        <v>904</v>
      </c>
      <c r="C78" s="247" t="s">
        <v>906</v>
      </c>
      <c r="D78" s="247" t="s">
        <v>907</v>
      </c>
      <c r="E78" s="245">
        <v>1</v>
      </c>
      <c r="F78" s="245">
        <v>80000</v>
      </c>
      <c r="G78" s="245">
        <v>80000</v>
      </c>
      <c r="H78" s="248" t="s">
        <v>860</v>
      </c>
    </row>
    <row r="79" spans="1:8" ht="20.100000000000001" customHeight="1">
      <c r="A79" s="250">
        <v>8</v>
      </c>
      <c r="B79" s="246" t="s">
        <v>904</v>
      </c>
      <c r="C79" s="247" t="s">
        <v>908</v>
      </c>
      <c r="D79" s="251" t="s">
        <v>1292</v>
      </c>
      <c r="E79" s="245">
        <v>1</v>
      </c>
      <c r="F79" s="245">
        <v>60000</v>
      </c>
      <c r="G79" s="245">
        <v>60000</v>
      </c>
      <c r="H79" s="1389" t="s">
        <v>809</v>
      </c>
    </row>
    <row r="80" spans="1:8" ht="20.100000000000001" customHeight="1">
      <c r="A80" s="250">
        <v>9</v>
      </c>
      <c r="B80" s="246" t="s">
        <v>904</v>
      </c>
      <c r="C80" s="247" t="s">
        <v>909</v>
      </c>
      <c r="D80" s="247" t="s">
        <v>910</v>
      </c>
      <c r="E80" s="245">
        <v>1</v>
      </c>
      <c r="F80" s="245">
        <v>80000</v>
      </c>
      <c r="G80" s="245">
        <v>80000</v>
      </c>
      <c r="H80" s="1389"/>
    </row>
    <row r="81" spans="1:9" ht="20.100000000000001" customHeight="1">
      <c r="A81" s="250">
        <v>10</v>
      </c>
      <c r="B81" s="246" t="s">
        <v>911</v>
      </c>
      <c r="C81" s="247" t="s">
        <v>912</v>
      </c>
      <c r="D81" s="247" t="s">
        <v>913</v>
      </c>
      <c r="E81" s="245">
        <v>1</v>
      </c>
      <c r="F81" s="245">
        <v>80000</v>
      </c>
      <c r="G81" s="245">
        <v>80000</v>
      </c>
      <c r="H81" s="248" t="s">
        <v>809</v>
      </c>
    </row>
    <row r="82" spans="1:9" ht="20.100000000000001" customHeight="1">
      <c r="A82" s="250">
        <v>11</v>
      </c>
      <c r="B82" s="246" t="s">
        <v>911</v>
      </c>
      <c r="C82" s="247" t="s">
        <v>914</v>
      </c>
      <c r="D82" s="251" t="s">
        <v>1293</v>
      </c>
      <c r="E82" s="245">
        <v>1</v>
      </c>
      <c r="F82" s="245">
        <v>80000</v>
      </c>
      <c r="G82" s="245">
        <v>80000</v>
      </c>
      <c r="H82" s="248" t="s">
        <v>845</v>
      </c>
      <c r="I82" s="249">
        <v>-2</v>
      </c>
    </row>
    <row r="83" spans="1:9" ht="20.100000000000001" customHeight="1">
      <c r="A83" s="250">
        <v>12</v>
      </c>
      <c r="B83" s="246" t="s">
        <v>915</v>
      </c>
      <c r="C83" s="247" t="s">
        <v>916</v>
      </c>
      <c r="D83" s="247" t="s">
        <v>913</v>
      </c>
      <c r="E83" s="245">
        <v>1</v>
      </c>
      <c r="F83" s="245">
        <v>80000</v>
      </c>
      <c r="G83" s="245">
        <v>80000</v>
      </c>
      <c r="H83" s="248" t="s">
        <v>809</v>
      </c>
    </row>
    <row r="84" spans="1:9" ht="20.100000000000001" customHeight="1">
      <c r="A84" s="250">
        <v>13</v>
      </c>
      <c r="B84" s="246" t="s">
        <v>917</v>
      </c>
      <c r="C84" s="247" t="s">
        <v>916</v>
      </c>
      <c r="D84" s="247" t="s">
        <v>913</v>
      </c>
      <c r="E84" s="245">
        <v>1</v>
      </c>
      <c r="F84" s="245">
        <v>80000</v>
      </c>
      <c r="G84" s="245">
        <v>80000</v>
      </c>
      <c r="H84" s="248" t="s">
        <v>832</v>
      </c>
    </row>
    <row r="85" spans="1:9" ht="20.100000000000001" customHeight="1">
      <c r="A85" s="241">
        <v>14</v>
      </c>
      <c r="B85" s="242" t="s">
        <v>918</v>
      </c>
      <c r="C85" s="243" t="s">
        <v>837</v>
      </c>
      <c r="D85" s="243" t="s">
        <v>838</v>
      </c>
      <c r="E85" s="241">
        <v>1</v>
      </c>
      <c r="F85" s="241">
        <v>82880</v>
      </c>
      <c r="G85" s="241">
        <v>82880</v>
      </c>
      <c r="H85" s="244"/>
    </row>
    <row r="86" spans="1:9" ht="20.100000000000001" customHeight="1">
      <c r="A86" s="250">
        <v>15</v>
      </c>
      <c r="B86" s="246" t="s">
        <v>919</v>
      </c>
      <c r="C86" s="247" t="s">
        <v>864</v>
      </c>
      <c r="D86" s="251" t="s">
        <v>1294</v>
      </c>
      <c r="E86" s="245">
        <v>1</v>
      </c>
      <c r="F86" s="245">
        <v>60000</v>
      </c>
      <c r="G86" s="245">
        <v>60000</v>
      </c>
      <c r="H86" s="248" t="s">
        <v>860</v>
      </c>
    </row>
    <row r="87" spans="1:9" ht="20.100000000000001" customHeight="1">
      <c r="A87" s="241">
        <v>16</v>
      </c>
      <c r="B87" s="242" t="s">
        <v>920</v>
      </c>
      <c r="C87" s="243" t="s">
        <v>811</v>
      </c>
      <c r="D87" s="243" t="s">
        <v>812</v>
      </c>
      <c r="E87" s="241">
        <v>1</v>
      </c>
      <c r="F87" s="241">
        <v>80000</v>
      </c>
      <c r="G87" s="241">
        <v>80000</v>
      </c>
      <c r="H87" s="244"/>
    </row>
    <row r="88" spans="1:9" ht="20.100000000000001" customHeight="1">
      <c r="A88" s="241">
        <v>17</v>
      </c>
      <c r="B88" s="242" t="s">
        <v>920</v>
      </c>
      <c r="C88" s="243" t="s">
        <v>837</v>
      </c>
      <c r="D88" s="243" t="s">
        <v>838</v>
      </c>
      <c r="E88" s="241">
        <v>1</v>
      </c>
      <c r="F88" s="241">
        <v>59200</v>
      </c>
      <c r="G88" s="241">
        <v>59200</v>
      </c>
      <c r="H88" s="244"/>
    </row>
    <row r="89" spans="1:9" ht="20.100000000000001" customHeight="1">
      <c r="A89" s="241">
        <v>18</v>
      </c>
      <c r="B89" s="242" t="s">
        <v>920</v>
      </c>
      <c r="C89" s="243" t="s">
        <v>921</v>
      </c>
      <c r="D89" s="243" t="s">
        <v>921</v>
      </c>
      <c r="E89" s="241">
        <v>1</v>
      </c>
      <c r="F89" s="241">
        <v>90000</v>
      </c>
      <c r="G89" s="241">
        <v>90000</v>
      </c>
      <c r="H89" s="244"/>
    </row>
    <row r="90" spans="1:9" ht="20.100000000000001" customHeight="1">
      <c r="A90" s="250">
        <v>19</v>
      </c>
      <c r="B90" s="246" t="s">
        <v>920</v>
      </c>
      <c r="C90" s="247" t="s">
        <v>922</v>
      </c>
      <c r="D90" s="247" t="s">
        <v>923</v>
      </c>
      <c r="E90" s="245">
        <v>1</v>
      </c>
      <c r="F90" s="245">
        <v>50000</v>
      </c>
      <c r="G90" s="245">
        <v>50000</v>
      </c>
      <c r="H90" s="248" t="s">
        <v>832</v>
      </c>
    </row>
    <row r="91" spans="1:9" ht="20.100000000000001" customHeight="1">
      <c r="A91" s="250">
        <v>20</v>
      </c>
      <c r="B91" s="246" t="s">
        <v>924</v>
      </c>
      <c r="C91" s="247" t="s">
        <v>889</v>
      </c>
      <c r="D91" s="247" t="s">
        <v>925</v>
      </c>
      <c r="E91" s="245">
        <v>1</v>
      </c>
      <c r="F91" s="245">
        <v>80000</v>
      </c>
      <c r="G91" s="245">
        <v>80000</v>
      </c>
      <c r="H91" s="248" t="s">
        <v>845</v>
      </c>
      <c r="I91" s="249">
        <v>-2</v>
      </c>
    </row>
    <row r="92" spans="1:9" ht="20.100000000000001" customHeight="1">
      <c r="A92" s="250">
        <v>21</v>
      </c>
      <c r="B92" s="246" t="s">
        <v>924</v>
      </c>
      <c r="C92" s="247" t="s">
        <v>926</v>
      </c>
      <c r="D92" s="247" t="s">
        <v>927</v>
      </c>
      <c r="E92" s="245">
        <v>1</v>
      </c>
      <c r="F92" s="245">
        <v>60000</v>
      </c>
      <c r="G92" s="245">
        <v>60000</v>
      </c>
      <c r="H92" s="248" t="s">
        <v>833</v>
      </c>
    </row>
    <row r="93" spans="1:9" ht="20.100000000000001" customHeight="1">
      <c r="A93" s="250">
        <v>22</v>
      </c>
      <c r="B93" s="246" t="s">
        <v>924</v>
      </c>
      <c r="C93" s="247" t="s">
        <v>916</v>
      </c>
      <c r="D93" s="247" t="s">
        <v>913</v>
      </c>
      <c r="E93" s="245">
        <v>1</v>
      </c>
      <c r="F93" s="245">
        <v>50000</v>
      </c>
      <c r="G93" s="245">
        <v>50000</v>
      </c>
      <c r="H93" s="248" t="s">
        <v>809</v>
      </c>
    </row>
    <row r="94" spans="1:9" ht="20.100000000000001" customHeight="1">
      <c r="A94" s="241">
        <v>23</v>
      </c>
      <c r="B94" s="242" t="s">
        <v>928</v>
      </c>
      <c r="C94" s="243" t="s">
        <v>921</v>
      </c>
      <c r="D94" s="243" t="s">
        <v>921</v>
      </c>
      <c r="E94" s="241">
        <v>1</v>
      </c>
      <c r="F94" s="241">
        <v>135000</v>
      </c>
      <c r="G94" s="241">
        <v>135000</v>
      </c>
      <c r="H94" s="244"/>
    </row>
    <row r="95" spans="1:9" ht="20.100000000000001" customHeight="1">
      <c r="A95" s="250">
        <v>24</v>
      </c>
      <c r="B95" s="246" t="s">
        <v>769</v>
      </c>
      <c r="C95" s="247" t="s">
        <v>929</v>
      </c>
      <c r="D95" s="251" t="s">
        <v>1295</v>
      </c>
      <c r="E95" s="245">
        <v>1</v>
      </c>
      <c r="F95" s="245">
        <v>150000</v>
      </c>
      <c r="G95" s="245">
        <v>150000</v>
      </c>
      <c r="H95" s="237"/>
    </row>
    <row r="96" spans="1:9" ht="20.100000000000001" customHeight="1">
      <c r="A96" s="250">
        <v>25</v>
      </c>
      <c r="B96" s="246" t="s">
        <v>769</v>
      </c>
      <c r="C96" s="247" t="s">
        <v>930</v>
      </c>
      <c r="D96" s="251" t="s">
        <v>1296</v>
      </c>
      <c r="E96" s="245">
        <v>1</v>
      </c>
      <c r="F96" s="245">
        <v>120000</v>
      </c>
      <c r="G96" s="245">
        <v>120000</v>
      </c>
      <c r="H96" s="237"/>
    </row>
    <row r="97" spans="1:9" ht="20.100000000000001" customHeight="1">
      <c r="A97" s="250">
        <v>26</v>
      </c>
      <c r="B97" s="246" t="s">
        <v>769</v>
      </c>
      <c r="C97" s="247" t="s">
        <v>931</v>
      </c>
      <c r="D97" s="251" t="s">
        <v>1297</v>
      </c>
      <c r="E97" s="245">
        <v>1</v>
      </c>
      <c r="F97" s="245">
        <v>100000</v>
      </c>
      <c r="G97" s="245">
        <v>100000</v>
      </c>
      <c r="H97" s="237"/>
    </row>
    <row r="98" spans="1:9" ht="20.100000000000001" customHeight="1">
      <c r="A98" s="250">
        <v>27</v>
      </c>
      <c r="B98" s="246" t="s">
        <v>769</v>
      </c>
      <c r="C98" s="247" t="s">
        <v>932</v>
      </c>
      <c r="D98" s="251" t="s">
        <v>1298</v>
      </c>
      <c r="E98" s="245">
        <v>1</v>
      </c>
      <c r="F98" s="245">
        <v>30000</v>
      </c>
      <c r="G98" s="245">
        <v>30000</v>
      </c>
      <c r="H98" s="237"/>
    </row>
    <row r="99" spans="1:9" ht="20.100000000000001" customHeight="1">
      <c r="A99" s="250">
        <v>28</v>
      </c>
      <c r="B99" s="265" t="s">
        <v>769</v>
      </c>
      <c r="C99" s="251" t="s">
        <v>1299</v>
      </c>
      <c r="D99" s="251" t="s">
        <v>1300</v>
      </c>
      <c r="E99" s="266">
        <v>1</v>
      </c>
      <c r="F99" s="266">
        <v>150000</v>
      </c>
      <c r="G99" s="266">
        <v>150000</v>
      </c>
      <c r="H99" s="237"/>
    </row>
    <row r="100" spans="1:9" ht="20.100000000000001" customHeight="1">
      <c r="A100" s="258"/>
      <c r="B100" s="258" t="s">
        <v>774</v>
      </c>
      <c r="C100" s="259"/>
      <c r="D100" s="259"/>
      <c r="E100" s="258"/>
      <c r="F100" s="258"/>
      <c r="G100" s="258">
        <f>SUM(G72:G99)</f>
        <v>2237080</v>
      </c>
      <c r="H100" s="237"/>
    </row>
    <row r="101" spans="1:9" ht="20.100000000000001" customHeight="1">
      <c r="A101" s="241">
        <v>1</v>
      </c>
      <c r="B101" s="242" t="s">
        <v>439</v>
      </c>
      <c r="C101" s="243" t="s">
        <v>811</v>
      </c>
      <c r="D101" s="243" t="s">
        <v>812</v>
      </c>
      <c r="E101" s="241">
        <v>1</v>
      </c>
      <c r="F101" s="241">
        <v>80000</v>
      </c>
      <c r="G101" s="241">
        <v>80000</v>
      </c>
      <c r="H101" s="237"/>
    </row>
    <row r="102" spans="1:9" ht="20.100000000000001" customHeight="1">
      <c r="A102" s="241">
        <v>2</v>
      </c>
      <c r="B102" s="242" t="s">
        <v>933</v>
      </c>
      <c r="C102" s="243" t="s">
        <v>822</v>
      </c>
      <c r="D102" s="243" t="s">
        <v>850</v>
      </c>
      <c r="E102" s="241">
        <v>1</v>
      </c>
      <c r="F102" s="241">
        <v>70000</v>
      </c>
      <c r="G102" s="241">
        <v>70000</v>
      </c>
      <c r="H102" s="237"/>
    </row>
    <row r="103" spans="1:9" ht="20.100000000000001" customHeight="1">
      <c r="A103" s="250">
        <v>3</v>
      </c>
      <c r="B103" s="246" t="s">
        <v>934</v>
      </c>
      <c r="C103" s="247" t="s">
        <v>935</v>
      </c>
      <c r="D103" s="251" t="s">
        <v>1301</v>
      </c>
      <c r="E103" s="245">
        <v>1</v>
      </c>
      <c r="F103" s="245">
        <v>170000</v>
      </c>
      <c r="G103" s="245">
        <v>170000</v>
      </c>
      <c r="H103" s="237"/>
    </row>
    <row r="104" spans="1:9" ht="20.100000000000001" customHeight="1">
      <c r="A104" s="250">
        <v>4</v>
      </c>
      <c r="B104" s="246" t="s">
        <v>934</v>
      </c>
      <c r="C104" s="247" t="s">
        <v>936</v>
      </c>
      <c r="D104" s="251" t="s">
        <v>1302</v>
      </c>
      <c r="E104" s="245">
        <v>1</v>
      </c>
      <c r="F104" s="245">
        <v>100000</v>
      </c>
      <c r="G104" s="245">
        <v>100000</v>
      </c>
      <c r="H104" s="237"/>
    </row>
    <row r="105" spans="1:9" ht="20.100000000000001" customHeight="1">
      <c r="A105" s="250">
        <v>5</v>
      </c>
      <c r="B105" s="246" t="s">
        <v>934</v>
      </c>
      <c r="C105" s="247" t="s">
        <v>937</v>
      </c>
      <c r="D105" s="251" t="s">
        <v>1303</v>
      </c>
      <c r="E105" s="245">
        <v>1</v>
      </c>
      <c r="F105" s="245">
        <v>100000</v>
      </c>
      <c r="G105" s="245">
        <v>100000</v>
      </c>
      <c r="H105" s="237"/>
    </row>
    <row r="106" spans="1:9" ht="20.100000000000001" customHeight="1">
      <c r="A106" s="250">
        <v>6</v>
      </c>
      <c r="B106" s="246" t="s">
        <v>934</v>
      </c>
      <c r="C106" s="247" t="s">
        <v>938</v>
      </c>
      <c r="D106" s="251" t="s">
        <v>1304</v>
      </c>
      <c r="E106" s="245">
        <v>1</v>
      </c>
      <c r="F106" s="245">
        <v>150000</v>
      </c>
      <c r="G106" s="245">
        <v>150000</v>
      </c>
      <c r="H106" s="237"/>
    </row>
    <row r="107" spans="1:9" ht="20.100000000000001" customHeight="1">
      <c r="A107" s="258"/>
      <c r="B107" s="258" t="s">
        <v>722</v>
      </c>
      <c r="C107" s="259"/>
      <c r="D107" s="259"/>
      <c r="E107" s="258"/>
      <c r="F107" s="258"/>
      <c r="G107" s="258">
        <f>SUM(G101:G106)</f>
        <v>670000</v>
      </c>
      <c r="H107" s="237"/>
    </row>
    <row r="108" spans="1:9" ht="20.100000000000001" customHeight="1">
      <c r="A108" s="250">
        <v>1</v>
      </c>
      <c r="B108" s="246" t="s">
        <v>939</v>
      </c>
      <c r="C108" s="247" t="s">
        <v>940</v>
      </c>
      <c r="D108" s="247" t="s">
        <v>913</v>
      </c>
      <c r="E108" s="245">
        <v>1</v>
      </c>
      <c r="F108" s="245">
        <v>80000</v>
      </c>
      <c r="G108" s="245">
        <v>80000</v>
      </c>
      <c r="H108" s="248" t="s">
        <v>809</v>
      </c>
    </row>
    <row r="109" spans="1:9" ht="20.100000000000001" customHeight="1">
      <c r="A109" s="250">
        <v>2</v>
      </c>
      <c r="B109" s="246" t="s">
        <v>941</v>
      </c>
      <c r="C109" s="247" t="s">
        <v>942</v>
      </c>
      <c r="D109" s="247" t="s">
        <v>943</v>
      </c>
      <c r="E109" s="245">
        <v>1</v>
      </c>
      <c r="F109" s="245">
        <v>80000</v>
      </c>
      <c r="G109" s="245">
        <v>80000</v>
      </c>
      <c r="H109" s="248" t="s">
        <v>809</v>
      </c>
    </row>
    <row r="110" spans="1:9" ht="20.100000000000001" customHeight="1">
      <c r="A110" s="241">
        <v>3</v>
      </c>
      <c r="B110" s="242" t="s">
        <v>944</v>
      </c>
      <c r="C110" s="243" t="s">
        <v>805</v>
      </c>
      <c r="D110" s="243" t="s">
        <v>806</v>
      </c>
      <c r="E110" s="241">
        <v>1</v>
      </c>
      <c r="F110" s="241">
        <v>50000</v>
      </c>
      <c r="G110" s="241">
        <v>50000</v>
      </c>
      <c r="H110" s="244"/>
    </row>
    <row r="111" spans="1:9" ht="20.100000000000001" customHeight="1">
      <c r="A111" s="241">
        <v>4</v>
      </c>
      <c r="B111" s="242" t="s">
        <v>944</v>
      </c>
      <c r="C111" s="243" t="s">
        <v>837</v>
      </c>
      <c r="D111" s="243" t="s">
        <v>838</v>
      </c>
      <c r="E111" s="241">
        <v>1</v>
      </c>
      <c r="F111" s="241">
        <v>71040</v>
      </c>
      <c r="G111" s="241">
        <v>71040</v>
      </c>
      <c r="H111" s="244"/>
    </row>
    <row r="112" spans="1:9" ht="20.100000000000001" customHeight="1">
      <c r="A112" s="250">
        <v>5</v>
      </c>
      <c r="B112" s="246" t="s">
        <v>944</v>
      </c>
      <c r="C112" s="247" t="s">
        <v>945</v>
      </c>
      <c r="D112" s="247" t="s">
        <v>946</v>
      </c>
      <c r="E112" s="245">
        <v>1</v>
      </c>
      <c r="F112" s="245">
        <v>80000</v>
      </c>
      <c r="G112" s="245">
        <v>80000</v>
      </c>
      <c r="H112" s="248" t="s">
        <v>845</v>
      </c>
      <c r="I112" s="249">
        <v>-2</v>
      </c>
    </row>
    <row r="113" spans="1:8" ht="20.100000000000001" customHeight="1">
      <c r="A113" s="250">
        <v>6</v>
      </c>
      <c r="B113" s="246" t="s">
        <v>944</v>
      </c>
      <c r="C113" s="247" t="s">
        <v>947</v>
      </c>
      <c r="D113" s="247" t="s">
        <v>948</v>
      </c>
      <c r="E113" s="245">
        <v>1</v>
      </c>
      <c r="F113" s="245">
        <v>80000</v>
      </c>
      <c r="G113" s="245">
        <v>80000</v>
      </c>
      <c r="H113" s="248" t="s">
        <v>809</v>
      </c>
    </row>
    <row r="114" spans="1:8" ht="20.100000000000001" customHeight="1">
      <c r="A114" s="250">
        <v>7</v>
      </c>
      <c r="B114" s="246" t="s">
        <v>608</v>
      </c>
      <c r="C114" s="247" t="s">
        <v>949</v>
      </c>
      <c r="D114" s="247" t="s">
        <v>1305</v>
      </c>
      <c r="E114" s="245">
        <v>1</v>
      </c>
      <c r="F114" s="245">
        <v>40000</v>
      </c>
      <c r="G114" s="245">
        <v>40000</v>
      </c>
      <c r="H114" s="237"/>
    </row>
    <row r="115" spans="1:8" ht="20.100000000000001" customHeight="1">
      <c r="A115" s="250">
        <v>8</v>
      </c>
      <c r="B115" s="246" t="s">
        <v>608</v>
      </c>
      <c r="C115" s="251" t="s">
        <v>1306</v>
      </c>
      <c r="D115" s="251" t="s">
        <v>1307</v>
      </c>
      <c r="E115" s="245">
        <v>1</v>
      </c>
      <c r="F115" s="245">
        <v>150000</v>
      </c>
      <c r="G115" s="245">
        <v>150000</v>
      </c>
      <c r="H115" s="237"/>
    </row>
    <row r="116" spans="1:8" ht="20.100000000000001" customHeight="1">
      <c r="A116" s="250">
        <v>9</v>
      </c>
      <c r="B116" s="246" t="s">
        <v>608</v>
      </c>
      <c r="C116" s="247" t="s">
        <v>950</v>
      </c>
      <c r="D116" s="247" t="s">
        <v>951</v>
      </c>
      <c r="E116" s="245">
        <v>1</v>
      </c>
      <c r="F116" s="245">
        <v>100000</v>
      </c>
      <c r="G116" s="245">
        <v>100000</v>
      </c>
      <c r="H116" s="237"/>
    </row>
    <row r="117" spans="1:8" ht="20.100000000000001" customHeight="1">
      <c r="A117" s="250">
        <v>10</v>
      </c>
      <c r="B117" s="246" t="s">
        <v>608</v>
      </c>
      <c r="C117" s="247" t="s">
        <v>952</v>
      </c>
      <c r="D117" s="251" t="s">
        <v>1308</v>
      </c>
      <c r="E117" s="245">
        <v>1</v>
      </c>
      <c r="F117" s="245">
        <v>100000</v>
      </c>
      <c r="G117" s="245">
        <v>100000</v>
      </c>
      <c r="H117" s="237"/>
    </row>
    <row r="118" spans="1:8" ht="20.100000000000001" customHeight="1">
      <c r="A118" s="258"/>
      <c r="B118" s="258" t="s">
        <v>615</v>
      </c>
      <c r="C118" s="259"/>
      <c r="D118" s="259"/>
      <c r="E118" s="258"/>
      <c r="F118" s="258"/>
      <c r="G118" s="258">
        <f>SUM(G108:G117)</f>
        <v>831040</v>
      </c>
      <c r="H118" s="237"/>
    </row>
    <row r="119" spans="1:8" ht="20.100000000000001" customHeight="1">
      <c r="A119" s="241">
        <v>1</v>
      </c>
      <c r="B119" s="242" t="s">
        <v>953</v>
      </c>
      <c r="C119" s="243" t="s">
        <v>811</v>
      </c>
      <c r="D119" s="243" t="s">
        <v>812</v>
      </c>
      <c r="E119" s="241">
        <v>1</v>
      </c>
      <c r="F119" s="241">
        <v>80000</v>
      </c>
      <c r="G119" s="241">
        <v>80000</v>
      </c>
      <c r="H119" s="244"/>
    </row>
    <row r="120" spans="1:8" ht="20.100000000000001" customHeight="1">
      <c r="A120" s="241">
        <v>2</v>
      </c>
      <c r="B120" s="242" t="s">
        <v>953</v>
      </c>
      <c r="C120" s="243" t="s">
        <v>805</v>
      </c>
      <c r="D120" s="243" t="s">
        <v>806</v>
      </c>
      <c r="E120" s="241">
        <v>1</v>
      </c>
      <c r="F120" s="241">
        <v>50000</v>
      </c>
      <c r="G120" s="241">
        <v>50000</v>
      </c>
      <c r="H120" s="244"/>
    </row>
    <row r="121" spans="1:8" ht="20.100000000000001" customHeight="1">
      <c r="A121" s="241">
        <v>3</v>
      </c>
      <c r="B121" s="242" t="s">
        <v>954</v>
      </c>
      <c r="C121" s="243" t="s">
        <v>805</v>
      </c>
      <c r="D121" s="243" t="s">
        <v>806</v>
      </c>
      <c r="E121" s="241">
        <v>1</v>
      </c>
      <c r="F121" s="241">
        <v>50000</v>
      </c>
      <c r="G121" s="241">
        <v>50000</v>
      </c>
      <c r="H121" s="244"/>
    </row>
    <row r="122" spans="1:8" ht="20.100000000000001" customHeight="1">
      <c r="A122" s="250">
        <v>4</v>
      </c>
      <c r="B122" s="246" t="s">
        <v>954</v>
      </c>
      <c r="C122" s="247" t="s">
        <v>881</v>
      </c>
      <c r="D122" s="247" t="s">
        <v>955</v>
      </c>
      <c r="E122" s="245">
        <v>1</v>
      </c>
      <c r="F122" s="245">
        <v>20000</v>
      </c>
      <c r="G122" s="245">
        <v>20000</v>
      </c>
      <c r="H122" s="1389" t="s">
        <v>832</v>
      </c>
    </row>
    <row r="123" spans="1:8" ht="20.100000000000001" customHeight="1">
      <c r="A123" s="250">
        <v>5</v>
      </c>
      <c r="B123" s="246" t="s">
        <v>954</v>
      </c>
      <c r="C123" s="247" t="s">
        <v>956</v>
      </c>
      <c r="D123" s="251" t="s">
        <v>1309</v>
      </c>
      <c r="E123" s="245">
        <v>1</v>
      </c>
      <c r="F123" s="245">
        <v>50000</v>
      </c>
      <c r="G123" s="245">
        <v>50000</v>
      </c>
      <c r="H123" s="1390"/>
    </row>
    <row r="124" spans="1:8" ht="20.100000000000001" customHeight="1">
      <c r="A124" s="241">
        <v>6</v>
      </c>
      <c r="B124" s="242" t="s">
        <v>954</v>
      </c>
      <c r="C124" s="243" t="s">
        <v>811</v>
      </c>
      <c r="D124" s="243" t="s">
        <v>812</v>
      </c>
      <c r="E124" s="241">
        <v>1</v>
      </c>
      <c r="F124" s="241">
        <v>80000</v>
      </c>
      <c r="G124" s="241">
        <v>80000</v>
      </c>
      <c r="H124" s="244"/>
    </row>
    <row r="125" spans="1:8" ht="20.100000000000001" customHeight="1">
      <c r="A125" s="241">
        <v>7</v>
      </c>
      <c r="B125" s="242" t="s">
        <v>957</v>
      </c>
      <c r="C125" s="243" t="s">
        <v>805</v>
      </c>
      <c r="D125" s="243" t="s">
        <v>806</v>
      </c>
      <c r="E125" s="241">
        <v>1</v>
      </c>
      <c r="F125" s="241">
        <v>50000</v>
      </c>
      <c r="G125" s="241">
        <v>50000</v>
      </c>
      <c r="H125" s="244" t="s">
        <v>835</v>
      </c>
    </row>
    <row r="126" spans="1:8" ht="20.100000000000001" customHeight="1">
      <c r="A126" s="250">
        <v>8</v>
      </c>
      <c r="B126" s="246" t="s">
        <v>957</v>
      </c>
      <c r="C126" s="247" t="s">
        <v>958</v>
      </c>
      <c r="D126" s="251" t="s">
        <v>1310</v>
      </c>
      <c r="E126" s="245">
        <v>1</v>
      </c>
      <c r="F126" s="245">
        <v>30000</v>
      </c>
      <c r="G126" s="245">
        <v>30000</v>
      </c>
      <c r="H126" s="248" t="s">
        <v>832</v>
      </c>
    </row>
    <row r="127" spans="1:8" ht="20.100000000000001" customHeight="1">
      <c r="A127" s="250">
        <v>9</v>
      </c>
      <c r="B127" s="246" t="s">
        <v>959</v>
      </c>
      <c r="C127" s="247" t="s">
        <v>960</v>
      </c>
      <c r="D127" s="251" t="s">
        <v>1311</v>
      </c>
      <c r="E127" s="245">
        <v>1</v>
      </c>
      <c r="F127" s="245">
        <v>40000</v>
      </c>
      <c r="G127" s="245">
        <v>40000</v>
      </c>
      <c r="H127" s="248" t="s">
        <v>833</v>
      </c>
    </row>
    <row r="128" spans="1:8" ht="20.100000000000001" customHeight="1">
      <c r="A128" s="241">
        <v>10</v>
      </c>
      <c r="B128" s="242" t="s">
        <v>961</v>
      </c>
      <c r="C128" s="243" t="s">
        <v>837</v>
      </c>
      <c r="D128" s="243" t="s">
        <v>838</v>
      </c>
      <c r="E128" s="241">
        <v>1</v>
      </c>
      <c r="F128" s="241">
        <v>106560</v>
      </c>
      <c r="G128" s="241">
        <v>106560</v>
      </c>
      <c r="H128" s="244"/>
    </row>
    <row r="129" spans="1:8" ht="20.100000000000001" customHeight="1">
      <c r="A129" s="250">
        <v>11</v>
      </c>
      <c r="B129" s="246" t="s">
        <v>961</v>
      </c>
      <c r="C129" s="247" t="s">
        <v>807</v>
      </c>
      <c r="D129" s="247" t="s">
        <v>808</v>
      </c>
      <c r="E129" s="245">
        <v>1</v>
      </c>
      <c r="F129" s="245">
        <v>70000</v>
      </c>
      <c r="G129" s="245">
        <v>70000</v>
      </c>
      <c r="H129" s="248" t="s">
        <v>809</v>
      </c>
    </row>
    <row r="130" spans="1:8" ht="20.100000000000001" customHeight="1">
      <c r="A130" s="241">
        <v>12</v>
      </c>
      <c r="B130" s="242" t="s">
        <v>962</v>
      </c>
      <c r="C130" s="243" t="s">
        <v>837</v>
      </c>
      <c r="D130" s="243" t="s">
        <v>838</v>
      </c>
      <c r="E130" s="241">
        <v>1</v>
      </c>
      <c r="F130" s="241">
        <v>76960</v>
      </c>
      <c r="G130" s="241">
        <v>76960</v>
      </c>
      <c r="H130" s="244"/>
    </row>
    <row r="131" spans="1:8" ht="20.100000000000001" customHeight="1">
      <c r="A131" s="241">
        <v>13</v>
      </c>
      <c r="B131" s="242" t="s">
        <v>962</v>
      </c>
      <c r="C131" s="243" t="s">
        <v>805</v>
      </c>
      <c r="D131" s="243" t="s">
        <v>806</v>
      </c>
      <c r="E131" s="241">
        <v>1</v>
      </c>
      <c r="F131" s="241">
        <v>50000</v>
      </c>
      <c r="G131" s="241">
        <v>50000</v>
      </c>
      <c r="H131" s="244" t="s">
        <v>835</v>
      </c>
    </row>
    <row r="132" spans="1:8" ht="20.100000000000001" customHeight="1">
      <c r="A132" s="250">
        <v>14</v>
      </c>
      <c r="B132" s="246" t="s">
        <v>962</v>
      </c>
      <c r="C132" s="247" t="s">
        <v>963</v>
      </c>
      <c r="D132" s="247" t="s">
        <v>964</v>
      </c>
      <c r="E132" s="245">
        <v>1</v>
      </c>
      <c r="F132" s="245">
        <v>100000</v>
      </c>
      <c r="G132" s="245">
        <v>100000</v>
      </c>
      <c r="H132" s="248" t="s">
        <v>860</v>
      </c>
    </row>
    <row r="133" spans="1:8" ht="20.100000000000001" customHeight="1">
      <c r="A133" s="241">
        <v>15</v>
      </c>
      <c r="B133" s="242" t="s">
        <v>965</v>
      </c>
      <c r="C133" s="243" t="s">
        <v>811</v>
      </c>
      <c r="D133" s="243" t="s">
        <v>812</v>
      </c>
      <c r="E133" s="241">
        <v>1</v>
      </c>
      <c r="F133" s="241">
        <v>80000</v>
      </c>
      <c r="G133" s="241">
        <v>80000</v>
      </c>
      <c r="H133" s="244"/>
    </row>
    <row r="134" spans="1:8" ht="20.100000000000001" customHeight="1">
      <c r="A134" s="241">
        <v>16</v>
      </c>
      <c r="B134" s="242" t="s">
        <v>965</v>
      </c>
      <c r="C134" s="243" t="s">
        <v>822</v>
      </c>
      <c r="D134" s="243" t="s">
        <v>850</v>
      </c>
      <c r="E134" s="241">
        <v>1</v>
      </c>
      <c r="F134" s="241">
        <v>70000</v>
      </c>
      <c r="G134" s="241">
        <v>70000</v>
      </c>
      <c r="H134" s="244"/>
    </row>
    <row r="135" spans="1:8" ht="20.100000000000001" customHeight="1">
      <c r="A135" s="250">
        <v>17</v>
      </c>
      <c r="B135" s="246" t="s">
        <v>965</v>
      </c>
      <c r="C135" s="247" t="s">
        <v>966</v>
      </c>
      <c r="D135" s="251" t="s">
        <v>1312</v>
      </c>
      <c r="E135" s="245">
        <v>1</v>
      </c>
      <c r="F135" s="245">
        <v>80000</v>
      </c>
      <c r="G135" s="245">
        <v>80000</v>
      </c>
      <c r="H135" s="248" t="s">
        <v>860</v>
      </c>
    </row>
    <row r="136" spans="1:8" ht="20.100000000000001" customHeight="1">
      <c r="A136" s="250">
        <v>18</v>
      </c>
      <c r="B136" s="246" t="s">
        <v>965</v>
      </c>
      <c r="C136" s="251" t="s">
        <v>1313</v>
      </c>
      <c r="D136" s="251" t="s">
        <v>1314</v>
      </c>
      <c r="E136" s="245">
        <v>1</v>
      </c>
      <c r="F136" s="245">
        <v>80000</v>
      </c>
      <c r="G136" s="245">
        <v>80000</v>
      </c>
      <c r="H136" s="248" t="s">
        <v>809</v>
      </c>
    </row>
    <row r="137" spans="1:8" ht="20.100000000000001" customHeight="1">
      <c r="A137" s="250">
        <v>19</v>
      </c>
      <c r="B137" s="246" t="s">
        <v>694</v>
      </c>
      <c r="C137" s="247" t="s">
        <v>967</v>
      </c>
      <c r="D137" s="251" t="s">
        <v>1315</v>
      </c>
      <c r="E137" s="245">
        <v>1</v>
      </c>
      <c r="F137" s="245">
        <v>180000</v>
      </c>
      <c r="G137" s="245">
        <v>180000</v>
      </c>
      <c r="H137" s="237"/>
    </row>
    <row r="138" spans="1:8" ht="20.100000000000001" customHeight="1">
      <c r="A138" s="250">
        <v>20</v>
      </c>
      <c r="B138" s="246" t="s">
        <v>694</v>
      </c>
      <c r="C138" s="251" t="s">
        <v>1316</v>
      </c>
      <c r="D138" s="251" t="s">
        <v>1317</v>
      </c>
      <c r="E138" s="245">
        <v>1</v>
      </c>
      <c r="F138" s="245">
        <v>160000</v>
      </c>
      <c r="G138" s="245">
        <v>160000</v>
      </c>
      <c r="H138" s="237"/>
    </row>
    <row r="139" spans="1:8" ht="20.100000000000001" customHeight="1">
      <c r="A139" s="250">
        <v>21</v>
      </c>
      <c r="B139" s="246" t="s">
        <v>694</v>
      </c>
      <c r="C139" s="247" t="s">
        <v>968</v>
      </c>
      <c r="D139" s="247" t="s">
        <v>969</v>
      </c>
      <c r="E139" s="245">
        <v>1</v>
      </c>
      <c r="F139" s="245">
        <v>40000</v>
      </c>
      <c r="G139" s="245">
        <v>40000</v>
      </c>
      <c r="H139" s="237"/>
    </row>
    <row r="140" spans="1:8" ht="20.100000000000001" customHeight="1">
      <c r="A140" s="258"/>
      <c r="B140" s="258" t="s">
        <v>699</v>
      </c>
      <c r="C140" s="267"/>
      <c r="D140" s="267"/>
      <c r="E140" s="268"/>
      <c r="F140" s="268"/>
      <c r="G140" s="258">
        <f>SUM(G119:G139)</f>
        <v>1543520</v>
      </c>
    </row>
    <row r="141" spans="1:8" ht="20.100000000000001" customHeight="1">
      <c r="A141" s="258"/>
      <c r="B141" s="258" t="s">
        <v>802</v>
      </c>
      <c r="C141" s="267"/>
      <c r="D141" s="267"/>
      <c r="E141" s="268"/>
      <c r="F141" s="268"/>
      <c r="G141" s="258">
        <f>SUM(G13,G29,G39,G55,G71,G100,G107,G118,G140)</f>
        <v>10648400</v>
      </c>
    </row>
    <row r="142" spans="1:8" ht="30" customHeight="1"/>
  </sheetData>
  <autoFilter ref="A2:K141"/>
  <mergeCells count="4">
    <mergeCell ref="B1:G1"/>
    <mergeCell ref="H122:H123"/>
    <mergeCell ref="H45:H46"/>
    <mergeCell ref="H79:H80"/>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workbookViewId="0">
      <selection sqref="A1:H1"/>
    </sheetView>
  </sheetViews>
  <sheetFormatPr defaultRowHeight="13.5"/>
  <cols>
    <col min="1" max="1" width="5.25" style="181" customWidth="1"/>
    <col min="2" max="2" width="21.75" style="181" customWidth="1"/>
    <col min="3" max="3" width="28.375" style="181" customWidth="1"/>
    <col min="4" max="4" width="27.625" style="181" customWidth="1"/>
    <col min="5" max="5" width="32.5" style="181" customWidth="1"/>
    <col min="6" max="6" width="9" style="183"/>
    <col min="7" max="8" width="9" style="181"/>
    <col min="9" max="9" width="9" style="180"/>
    <col min="10" max="16384" width="9" style="181"/>
  </cols>
  <sheetData>
    <row r="1" spans="1:8" ht="18.75">
      <c r="A1" s="1394" t="s">
        <v>1823</v>
      </c>
      <c r="B1" s="1395"/>
      <c r="C1" s="1395"/>
      <c r="D1" s="1395"/>
      <c r="E1" s="1395"/>
      <c r="F1" s="1395"/>
      <c r="G1" s="1395"/>
      <c r="H1" s="1395"/>
    </row>
    <row r="2" spans="1:8" ht="24.95" customHeight="1">
      <c r="A2" s="182" t="s">
        <v>0</v>
      </c>
      <c r="B2" s="182" t="s">
        <v>596</v>
      </c>
      <c r="C2" s="182" t="s">
        <v>180</v>
      </c>
      <c r="D2" s="182" t="s">
        <v>575</v>
      </c>
      <c r="E2" s="182" t="s">
        <v>576</v>
      </c>
      <c r="F2" s="182" t="s">
        <v>578</v>
      </c>
      <c r="G2" s="182" t="s">
        <v>579</v>
      </c>
      <c r="H2" s="182" t="s">
        <v>580</v>
      </c>
    </row>
    <row r="3" spans="1:8" s="222" customFormat="1" ht="24.95" customHeight="1">
      <c r="A3" s="487">
        <v>1</v>
      </c>
      <c r="B3" s="488" t="s">
        <v>119</v>
      </c>
      <c r="C3" s="488" t="s">
        <v>970</v>
      </c>
      <c r="D3" s="488" t="s">
        <v>970</v>
      </c>
      <c r="E3" s="489" t="s">
        <v>971</v>
      </c>
      <c r="F3" s="490">
        <v>1</v>
      </c>
      <c r="G3" s="491">
        <v>200000</v>
      </c>
      <c r="H3" s="491">
        <v>200000</v>
      </c>
    </row>
    <row r="4" spans="1:8" s="222" customFormat="1" ht="24.95" customHeight="1">
      <c r="A4" s="487">
        <v>2</v>
      </c>
      <c r="B4" s="488" t="s">
        <v>449</v>
      </c>
      <c r="C4" s="488" t="s">
        <v>972</v>
      </c>
      <c r="D4" s="488" t="s">
        <v>1820</v>
      </c>
      <c r="E4" s="489" t="s">
        <v>973</v>
      </c>
      <c r="F4" s="490">
        <v>1</v>
      </c>
      <c r="G4" s="491">
        <v>70000</v>
      </c>
      <c r="H4" s="491">
        <v>70000</v>
      </c>
    </row>
    <row r="5" spans="1:8" s="222" customFormat="1" ht="24.95" customHeight="1">
      <c r="A5" s="1396">
        <v>3</v>
      </c>
      <c r="B5" s="1399" t="s">
        <v>824</v>
      </c>
      <c r="C5" s="1399" t="s">
        <v>974</v>
      </c>
      <c r="D5" s="492" t="s">
        <v>975</v>
      </c>
      <c r="E5" s="493" t="s">
        <v>976</v>
      </c>
      <c r="F5" s="494">
        <v>1</v>
      </c>
      <c r="G5" s="495">
        <v>320000</v>
      </c>
      <c r="H5" s="495">
        <v>320000</v>
      </c>
    </row>
    <row r="6" spans="1:8" s="222" customFormat="1" ht="24.95" customHeight="1">
      <c r="A6" s="1397"/>
      <c r="B6" s="1400"/>
      <c r="C6" s="1400"/>
      <c r="D6" s="492" t="s">
        <v>977</v>
      </c>
      <c r="E6" s="493" t="s">
        <v>976</v>
      </c>
      <c r="F6" s="494">
        <v>1</v>
      </c>
      <c r="G6" s="495">
        <v>264000</v>
      </c>
      <c r="H6" s="495">
        <v>264000</v>
      </c>
    </row>
    <row r="7" spans="1:8" s="222" customFormat="1" ht="24.95" customHeight="1">
      <c r="A7" s="1398"/>
      <c r="B7" s="1401"/>
      <c r="C7" s="1401"/>
      <c r="D7" s="492" t="s">
        <v>978</v>
      </c>
      <c r="E7" s="493" t="s">
        <v>976</v>
      </c>
      <c r="F7" s="494">
        <v>1</v>
      </c>
      <c r="G7" s="495">
        <v>216000</v>
      </c>
      <c r="H7" s="495">
        <v>216000</v>
      </c>
    </row>
    <row r="8" spans="1:8" s="222" customFormat="1" ht="24.95" customHeight="1">
      <c r="A8" s="496"/>
      <c r="B8" s="497" t="s">
        <v>979</v>
      </c>
      <c r="C8" s="498"/>
      <c r="D8" s="498"/>
      <c r="E8" s="499"/>
      <c r="F8" s="500"/>
      <c r="G8" s="501"/>
      <c r="H8" s="501">
        <f>SUM(H3:H7)</f>
        <v>1070000</v>
      </c>
    </row>
    <row r="9" spans="1:8" s="222" customFormat="1" ht="24.95" customHeight="1">
      <c r="A9" s="487">
        <v>1</v>
      </c>
      <c r="B9" s="488" t="s">
        <v>980</v>
      </c>
      <c r="C9" s="488" t="s">
        <v>972</v>
      </c>
      <c r="D9" s="488" t="s">
        <v>972</v>
      </c>
      <c r="E9" s="489" t="s">
        <v>973</v>
      </c>
      <c r="F9" s="490">
        <v>1</v>
      </c>
      <c r="G9" s="491">
        <v>40000</v>
      </c>
      <c r="H9" s="491">
        <v>40000</v>
      </c>
    </row>
    <row r="10" spans="1:8" s="222" customFormat="1" ht="24.95" customHeight="1">
      <c r="A10" s="487">
        <v>2</v>
      </c>
      <c r="B10" s="488" t="s">
        <v>981</v>
      </c>
      <c r="C10" s="488" t="s">
        <v>972</v>
      </c>
      <c r="D10" s="488" t="s">
        <v>972</v>
      </c>
      <c r="E10" s="489" t="s">
        <v>973</v>
      </c>
      <c r="F10" s="487">
        <v>1</v>
      </c>
      <c r="G10" s="491">
        <v>40000</v>
      </c>
      <c r="H10" s="491">
        <v>40000</v>
      </c>
    </row>
    <row r="11" spans="1:8" s="222" customFormat="1" ht="24.95" customHeight="1">
      <c r="A11" s="1396">
        <v>3</v>
      </c>
      <c r="B11" s="1399" t="s">
        <v>792</v>
      </c>
      <c r="C11" s="1399" t="s">
        <v>974</v>
      </c>
      <c r="D11" s="492" t="s">
        <v>982</v>
      </c>
      <c r="E11" s="493" t="s">
        <v>983</v>
      </c>
      <c r="F11" s="502">
        <v>160</v>
      </c>
      <c r="G11" s="503">
        <v>750</v>
      </c>
      <c r="H11" s="495">
        <v>120000</v>
      </c>
    </row>
    <row r="12" spans="1:8" s="222" customFormat="1" ht="24.95" customHeight="1">
      <c r="A12" s="1397" t="s">
        <v>2</v>
      </c>
      <c r="B12" s="1400"/>
      <c r="C12" s="1400"/>
      <c r="D12" s="492" t="s">
        <v>982</v>
      </c>
      <c r="E12" s="493" t="s">
        <v>984</v>
      </c>
      <c r="F12" s="502">
        <v>200</v>
      </c>
      <c r="G12" s="503">
        <v>500</v>
      </c>
      <c r="H12" s="495">
        <v>100000</v>
      </c>
    </row>
    <row r="13" spans="1:8" s="222" customFormat="1" ht="24.95" customHeight="1">
      <c r="A13" s="1397" t="s">
        <v>2</v>
      </c>
      <c r="B13" s="1400"/>
      <c r="C13" s="1400"/>
      <c r="D13" s="492" t="s">
        <v>981</v>
      </c>
      <c r="E13" s="493" t="s">
        <v>983</v>
      </c>
      <c r="F13" s="502">
        <v>160</v>
      </c>
      <c r="G13" s="503">
        <v>750</v>
      </c>
      <c r="H13" s="495">
        <v>120000</v>
      </c>
    </row>
    <row r="14" spans="1:8" s="222" customFormat="1" ht="24.95" customHeight="1">
      <c r="A14" s="1397" t="s">
        <v>2</v>
      </c>
      <c r="B14" s="1400"/>
      <c r="C14" s="1400"/>
      <c r="D14" s="492" t="s">
        <v>981</v>
      </c>
      <c r="E14" s="493" t="s">
        <v>984</v>
      </c>
      <c r="F14" s="502">
        <v>200</v>
      </c>
      <c r="G14" s="503">
        <v>500</v>
      </c>
      <c r="H14" s="495">
        <v>100000</v>
      </c>
    </row>
    <row r="15" spans="1:8" s="222" customFormat="1" ht="24.95" customHeight="1">
      <c r="A15" s="1397" t="s">
        <v>2</v>
      </c>
      <c r="B15" s="1400"/>
      <c r="C15" s="1400"/>
      <c r="D15" s="492" t="s">
        <v>981</v>
      </c>
      <c r="E15" s="493" t="s">
        <v>985</v>
      </c>
      <c r="F15" s="502">
        <v>190</v>
      </c>
      <c r="G15" s="503">
        <v>500</v>
      </c>
      <c r="H15" s="495">
        <v>95000</v>
      </c>
    </row>
    <row r="16" spans="1:8" s="222" customFormat="1" ht="24.95" customHeight="1">
      <c r="A16" s="1397" t="s">
        <v>2</v>
      </c>
      <c r="B16" s="1400"/>
      <c r="C16" s="1400"/>
      <c r="D16" s="492" t="s">
        <v>986</v>
      </c>
      <c r="E16" s="493" t="s">
        <v>984</v>
      </c>
      <c r="F16" s="502">
        <v>200</v>
      </c>
      <c r="G16" s="503">
        <v>500</v>
      </c>
      <c r="H16" s="495">
        <v>100000</v>
      </c>
    </row>
    <row r="17" spans="1:9" s="222" customFormat="1" ht="24.95" customHeight="1">
      <c r="A17" s="1397" t="s">
        <v>2</v>
      </c>
      <c r="B17" s="1400"/>
      <c r="C17" s="1400"/>
      <c r="D17" s="492" t="s">
        <v>980</v>
      </c>
      <c r="E17" s="493" t="s">
        <v>983</v>
      </c>
      <c r="F17" s="502">
        <v>26</v>
      </c>
      <c r="G17" s="503">
        <v>750</v>
      </c>
      <c r="H17" s="495">
        <v>19500</v>
      </c>
    </row>
    <row r="18" spans="1:9" s="222" customFormat="1" ht="24.95" customHeight="1">
      <c r="A18" s="1397" t="s">
        <v>2</v>
      </c>
      <c r="B18" s="1400"/>
      <c r="C18" s="1400"/>
      <c r="D18" s="492" t="s">
        <v>980</v>
      </c>
      <c r="E18" s="493" t="s">
        <v>984</v>
      </c>
      <c r="F18" s="502">
        <v>200</v>
      </c>
      <c r="G18" s="503">
        <v>500</v>
      </c>
      <c r="H18" s="495">
        <v>100000</v>
      </c>
    </row>
    <row r="19" spans="1:9" s="222" customFormat="1" ht="24.95" customHeight="1">
      <c r="A19" s="1398" t="s">
        <v>2</v>
      </c>
      <c r="B19" s="1401"/>
      <c r="C19" s="1401"/>
      <c r="D19" s="492" t="s">
        <v>980</v>
      </c>
      <c r="E19" s="493" t="s">
        <v>985</v>
      </c>
      <c r="F19" s="502">
        <v>90</v>
      </c>
      <c r="G19" s="503">
        <v>500</v>
      </c>
      <c r="H19" s="495">
        <v>45000</v>
      </c>
    </row>
    <row r="20" spans="1:9" s="222" customFormat="1" ht="24.95" customHeight="1">
      <c r="A20" s="496"/>
      <c r="B20" s="497" t="s">
        <v>987</v>
      </c>
      <c r="C20" s="498"/>
      <c r="D20" s="498"/>
      <c r="E20" s="499"/>
      <c r="F20" s="500"/>
      <c r="G20" s="501"/>
      <c r="H20" s="501">
        <f>SUM(H9:H19)</f>
        <v>879500</v>
      </c>
    </row>
    <row r="21" spans="1:9" s="222" customFormat="1" ht="24.95" customHeight="1">
      <c r="A21" s="1396">
        <v>1</v>
      </c>
      <c r="B21" s="1399" t="s">
        <v>661</v>
      </c>
      <c r="C21" s="1399" t="s">
        <v>974</v>
      </c>
      <c r="D21" s="492" t="s">
        <v>988</v>
      </c>
      <c r="E21" s="492" t="s">
        <v>989</v>
      </c>
      <c r="F21" s="504">
        <v>1</v>
      </c>
      <c r="G21" s="495">
        <v>260000</v>
      </c>
      <c r="H21" s="495">
        <v>260000</v>
      </c>
    </row>
    <row r="22" spans="1:9" s="222" customFormat="1" ht="24.95" customHeight="1">
      <c r="A22" s="1397"/>
      <c r="B22" s="1400"/>
      <c r="C22" s="1400"/>
      <c r="D22" s="492" t="s">
        <v>990</v>
      </c>
      <c r="E22" s="492" t="s">
        <v>991</v>
      </c>
      <c r="F22" s="504">
        <v>2</v>
      </c>
      <c r="G22" s="505">
        <v>230000</v>
      </c>
      <c r="H22" s="505">
        <v>460000</v>
      </c>
    </row>
    <row r="23" spans="1:9" s="222" customFormat="1" ht="24.95" customHeight="1">
      <c r="A23" s="1398"/>
      <c r="B23" s="1401"/>
      <c r="C23" s="1401"/>
      <c r="D23" s="492" t="s">
        <v>992</v>
      </c>
      <c r="E23" s="492" t="s">
        <v>993</v>
      </c>
      <c r="F23" s="504">
        <v>1</v>
      </c>
      <c r="G23" s="505">
        <v>80000</v>
      </c>
      <c r="H23" s="505">
        <v>80000</v>
      </c>
    </row>
    <row r="24" spans="1:9" s="222" customFormat="1" ht="24.95" customHeight="1">
      <c r="A24" s="496"/>
      <c r="B24" s="496" t="s">
        <v>994</v>
      </c>
      <c r="C24" s="506"/>
      <c r="D24" s="498"/>
      <c r="E24" s="498"/>
      <c r="F24" s="496"/>
      <c r="G24" s="501"/>
      <c r="H24" s="501">
        <f>SUM(H21:H23)</f>
        <v>800000</v>
      </c>
    </row>
    <row r="25" spans="1:9" s="222" customFormat="1" ht="24.95" customHeight="1">
      <c r="A25" s="504">
        <v>1</v>
      </c>
      <c r="B25" s="507" t="s">
        <v>995</v>
      </c>
      <c r="C25" s="507" t="s">
        <v>597</v>
      </c>
      <c r="D25" s="492" t="s">
        <v>995</v>
      </c>
      <c r="E25" s="492" t="s">
        <v>996</v>
      </c>
      <c r="F25" s="504">
        <v>1</v>
      </c>
      <c r="G25" s="505">
        <v>500000</v>
      </c>
      <c r="H25" s="505">
        <v>500000</v>
      </c>
    </row>
    <row r="26" spans="1:9" s="222" customFormat="1" ht="24.95" customHeight="1">
      <c r="A26" s="504">
        <v>2</v>
      </c>
      <c r="B26" s="507" t="s">
        <v>997</v>
      </c>
      <c r="C26" s="507" t="s">
        <v>597</v>
      </c>
      <c r="D26" s="492" t="s">
        <v>997</v>
      </c>
      <c r="E26" s="492" t="s">
        <v>996</v>
      </c>
      <c r="F26" s="504">
        <v>1</v>
      </c>
      <c r="G26" s="505">
        <v>500000</v>
      </c>
      <c r="H26" s="505">
        <v>500000</v>
      </c>
    </row>
    <row r="27" spans="1:9" s="222" customFormat="1" ht="24.95" customHeight="1">
      <c r="A27" s="487">
        <v>3</v>
      </c>
      <c r="B27" s="488" t="s">
        <v>69</v>
      </c>
      <c r="C27" s="488" t="s">
        <v>972</v>
      </c>
      <c r="D27" s="488" t="s">
        <v>972</v>
      </c>
      <c r="E27" s="489" t="s">
        <v>973</v>
      </c>
      <c r="F27" s="490">
        <v>1</v>
      </c>
      <c r="G27" s="491">
        <v>70000</v>
      </c>
      <c r="H27" s="508">
        <v>70000</v>
      </c>
    </row>
    <row r="28" spans="1:9" s="222" customFormat="1" ht="24.95" customHeight="1">
      <c r="A28" s="504">
        <v>4</v>
      </c>
      <c r="B28" s="507" t="s">
        <v>998</v>
      </c>
      <c r="C28" s="507" t="s">
        <v>999</v>
      </c>
      <c r="D28" s="492" t="s">
        <v>1000</v>
      </c>
      <c r="E28" s="492" t="s">
        <v>1001</v>
      </c>
      <c r="F28" s="504">
        <v>1</v>
      </c>
      <c r="G28" s="505">
        <v>3000000</v>
      </c>
      <c r="H28" s="505">
        <v>3000000</v>
      </c>
      <c r="I28" s="222" t="s">
        <v>1816</v>
      </c>
    </row>
    <row r="29" spans="1:9" s="222" customFormat="1" ht="24.95" customHeight="1">
      <c r="A29" s="504">
        <v>5</v>
      </c>
      <c r="B29" s="507" t="s">
        <v>998</v>
      </c>
      <c r="C29" s="507" t="s">
        <v>1002</v>
      </c>
      <c r="D29" s="492" t="s">
        <v>1002</v>
      </c>
      <c r="E29" s="492" t="s">
        <v>1003</v>
      </c>
      <c r="F29" s="504">
        <v>1</v>
      </c>
      <c r="G29" s="505">
        <v>500000</v>
      </c>
      <c r="H29" s="505">
        <v>500000</v>
      </c>
    </row>
    <row r="30" spans="1:9" s="222" customFormat="1" ht="24.95" customHeight="1">
      <c r="A30" s="1396">
        <v>6</v>
      </c>
      <c r="B30" s="1399" t="s">
        <v>876</v>
      </c>
      <c r="C30" s="1399" t="s">
        <v>974</v>
      </c>
      <c r="D30" s="492" t="s">
        <v>1004</v>
      </c>
      <c r="E30" s="492" t="s">
        <v>1005</v>
      </c>
      <c r="F30" s="502">
        <v>1</v>
      </c>
      <c r="G30" s="495">
        <v>350000</v>
      </c>
      <c r="H30" s="495">
        <v>350000</v>
      </c>
    </row>
    <row r="31" spans="1:9" s="222" customFormat="1" ht="24.95" customHeight="1">
      <c r="A31" s="1398"/>
      <c r="B31" s="1401"/>
      <c r="C31" s="1401" t="s">
        <v>974</v>
      </c>
      <c r="D31" s="492" t="s">
        <v>1006</v>
      </c>
      <c r="E31" s="492" t="s">
        <v>1007</v>
      </c>
      <c r="F31" s="502">
        <v>1</v>
      </c>
      <c r="G31" s="495">
        <v>450000</v>
      </c>
      <c r="H31" s="495">
        <v>450000</v>
      </c>
    </row>
    <row r="32" spans="1:9" s="222" customFormat="1" ht="24.95" customHeight="1">
      <c r="A32" s="496"/>
      <c r="B32" s="497" t="s">
        <v>586</v>
      </c>
      <c r="C32" s="498"/>
      <c r="D32" s="498"/>
      <c r="E32" s="499"/>
      <c r="F32" s="500"/>
      <c r="G32" s="501"/>
      <c r="H32" s="501">
        <f>SUM(H25:H31)</f>
        <v>5370000</v>
      </c>
    </row>
    <row r="33" spans="1:9" s="222" customFormat="1" ht="24.95" customHeight="1">
      <c r="A33" s="504">
        <v>1</v>
      </c>
      <c r="B33" s="507" t="s">
        <v>1008</v>
      </c>
      <c r="C33" s="507" t="s">
        <v>1002</v>
      </c>
      <c r="D33" s="492" t="s">
        <v>1002</v>
      </c>
      <c r="E33" s="492" t="s">
        <v>1003</v>
      </c>
      <c r="F33" s="504">
        <v>1</v>
      </c>
      <c r="G33" s="505">
        <v>500000</v>
      </c>
      <c r="H33" s="505">
        <v>500000</v>
      </c>
    </row>
    <row r="34" spans="1:9" s="222" customFormat="1" ht="24.95" customHeight="1">
      <c r="A34" s="1396">
        <v>2</v>
      </c>
      <c r="B34" s="1399" t="s">
        <v>896</v>
      </c>
      <c r="C34" s="1399" t="s">
        <v>999</v>
      </c>
      <c r="D34" s="1391" t="s">
        <v>1009</v>
      </c>
      <c r="E34" s="492" t="s">
        <v>1010</v>
      </c>
      <c r="F34" s="504">
        <v>1</v>
      </c>
      <c r="G34" s="505">
        <v>3000000</v>
      </c>
      <c r="H34" s="505">
        <v>3000000</v>
      </c>
      <c r="I34" s="222" t="s">
        <v>1816</v>
      </c>
    </row>
    <row r="35" spans="1:9" s="222" customFormat="1" ht="24.95" customHeight="1">
      <c r="A35" s="1397" t="s">
        <v>7</v>
      </c>
      <c r="B35" s="1400" t="s">
        <v>896</v>
      </c>
      <c r="C35" s="1400"/>
      <c r="D35" s="1392" t="s">
        <v>1009</v>
      </c>
      <c r="E35" s="492" t="s">
        <v>1011</v>
      </c>
      <c r="F35" s="504">
        <v>1</v>
      </c>
      <c r="G35" s="505">
        <v>4000000</v>
      </c>
      <c r="H35" s="505">
        <v>4000000</v>
      </c>
    </row>
    <row r="36" spans="1:9" s="222" customFormat="1" ht="24.95" customHeight="1">
      <c r="A36" s="1398" t="s">
        <v>7</v>
      </c>
      <c r="B36" s="1401" t="s">
        <v>896</v>
      </c>
      <c r="C36" s="1401"/>
      <c r="D36" s="1393" t="s">
        <v>1009</v>
      </c>
      <c r="E36" s="492" t="s">
        <v>1012</v>
      </c>
      <c r="F36" s="504">
        <v>1</v>
      </c>
      <c r="G36" s="505">
        <v>196800</v>
      </c>
      <c r="H36" s="505">
        <v>196800</v>
      </c>
    </row>
    <row r="37" spans="1:9" s="222" customFormat="1" ht="24.95" customHeight="1">
      <c r="A37" s="1397">
        <v>3</v>
      </c>
      <c r="B37" s="1400" t="s">
        <v>896</v>
      </c>
      <c r="C37" s="1400" t="s">
        <v>974</v>
      </c>
      <c r="D37" s="492" t="s">
        <v>1013</v>
      </c>
      <c r="E37" s="509" t="s">
        <v>1014</v>
      </c>
      <c r="F37" s="502">
        <v>1</v>
      </c>
      <c r="G37" s="495">
        <v>50000</v>
      </c>
      <c r="H37" s="495">
        <v>50000</v>
      </c>
    </row>
    <row r="38" spans="1:9" s="222" customFormat="1" ht="24.95" customHeight="1">
      <c r="A38" s="1397" t="s">
        <v>7</v>
      </c>
      <c r="B38" s="1400" t="s">
        <v>896</v>
      </c>
      <c r="C38" s="1400"/>
      <c r="D38" s="492" t="s">
        <v>1015</v>
      </c>
      <c r="E38" s="509" t="s">
        <v>1016</v>
      </c>
      <c r="F38" s="502">
        <v>1</v>
      </c>
      <c r="G38" s="495">
        <v>400000</v>
      </c>
      <c r="H38" s="495">
        <v>400000</v>
      </c>
    </row>
    <row r="39" spans="1:9" s="222" customFormat="1" ht="24.95" customHeight="1">
      <c r="A39" s="1397" t="s">
        <v>7</v>
      </c>
      <c r="B39" s="1400" t="s">
        <v>896</v>
      </c>
      <c r="C39" s="1400"/>
      <c r="D39" s="492" t="s">
        <v>1015</v>
      </c>
      <c r="E39" s="509" t="s">
        <v>1017</v>
      </c>
      <c r="F39" s="502">
        <v>1</v>
      </c>
      <c r="G39" s="495">
        <v>300000</v>
      </c>
      <c r="H39" s="495">
        <v>300000</v>
      </c>
    </row>
    <row r="40" spans="1:9" s="222" customFormat="1" ht="24.95" customHeight="1">
      <c r="A40" s="1397" t="s">
        <v>7</v>
      </c>
      <c r="B40" s="1400" t="s">
        <v>896</v>
      </c>
      <c r="C40" s="1400"/>
      <c r="D40" s="492" t="s">
        <v>1018</v>
      </c>
      <c r="E40" s="509" t="s">
        <v>1019</v>
      </c>
      <c r="F40" s="502">
        <v>1</v>
      </c>
      <c r="G40" s="495">
        <v>250000</v>
      </c>
      <c r="H40" s="495">
        <v>250000</v>
      </c>
    </row>
    <row r="41" spans="1:9" s="222" customFormat="1" ht="24.95" customHeight="1">
      <c r="A41" s="1397" t="s">
        <v>7</v>
      </c>
      <c r="B41" s="1400" t="s">
        <v>896</v>
      </c>
      <c r="C41" s="1400"/>
      <c r="D41" s="492" t="s">
        <v>1018</v>
      </c>
      <c r="E41" s="509" t="s">
        <v>1014</v>
      </c>
      <c r="F41" s="502">
        <v>1</v>
      </c>
      <c r="G41" s="495">
        <v>50000</v>
      </c>
      <c r="H41" s="495">
        <v>50000</v>
      </c>
    </row>
    <row r="42" spans="1:9" s="222" customFormat="1" ht="24.95" customHeight="1">
      <c r="A42" s="1397" t="s">
        <v>7</v>
      </c>
      <c r="B42" s="1400" t="s">
        <v>896</v>
      </c>
      <c r="C42" s="1400"/>
      <c r="D42" s="492" t="s">
        <v>1020</v>
      </c>
      <c r="E42" s="509" t="s">
        <v>1021</v>
      </c>
      <c r="F42" s="502">
        <v>1</v>
      </c>
      <c r="G42" s="495">
        <v>190000</v>
      </c>
      <c r="H42" s="495">
        <v>190000</v>
      </c>
    </row>
    <row r="43" spans="1:9" s="222" customFormat="1" ht="24.95" customHeight="1">
      <c r="A43" s="1397" t="s">
        <v>7</v>
      </c>
      <c r="B43" s="1400" t="s">
        <v>896</v>
      </c>
      <c r="C43" s="1400"/>
      <c r="D43" s="492" t="s">
        <v>1020</v>
      </c>
      <c r="E43" s="509" t="s">
        <v>1022</v>
      </c>
      <c r="F43" s="502">
        <v>1</v>
      </c>
      <c r="G43" s="495">
        <v>190000</v>
      </c>
      <c r="H43" s="495">
        <v>190000</v>
      </c>
    </row>
    <row r="44" spans="1:9" s="222" customFormat="1" ht="24.95" customHeight="1">
      <c r="A44" s="1397" t="s">
        <v>7</v>
      </c>
      <c r="B44" s="1400" t="s">
        <v>896</v>
      </c>
      <c r="C44" s="1400"/>
      <c r="D44" s="492" t="s">
        <v>1020</v>
      </c>
      <c r="E44" s="509" t="s">
        <v>1023</v>
      </c>
      <c r="F44" s="502">
        <v>1</v>
      </c>
      <c r="G44" s="495">
        <v>170000</v>
      </c>
      <c r="H44" s="495">
        <v>170000</v>
      </c>
    </row>
    <row r="45" spans="1:9" s="222" customFormat="1" ht="24.95" customHeight="1">
      <c r="A45" s="1398" t="s">
        <v>7</v>
      </c>
      <c r="B45" s="1401" t="s">
        <v>896</v>
      </c>
      <c r="C45" s="1401"/>
      <c r="D45" s="492" t="s">
        <v>1020</v>
      </c>
      <c r="E45" s="509" t="s">
        <v>1014</v>
      </c>
      <c r="F45" s="502">
        <v>1</v>
      </c>
      <c r="G45" s="495">
        <v>49800</v>
      </c>
      <c r="H45" s="495">
        <v>49800</v>
      </c>
    </row>
    <row r="46" spans="1:9" s="222" customFormat="1" ht="24.95" customHeight="1">
      <c r="A46" s="496"/>
      <c r="B46" s="496" t="s">
        <v>1024</v>
      </c>
      <c r="C46" s="506"/>
      <c r="D46" s="498"/>
      <c r="E46" s="498"/>
      <c r="F46" s="496"/>
      <c r="G46" s="501"/>
      <c r="H46" s="501">
        <f>SUM(H33:H45)</f>
        <v>9346600</v>
      </c>
    </row>
    <row r="47" spans="1:9" s="222" customFormat="1" ht="24.95" customHeight="1">
      <c r="A47" s="487">
        <v>1</v>
      </c>
      <c r="B47" s="488" t="s">
        <v>41</v>
      </c>
      <c r="C47" s="488" t="s">
        <v>972</v>
      </c>
      <c r="D47" s="488" t="s">
        <v>972</v>
      </c>
      <c r="E47" s="489" t="s">
        <v>973</v>
      </c>
      <c r="F47" s="490">
        <v>1</v>
      </c>
      <c r="G47" s="491">
        <v>70000</v>
      </c>
      <c r="H47" s="508">
        <v>70000</v>
      </c>
    </row>
    <row r="48" spans="1:9" s="222" customFormat="1" ht="24.95" customHeight="1">
      <c r="A48" s="487">
        <v>2</v>
      </c>
      <c r="B48" s="488" t="s">
        <v>40</v>
      </c>
      <c r="C48" s="488" t="s">
        <v>972</v>
      </c>
      <c r="D48" s="488" t="s">
        <v>972</v>
      </c>
      <c r="E48" s="489" t="s">
        <v>973</v>
      </c>
      <c r="F48" s="490">
        <v>1</v>
      </c>
      <c r="G48" s="491">
        <v>40000</v>
      </c>
      <c r="H48" s="508">
        <v>40000</v>
      </c>
    </row>
    <row r="49" spans="1:9" s="222" customFormat="1" ht="24.95" customHeight="1">
      <c r="A49" s="487">
        <v>3</v>
      </c>
      <c r="B49" s="488" t="s">
        <v>40</v>
      </c>
      <c r="C49" s="488" t="s">
        <v>970</v>
      </c>
      <c r="D49" s="488" t="s">
        <v>970</v>
      </c>
      <c r="E49" s="489" t="s">
        <v>971</v>
      </c>
      <c r="F49" s="490">
        <v>1</v>
      </c>
      <c r="G49" s="491">
        <v>200000</v>
      </c>
      <c r="H49" s="508">
        <v>200000</v>
      </c>
    </row>
    <row r="50" spans="1:9" s="222" customFormat="1" ht="24.95" customHeight="1">
      <c r="A50" s="504">
        <v>4</v>
      </c>
      <c r="B50" s="507" t="s">
        <v>769</v>
      </c>
      <c r="C50" s="507" t="s">
        <v>974</v>
      </c>
      <c r="D50" s="492" t="s">
        <v>1025</v>
      </c>
      <c r="E50" s="492" t="s">
        <v>1026</v>
      </c>
      <c r="F50" s="504">
        <v>3</v>
      </c>
      <c r="G50" s="495">
        <v>550000</v>
      </c>
      <c r="H50" s="495">
        <v>1650000</v>
      </c>
    </row>
    <row r="51" spans="1:9" s="222" customFormat="1" ht="24.95" customHeight="1">
      <c r="A51" s="496"/>
      <c r="B51" s="497" t="s">
        <v>592</v>
      </c>
      <c r="C51" s="498"/>
      <c r="D51" s="498"/>
      <c r="E51" s="499"/>
      <c r="F51" s="500"/>
      <c r="G51" s="501"/>
      <c r="H51" s="501">
        <f>SUM(H47:H50)</f>
        <v>1960000</v>
      </c>
    </row>
    <row r="52" spans="1:9" s="222" customFormat="1" ht="24.95" customHeight="1">
      <c r="A52" s="487">
        <v>1</v>
      </c>
      <c r="B52" s="488" t="s">
        <v>439</v>
      </c>
      <c r="C52" s="488" t="s">
        <v>970</v>
      </c>
      <c r="D52" s="488" t="s">
        <v>970</v>
      </c>
      <c r="E52" s="489" t="s">
        <v>971</v>
      </c>
      <c r="F52" s="490">
        <v>1</v>
      </c>
      <c r="G52" s="491">
        <v>200000</v>
      </c>
      <c r="H52" s="491">
        <v>200000</v>
      </c>
    </row>
    <row r="53" spans="1:9" s="222" customFormat="1" ht="24.95" customHeight="1">
      <c r="A53" s="1396">
        <v>2</v>
      </c>
      <c r="B53" s="1399" t="s">
        <v>934</v>
      </c>
      <c r="C53" s="1399" t="s">
        <v>974</v>
      </c>
      <c r="D53" s="492" t="s">
        <v>1027</v>
      </c>
      <c r="E53" s="492" t="s">
        <v>1028</v>
      </c>
      <c r="F53" s="504">
        <v>1</v>
      </c>
      <c r="G53" s="510">
        <v>158400</v>
      </c>
      <c r="H53" s="495">
        <v>158400</v>
      </c>
    </row>
    <row r="54" spans="1:9" s="222" customFormat="1" ht="24.95" customHeight="1">
      <c r="A54" s="1397" t="s">
        <v>1</v>
      </c>
      <c r="B54" s="1400" t="s">
        <v>934</v>
      </c>
      <c r="C54" s="1400"/>
      <c r="D54" s="492" t="s">
        <v>1029</v>
      </c>
      <c r="E54" s="492" t="s">
        <v>1030</v>
      </c>
      <c r="F54" s="504">
        <v>1</v>
      </c>
      <c r="G54" s="510">
        <v>160000</v>
      </c>
      <c r="H54" s="495">
        <v>160000</v>
      </c>
    </row>
    <row r="55" spans="1:9" s="222" customFormat="1" ht="24.95" customHeight="1">
      <c r="A55" s="1397" t="s">
        <v>1</v>
      </c>
      <c r="B55" s="1400" t="s">
        <v>934</v>
      </c>
      <c r="C55" s="1400"/>
      <c r="D55" s="492" t="s">
        <v>1031</v>
      </c>
      <c r="E55" s="492" t="s">
        <v>1032</v>
      </c>
      <c r="F55" s="504">
        <v>1</v>
      </c>
      <c r="G55" s="510">
        <v>160000</v>
      </c>
      <c r="H55" s="495">
        <v>160000</v>
      </c>
    </row>
    <row r="56" spans="1:9" s="222" customFormat="1" ht="24.95" customHeight="1">
      <c r="A56" s="1397" t="s">
        <v>1</v>
      </c>
      <c r="B56" s="1400" t="s">
        <v>934</v>
      </c>
      <c r="C56" s="1400"/>
      <c r="D56" s="492" t="s">
        <v>1033</v>
      </c>
      <c r="E56" s="492" t="s">
        <v>1034</v>
      </c>
      <c r="F56" s="504">
        <v>1</v>
      </c>
      <c r="G56" s="510">
        <v>80000</v>
      </c>
      <c r="H56" s="495">
        <v>80000</v>
      </c>
    </row>
    <row r="57" spans="1:9" s="222" customFormat="1" ht="24.95" customHeight="1">
      <c r="A57" s="1397" t="s">
        <v>1</v>
      </c>
      <c r="B57" s="1400" t="s">
        <v>934</v>
      </c>
      <c r="C57" s="1400"/>
      <c r="D57" s="492" t="s">
        <v>1035</v>
      </c>
      <c r="E57" s="492" t="s">
        <v>1036</v>
      </c>
      <c r="F57" s="504">
        <v>1</v>
      </c>
      <c r="G57" s="510">
        <v>121600</v>
      </c>
      <c r="H57" s="495">
        <v>121600</v>
      </c>
    </row>
    <row r="58" spans="1:9" s="222" customFormat="1" ht="24.95" customHeight="1">
      <c r="A58" s="1398" t="s">
        <v>1</v>
      </c>
      <c r="B58" s="1401" t="s">
        <v>934</v>
      </c>
      <c r="C58" s="1401"/>
      <c r="D58" s="492" t="s">
        <v>1037</v>
      </c>
      <c r="E58" s="492" t="s">
        <v>1038</v>
      </c>
      <c r="F58" s="504">
        <v>1</v>
      </c>
      <c r="G58" s="510">
        <v>120000</v>
      </c>
      <c r="H58" s="495">
        <v>120000</v>
      </c>
    </row>
    <row r="59" spans="1:9" s="222" customFormat="1" ht="24.95" customHeight="1">
      <c r="A59" s="496"/>
      <c r="B59" s="497" t="s">
        <v>589</v>
      </c>
      <c r="C59" s="498"/>
      <c r="D59" s="498"/>
      <c r="E59" s="499"/>
      <c r="F59" s="500"/>
      <c r="G59" s="501"/>
      <c r="H59" s="501">
        <f>SUM(H52:H58)</f>
        <v>1000000</v>
      </c>
    </row>
    <row r="60" spans="1:9" s="222" customFormat="1" ht="24.95" customHeight="1">
      <c r="A60" s="502">
        <v>1</v>
      </c>
      <c r="B60" s="511" t="s">
        <v>608</v>
      </c>
      <c r="C60" s="511" t="s">
        <v>999</v>
      </c>
      <c r="D60" s="509" t="s">
        <v>1039</v>
      </c>
      <c r="E60" s="509" t="s">
        <v>1040</v>
      </c>
      <c r="F60" s="502">
        <v>1</v>
      </c>
      <c r="G60" s="495">
        <v>600000</v>
      </c>
      <c r="H60" s="495">
        <v>600000</v>
      </c>
      <c r="I60" s="222" t="s">
        <v>1817</v>
      </c>
    </row>
    <row r="61" spans="1:9" s="222" customFormat="1" ht="24.95" customHeight="1">
      <c r="A61" s="1396">
        <v>2</v>
      </c>
      <c r="B61" s="1399" t="s">
        <v>608</v>
      </c>
      <c r="C61" s="1399" t="s">
        <v>974</v>
      </c>
      <c r="D61" s="492" t="s">
        <v>1041</v>
      </c>
      <c r="E61" s="492" t="s">
        <v>1042</v>
      </c>
      <c r="F61" s="504">
        <v>1</v>
      </c>
      <c r="G61" s="495">
        <v>160000</v>
      </c>
      <c r="H61" s="495">
        <v>160000</v>
      </c>
    </row>
    <row r="62" spans="1:9" s="222" customFormat="1" ht="24.95" customHeight="1">
      <c r="A62" s="1397" t="s">
        <v>5</v>
      </c>
      <c r="B62" s="1400" t="s">
        <v>608</v>
      </c>
      <c r="C62" s="1400"/>
      <c r="D62" s="492" t="s">
        <v>1043</v>
      </c>
      <c r="E62" s="492" t="s">
        <v>1044</v>
      </c>
      <c r="F62" s="504">
        <v>1</v>
      </c>
      <c r="G62" s="495">
        <v>240000</v>
      </c>
      <c r="H62" s="495">
        <v>240000</v>
      </c>
    </row>
    <row r="63" spans="1:9" s="222" customFormat="1" ht="24.95" customHeight="1">
      <c r="A63" s="1397" t="s">
        <v>5</v>
      </c>
      <c r="B63" s="1400" t="s">
        <v>608</v>
      </c>
      <c r="C63" s="1400"/>
      <c r="D63" s="492" t="s">
        <v>1045</v>
      </c>
      <c r="E63" s="492" t="s">
        <v>1046</v>
      </c>
      <c r="F63" s="504">
        <v>1</v>
      </c>
      <c r="G63" s="495">
        <v>240000</v>
      </c>
      <c r="H63" s="495">
        <v>240000</v>
      </c>
    </row>
    <row r="64" spans="1:9" s="222" customFormat="1" ht="24.95" customHeight="1">
      <c r="A64" s="1398" t="s">
        <v>5</v>
      </c>
      <c r="B64" s="1401" t="s">
        <v>608</v>
      </c>
      <c r="C64" s="1401"/>
      <c r="D64" s="492" t="s">
        <v>1047</v>
      </c>
      <c r="E64" s="492" t="s">
        <v>1048</v>
      </c>
      <c r="F64" s="504">
        <v>1</v>
      </c>
      <c r="G64" s="495">
        <v>160000</v>
      </c>
      <c r="H64" s="495">
        <v>160000</v>
      </c>
    </row>
    <row r="65" spans="1:9" s="222" customFormat="1" ht="24.95" customHeight="1">
      <c r="A65" s="496"/>
      <c r="B65" s="496" t="s">
        <v>594</v>
      </c>
      <c r="C65" s="506"/>
      <c r="D65" s="498"/>
      <c r="E65" s="498"/>
      <c r="F65" s="496"/>
      <c r="G65" s="501"/>
      <c r="H65" s="501">
        <f>SUM(H60:H64)</f>
        <v>1400000</v>
      </c>
    </row>
    <row r="66" spans="1:9" s="222" customFormat="1" ht="24.95" customHeight="1">
      <c r="A66" s="504">
        <v>1</v>
      </c>
      <c r="B66" s="507" t="s">
        <v>957</v>
      </c>
      <c r="C66" s="507" t="s">
        <v>974</v>
      </c>
      <c r="D66" s="492" t="s">
        <v>1049</v>
      </c>
      <c r="E66" s="492" t="s">
        <v>1050</v>
      </c>
      <c r="F66" s="504">
        <v>1</v>
      </c>
      <c r="G66" s="505">
        <v>100000</v>
      </c>
      <c r="H66" s="505">
        <v>100000</v>
      </c>
      <c r="I66" s="222" t="s">
        <v>1818</v>
      </c>
    </row>
    <row r="67" spans="1:9" s="222" customFormat="1" ht="24.95" customHeight="1">
      <c r="A67" s="504">
        <v>2</v>
      </c>
      <c r="B67" s="507" t="s">
        <v>954</v>
      </c>
      <c r="C67" s="507" t="s">
        <v>974</v>
      </c>
      <c r="D67" s="492" t="s">
        <v>1049</v>
      </c>
      <c r="E67" s="492" t="s">
        <v>1050</v>
      </c>
      <c r="F67" s="504">
        <v>1</v>
      </c>
      <c r="G67" s="505">
        <v>150000</v>
      </c>
      <c r="H67" s="505">
        <v>150000</v>
      </c>
      <c r="I67" s="222" t="s">
        <v>1818</v>
      </c>
    </row>
    <row r="68" spans="1:9" s="222" customFormat="1" ht="24.95" customHeight="1">
      <c r="A68" s="502">
        <v>3</v>
      </c>
      <c r="B68" s="511" t="s">
        <v>1051</v>
      </c>
      <c r="C68" s="511" t="s">
        <v>999</v>
      </c>
      <c r="D68" s="509" t="s">
        <v>1052</v>
      </c>
      <c r="E68" s="509" t="s">
        <v>1053</v>
      </c>
      <c r="F68" s="502">
        <v>1</v>
      </c>
      <c r="G68" s="495">
        <v>1000000</v>
      </c>
      <c r="H68" s="495">
        <v>1000000</v>
      </c>
      <c r="I68" s="222" t="s">
        <v>1817</v>
      </c>
    </row>
    <row r="69" spans="1:9" s="222" customFormat="1" ht="24.95" customHeight="1">
      <c r="A69" s="504">
        <v>4</v>
      </c>
      <c r="B69" s="507" t="s">
        <v>104</v>
      </c>
      <c r="C69" s="507" t="s">
        <v>999</v>
      </c>
      <c r="D69" s="492" t="s">
        <v>1054</v>
      </c>
      <c r="E69" s="492" t="s">
        <v>1054</v>
      </c>
      <c r="F69" s="504">
        <v>1</v>
      </c>
      <c r="G69" s="505">
        <v>600000</v>
      </c>
      <c r="H69" s="505">
        <v>600000</v>
      </c>
      <c r="I69" s="222" t="s">
        <v>1817</v>
      </c>
    </row>
    <row r="70" spans="1:9" s="222" customFormat="1" ht="24.95" customHeight="1">
      <c r="A70" s="487">
        <v>5</v>
      </c>
      <c r="B70" s="512" t="s">
        <v>469</v>
      </c>
      <c r="C70" s="512" t="s">
        <v>972</v>
      </c>
      <c r="D70" s="488" t="s">
        <v>972</v>
      </c>
      <c r="E70" s="488" t="s">
        <v>973</v>
      </c>
      <c r="F70" s="490">
        <v>1</v>
      </c>
      <c r="G70" s="491">
        <v>40000</v>
      </c>
      <c r="H70" s="491">
        <v>40000</v>
      </c>
    </row>
    <row r="71" spans="1:9" s="341" customFormat="1" ht="24.95" customHeight="1">
      <c r="A71" s="1405">
        <v>6</v>
      </c>
      <c r="B71" s="1402" t="s">
        <v>1819</v>
      </c>
      <c r="C71" s="1402" t="s">
        <v>974</v>
      </c>
      <c r="D71" s="486" t="s">
        <v>1764</v>
      </c>
      <c r="E71" s="485" t="s">
        <v>1765</v>
      </c>
      <c r="F71" s="448">
        <v>2</v>
      </c>
      <c r="G71" s="449">
        <v>5000</v>
      </c>
      <c r="H71" s="449">
        <v>10000</v>
      </c>
      <c r="I71" s="450"/>
    </row>
    <row r="72" spans="1:9" s="341" customFormat="1" ht="24.95" customHeight="1">
      <c r="A72" s="1406"/>
      <c r="B72" s="1403"/>
      <c r="C72" s="1403"/>
      <c r="D72" s="486" t="s">
        <v>1766</v>
      </c>
      <c r="E72" s="485" t="s">
        <v>1767</v>
      </c>
      <c r="F72" s="448">
        <v>300</v>
      </c>
      <c r="G72" s="449">
        <v>1000</v>
      </c>
      <c r="H72" s="449">
        <v>300000</v>
      </c>
      <c r="I72" s="450"/>
    </row>
    <row r="73" spans="1:9" s="341" customFormat="1" ht="24.95" customHeight="1">
      <c r="A73" s="1406"/>
      <c r="B73" s="1403"/>
      <c r="C73" s="1403"/>
      <c r="D73" s="486" t="s">
        <v>1768</v>
      </c>
      <c r="E73" s="485" t="s">
        <v>1769</v>
      </c>
      <c r="F73" s="448">
        <v>10</v>
      </c>
      <c r="G73" s="449">
        <v>10000</v>
      </c>
      <c r="H73" s="449">
        <v>100000</v>
      </c>
      <c r="I73" s="450"/>
    </row>
    <row r="74" spans="1:9" s="341" customFormat="1" ht="24.95" customHeight="1">
      <c r="A74" s="1406"/>
      <c r="B74" s="1403"/>
      <c r="C74" s="1403"/>
      <c r="D74" s="486" t="s">
        <v>1770</v>
      </c>
      <c r="E74" s="485" t="s">
        <v>1771</v>
      </c>
      <c r="F74" s="448">
        <v>5</v>
      </c>
      <c r="G74" s="449">
        <v>50000</v>
      </c>
      <c r="H74" s="449">
        <v>250000</v>
      </c>
      <c r="I74" s="450"/>
    </row>
    <row r="75" spans="1:9" s="341" customFormat="1" ht="24.95" customHeight="1">
      <c r="A75" s="1406"/>
      <c r="B75" s="1403"/>
      <c r="C75" s="1403"/>
      <c r="D75" s="486" t="s">
        <v>1772</v>
      </c>
      <c r="E75" s="485" t="s">
        <v>1773</v>
      </c>
      <c r="F75" s="448">
        <v>20</v>
      </c>
      <c r="G75" s="449">
        <v>500</v>
      </c>
      <c r="H75" s="449">
        <v>10000</v>
      </c>
      <c r="I75" s="450"/>
    </row>
    <row r="76" spans="1:9" s="341" customFormat="1" ht="24.95" customHeight="1">
      <c r="A76" s="1407">
        <v>6</v>
      </c>
      <c r="B76" s="1404" t="s">
        <v>694</v>
      </c>
      <c r="C76" s="1404"/>
      <c r="D76" s="486" t="s">
        <v>1774</v>
      </c>
      <c r="E76" s="485" t="s">
        <v>1775</v>
      </c>
      <c r="F76" s="448">
        <v>2</v>
      </c>
      <c r="G76" s="449">
        <v>40000</v>
      </c>
      <c r="H76" s="449">
        <v>80000</v>
      </c>
      <c r="I76" s="450"/>
    </row>
    <row r="77" spans="1:9" s="222" customFormat="1" ht="24.95" customHeight="1">
      <c r="A77" s="496"/>
      <c r="B77" s="496" t="s">
        <v>1055</v>
      </c>
      <c r="C77" s="506"/>
      <c r="D77" s="498"/>
      <c r="E77" s="498"/>
      <c r="F77" s="496"/>
      <c r="G77" s="501"/>
      <c r="H77" s="501">
        <f>SUM(H66:H76)</f>
        <v>2640000</v>
      </c>
    </row>
    <row r="78" spans="1:9" s="222" customFormat="1" ht="24.95" customHeight="1">
      <c r="A78" s="496"/>
      <c r="B78" s="496" t="s">
        <v>802</v>
      </c>
      <c r="C78" s="506"/>
      <c r="D78" s="498"/>
      <c r="E78" s="498"/>
      <c r="F78" s="496"/>
      <c r="G78" s="501"/>
      <c r="H78" s="501">
        <f>SUM(H8,H20,H24,H32,H46,H51,H59,H65,H77)</f>
        <v>24466100</v>
      </c>
    </row>
    <row r="79" spans="1:9" s="222" customFormat="1" ht="11.25">
      <c r="F79" s="513"/>
    </row>
  </sheetData>
  <mergeCells count="29">
    <mergeCell ref="C34:C36"/>
    <mergeCell ref="C71:C76"/>
    <mergeCell ref="B71:B76"/>
    <mergeCell ref="A71:A76"/>
    <mergeCell ref="A61:A64"/>
    <mergeCell ref="A37:A45"/>
    <mergeCell ref="B37:B45"/>
    <mergeCell ref="C37:C45"/>
    <mergeCell ref="A53:A58"/>
    <mergeCell ref="B53:B58"/>
    <mergeCell ref="C53:C58"/>
    <mergeCell ref="B61:B64"/>
    <mergeCell ref="C61:C64"/>
    <mergeCell ref="D34:D36"/>
    <mergeCell ref="A1:H1"/>
    <mergeCell ref="A5:A7"/>
    <mergeCell ref="B5:B7"/>
    <mergeCell ref="C5:C7"/>
    <mergeCell ref="A11:A19"/>
    <mergeCell ref="B11:B19"/>
    <mergeCell ref="C11:C19"/>
    <mergeCell ref="A21:A23"/>
    <mergeCell ref="B21:B23"/>
    <mergeCell ref="C21:C23"/>
    <mergeCell ref="A30:A31"/>
    <mergeCell ref="B30:B31"/>
    <mergeCell ref="C30:C31"/>
    <mergeCell ref="A34:A36"/>
    <mergeCell ref="B34:B36"/>
  </mergeCells>
  <phoneticPr fontId="1" type="noConversion"/>
  <printOptions horizontalCentered="1"/>
  <pageMargins left="0.70866141732283472" right="0.70866141732283472" top="0.74803149606299213" bottom="0.74803149606299213" header="0.31496062992125984" footer="0.31496062992125984"/>
  <pageSetup paperSize="9" scale="90" orientation="landscape"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1"/>
  <sheetViews>
    <sheetView workbookViewId="0">
      <pane xSplit="4" ySplit="2" topLeftCell="M81" activePane="bottomRight" state="frozen"/>
      <selection pane="topRight" activeCell="E1" sqref="E1"/>
      <selection pane="bottomLeft" activeCell="A3" sqref="A3"/>
      <selection pane="bottomRight" activeCell="N31" sqref="N31:N109"/>
    </sheetView>
  </sheetViews>
  <sheetFormatPr defaultColWidth="15.625" defaultRowHeight="11.25"/>
  <cols>
    <col min="1" max="1" width="4.625" style="30" customWidth="1"/>
    <col min="2" max="2" width="29.25" style="30" customWidth="1"/>
    <col min="3" max="3" width="13" style="30" customWidth="1"/>
    <col min="4" max="4" width="20" style="58" customWidth="1"/>
    <col min="5" max="5" width="15.625" style="30"/>
    <col min="6" max="6" width="14.375" style="30" customWidth="1"/>
    <col min="7" max="253" width="15.625" style="30"/>
    <col min="254" max="254" width="4.625" style="30" customWidth="1"/>
    <col min="255" max="255" width="29.25" style="30" customWidth="1"/>
    <col min="256" max="256" width="13" style="30" customWidth="1"/>
    <col min="257" max="257" width="20" style="30" customWidth="1"/>
    <col min="258" max="509" width="15.625" style="30"/>
    <col min="510" max="510" width="4.625" style="30" customWidth="1"/>
    <col min="511" max="511" width="29.25" style="30" customWidth="1"/>
    <col min="512" max="512" width="13" style="30" customWidth="1"/>
    <col min="513" max="513" width="20" style="30" customWidth="1"/>
    <col min="514" max="765" width="15.625" style="30"/>
    <col min="766" max="766" width="4.625" style="30" customWidth="1"/>
    <col min="767" max="767" width="29.25" style="30" customWidth="1"/>
    <col min="768" max="768" width="13" style="30" customWidth="1"/>
    <col min="769" max="769" width="20" style="30" customWidth="1"/>
    <col min="770" max="1021" width="15.625" style="30"/>
    <col min="1022" max="1022" width="4.625" style="30" customWidth="1"/>
    <col min="1023" max="1023" width="29.25" style="30" customWidth="1"/>
    <col min="1024" max="1024" width="13" style="30" customWidth="1"/>
    <col min="1025" max="1025" width="20" style="30" customWidth="1"/>
    <col min="1026" max="1277" width="15.625" style="30"/>
    <col min="1278" max="1278" width="4.625" style="30" customWidth="1"/>
    <col min="1279" max="1279" width="29.25" style="30" customWidth="1"/>
    <col min="1280" max="1280" width="13" style="30" customWidth="1"/>
    <col min="1281" max="1281" width="20" style="30" customWidth="1"/>
    <col min="1282" max="1533" width="15.625" style="30"/>
    <col min="1534" max="1534" width="4.625" style="30" customWidth="1"/>
    <col min="1535" max="1535" width="29.25" style="30" customWidth="1"/>
    <col min="1536" max="1536" width="13" style="30" customWidth="1"/>
    <col min="1537" max="1537" width="20" style="30" customWidth="1"/>
    <col min="1538" max="1789" width="15.625" style="30"/>
    <col min="1790" max="1790" width="4.625" style="30" customWidth="1"/>
    <col min="1791" max="1791" width="29.25" style="30" customWidth="1"/>
    <col min="1792" max="1792" width="13" style="30" customWidth="1"/>
    <col min="1793" max="1793" width="20" style="30" customWidth="1"/>
    <col min="1794" max="2045" width="15.625" style="30"/>
    <col min="2046" max="2046" width="4.625" style="30" customWidth="1"/>
    <col min="2047" max="2047" width="29.25" style="30" customWidth="1"/>
    <col min="2048" max="2048" width="13" style="30" customWidth="1"/>
    <col min="2049" max="2049" width="20" style="30" customWidth="1"/>
    <col min="2050" max="2301" width="15.625" style="30"/>
    <col min="2302" max="2302" width="4.625" style="30" customWidth="1"/>
    <col min="2303" max="2303" width="29.25" style="30" customWidth="1"/>
    <col min="2304" max="2304" width="13" style="30" customWidth="1"/>
    <col min="2305" max="2305" width="20" style="30" customWidth="1"/>
    <col min="2306" max="2557" width="15.625" style="30"/>
    <col min="2558" max="2558" width="4.625" style="30" customWidth="1"/>
    <col min="2559" max="2559" width="29.25" style="30" customWidth="1"/>
    <col min="2560" max="2560" width="13" style="30" customWidth="1"/>
    <col min="2561" max="2561" width="20" style="30" customWidth="1"/>
    <col min="2562" max="2813" width="15.625" style="30"/>
    <col min="2814" max="2814" width="4.625" style="30" customWidth="1"/>
    <col min="2815" max="2815" width="29.25" style="30" customWidth="1"/>
    <col min="2816" max="2816" width="13" style="30" customWidth="1"/>
    <col min="2817" max="2817" width="20" style="30" customWidth="1"/>
    <col min="2818" max="3069" width="15.625" style="30"/>
    <col min="3070" max="3070" width="4.625" style="30" customWidth="1"/>
    <col min="3071" max="3071" width="29.25" style="30" customWidth="1"/>
    <col min="3072" max="3072" width="13" style="30" customWidth="1"/>
    <col min="3073" max="3073" width="20" style="30" customWidth="1"/>
    <col min="3074" max="3325" width="15.625" style="30"/>
    <col min="3326" max="3326" width="4.625" style="30" customWidth="1"/>
    <col min="3327" max="3327" width="29.25" style="30" customWidth="1"/>
    <col min="3328" max="3328" width="13" style="30" customWidth="1"/>
    <col min="3329" max="3329" width="20" style="30" customWidth="1"/>
    <col min="3330" max="3581" width="15.625" style="30"/>
    <col min="3582" max="3582" width="4.625" style="30" customWidth="1"/>
    <col min="3583" max="3583" width="29.25" style="30" customWidth="1"/>
    <col min="3584" max="3584" width="13" style="30" customWidth="1"/>
    <col min="3585" max="3585" width="20" style="30" customWidth="1"/>
    <col min="3586" max="3837" width="15.625" style="30"/>
    <col min="3838" max="3838" width="4.625" style="30" customWidth="1"/>
    <col min="3839" max="3839" width="29.25" style="30" customWidth="1"/>
    <col min="3840" max="3840" width="13" style="30" customWidth="1"/>
    <col min="3841" max="3841" width="20" style="30" customWidth="1"/>
    <col min="3842" max="4093" width="15.625" style="30"/>
    <col min="4094" max="4094" width="4.625" style="30" customWidth="1"/>
    <col min="4095" max="4095" width="29.25" style="30" customWidth="1"/>
    <col min="4096" max="4096" width="13" style="30" customWidth="1"/>
    <col min="4097" max="4097" width="20" style="30" customWidth="1"/>
    <col min="4098" max="4349" width="15.625" style="30"/>
    <col min="4350" max="4350" width="4.625" style="30" customWidth="1"/>
    <col min="4351" max="4351" width="29.25" style="30" customWidth="1"/>
    <col min="4352" max="4352" width="13" style="30" customWidth="1"/>
    <col min="4353" max="4353" width="20" style="30" customWidth="1"/>
    <col min="4354" max="4605" width="15.625" style="30"/>
    <col min="4606" max="4606" width="4.625" style="30" customWidth="1"/>
    <col min="4607" max="4607" width="29.25" style="30" customWidth="1"/>
    <col min="4608" max="4608" width="13" style="30" customWidth="1"/>
    <col min="4609" max="4609" width="20" style="30" customWidth="1"/>
    <col min="4610" max="4861" width="15.625" style="30"/>
    <col min="4862" max="4862" width="4.625" style="30" customWidth="1"/>
    <col min="4863" max="4863" width="29.25" style="30" customWidth="1"/>
    <col min="4864" max="4864" width="13" style="30" customWidth="1"/>
    <col min="4865" max="4865" width="20" style="30" customWidth="1"/>
    <col min="4866" max="5117" width="15.625" style="30"/>
    <col min="5118" max="5118" width="4.625" style="30" customWidth="1"/>
    <col min="5119" max="5119" width="29.25" style="30" customWidth="1"/>
    <col min="5120" max="5120" width="13" style="30" customWidth="1"/>
    <col min="5121" max="5121" width="20" style="30" customWidth="1"/>
    <col min="5122" max="5373" width="15.625" style="30"/>
    <col min="5374" max="5374" width="4.625" style="30" customWidth="1"/>
    <col min="5375" max="5375" width="29.25" style="30" customWidth="1"/>
    <col min="5376" max="5376" width="13" style="30" customWidth="1"/>
    <col min="5377" max="5377" width="20" style="30" customWidth="1"/>
    <col min="5378" max="5629" width="15.625" style="30"/>
    <col min="5630" max="5630" width="4.625" style="30" customWidth="1"/>
    <col min="5631" max="5631" width="29.25" style="30" customWidth="1"/>
    <col min="5632" max="5632" width="13" style="30" customWidth="1"/>
    <col min="5633" max="5633" width="20" style="30" customWidth="1"/>
    <col min="5634" max="5885" width="15.625" style="30"/>
    <col min="5886" max="5886" width="4.625" style="30" customWidth="1"/>
    <col min="5887" max="5887" width="29.25" style="30" customWidth="1"/>
    <col min="5888" max="5888" width="13" style="30" customWidth="1"/>
    <col min="5889" max="5889" width="20" style="30" customWidth="1"/>
    <col min="5890" max="6141" width="15.625" style="30"/>
    <col min="6142" max="6142" width="4.625" style="30" customWidth="1"/>
    <col min="6143" max="6143" width="29.25" style="30" customWidth="1"/>
    <col min="6144" max="6144" width="13" style="30" customWidth="1"/>
    <col min="6145" max="6145" width="20" style="30" customWidth="1"/>
    <col min="6146" max="6397" width="15.625" style="30"/>
    <col min="6398" max="6398" width="4.625" style="30" customWidth="1"/>
    <col min="6399" max="6399" width="29.25" style="30" customWidth="1"/>
    <col min="6400" max="6400" width="13" style="30" customWidth="1"/>
    <col min="6401" max="6401" width="20" style="30" customWidth="1"/>
    <col min="6402" max="6653" width="15.625" style="30"/>
    <col min="6654" max="6654" width="4.625" style="30" customWidth="1"/>
    <col min="6655" max="6655" width="29.25" style="30" customWidth="1"/>
    <col min="6656" max="6656" width="13" style="30" customWidth="1"/>
    <col min="6657" max="6657" width="20" style="30" customWidth="1"/>
    <col min="6658" max="6909" width="15.625" style="30"/>
    <col min="6910" max="6910" width="4.625" style="30" customWidth="1"/>
    <col min="6911" max="6911" width="29.25" style="30" customWidth="1"/>
    <col min="6912" max="6912" width="13" style="30" customWidth="1"/>
    <col min="6913" max="6913" width="20" style="30" customWidth="1"/>
    <col min="6914" max="7165" width="15.625" style="30"/>
    <col min="7166" max="7166" width="4.625" style="30" customWidth="1"/>
    <col min="7167" max="7167" width="29.25" style="30" customWidth="1"/>
    <col min="7168" max="7168" width="13" style="30" customWidth="1"/>
    <col min="7169" max="7169" width="20" style="30" customWidth="1"/>
    <col min="7170" max="7421" width="15.625" style="30"/>
    <col min="7422" max="7422" width="4.625" style="30" customWidth="1"/>
    <col min="7423" max="7423" width="29.25" style="30" customWidth="1"/>
    <col min="7424" max="7424" width="13" style="30" customWidth="1"/>
    <col min="7425" max="7425" width="20" style="30" customWidth="1"/>
    <col min="7426" max="7677" width="15.625" style="30"/>
    <col min="7678" max="7678" width="4.625" style="30" customWidth="1"/>
    <col min="7679" max="7679" width="29.25" style="30" customWidth="1"/>
    <col min="7680" max="7680" width="13" style="30" customWidth="1"/>
    <col min="7681" max="7681" width="20" style="30" customWidth="1"/>
    <col min="7682" max="7933" width="15.625" style="30"/>
    <col min="7934" max="7934" width="4.625" style="30" customWidth="1"/>
    <col min="7935" max="7935" width="29.25" style="30" customWidth="1"/>
    <col min="7936" max="7936" width="13" style="30" customWidth="1"/>
    <col min="7937" max="7937" width="20" style="30" customWidth="1"/>
    <col min="7938" max="8189" width="15.625" style="30"/>
    <col min="8190" max="8190" width="4.625" style="30" customWidth="1"/>
    <col min="8191" max="8191" width="29.25" style="30" customWidth="1"/>
    <col min="8192" max="8192" width="13" style="30" customWidth="1"/>
    <col min="8193" max="8193" width="20" style="30" customWidth="1"/>
    <col min="8194" max="8445" width="15.625" style="30"/>
    <col min="8446" max="8446" width="4.625" style="30" customWidth="1"/>
    <col min="8447" max="8447" width="29.25" style="30" customWidth="1"/>
    <col min="8448" max="8448" width="13" style="30" customWidth="1"/>
    <col min="8449" max="8449" width="20" style="30" customWidth="1"/>
    <col min="8450" max="8701" width="15.625" style="30"/>
    <col min="8702" max="8702" width="4.625" style="30" customWidth="1"/>
    <col min="8703" max="8703" width="29.25" style="30" customWidth="1"/>
    <col min="8704" max="8704" width="13" style="30" customWidth="1"/>
    <col min="8705" max="8705" width="20" style="30" customWidth="1"/>
    <col min="8706" max="8957" width="15.625" style="30"/>
    <col min="8958" max="8958" width="4.625" style="30" customWidth="1"/>
    <col min="8959" max="8959" width="29.25" style="30" customWidth="1"/>
    <col min="8960" max="8960" width="13" style="30" customWidth="1"/>
    <col min="8961" max="8961" width="20" style="30" customWidth="1"/>
    <col min="8962" max="9213" width="15.625" style="30"/>
    <col min="9214" max="9214" width="4.625" style="30" customWidth="1"/>
    <col min="9215" max="9215" width="29.25" style="30" customWidth="1"/>
    <col min="9216" max="9216" width="13" style="30" customWidth="1"/>
    <col min="9217" max="9217" width="20" style="30" customWidth="1"/>
    <col min="9218" max="9469" width="15.625" style="30"/>
    <col min="9470" max="9470" width="4.625" style="30" customWidth="1"/>
    <col min="9471" max="9471" width="29.25" style="30" customWidth="1"/>
    <col min="9472" max="9472" width="13" style="30" customWidth="1"/>
    <col min="9473" max="9473" width="20" style="30" customWidth="1"/>
    <col min="9474" max="9725" width="15.625" style="30"/>
    <col min="9726" max="9726" width="4.625" style="30" customWidth="1"/>
    <col min="9727" max="9727" width="29.25" style="30" customWidth="1"/>
    <col min="9728" max="9728" width="13" style="30" customWidth="1"/>
    <col min="9729" max="9729" width="20" style="30" customWidth="1"/>
    <col min="9730" max="9981" width="15.625" style="30"/>
    <col min="9982" max="9982" width="4.625" style="30" customWidth="1"/>
    <col min="9983" max="9983" width="29.25" style="30" customWidth="1"/>
    <col min="9984" max="9984" width="13" style="30" customWidth="1"/>
    <col min="9985" max="9985" width="20" style="30" customWidth="1"/>
    <col min="9986" max="10237" width="15.625" style="30"/>
    <col min="10238" max="10238" width="4.625" style="30" customWidth="1"/>
    <col min="10239" max="10239" width="29.25" style="30" customWidth="1"/>
    <col min="10240" max="10240" width="13" style="30" customWidth="1"/>
    <col min="10241" max="10241" width="20" style="30" customWidth="1"/>
    <col min="10242" max="10493" width="15.625" style="30"/>
    <col min="10494" max="10494" width="4.625" style="30" customWidth="1"/>
    <col min="10495" max="10495" width="29.25" style="30" customWidth="1"/>
    <col min="10496" max="10496" width="13" style="30" customWidth="1"/>
    <col min="10497" max="10497" width="20" style="30" customWidth="1"/>
    <col min="10498" max="10749" width="15.625" style="30"/>
    <col min="10750" max="10750" width="4.625" style="30" customWidth="1"/>
    <col min="10751" max="10751" width="29.25" style="30" customWidth="1"/>
    <col min="10752" max="10752" width="13" style="30" customWidth="1"/>
    <col min="10753" max="10753" width="20" style="30" customWidth="1"/>
    <col min="10754" max="11005" width="15.625" style="30"/>
    <col min="11006" max="11006" width="4.625" style="30" customWidth="1"/>
    <col min="11007" max="11007" width="29.25" style="30" customWidth="1"/>
    <col min="11008" max="11008" width="13" style="30" customWidth="1"/>
    <col min="11009" max="11009" width="20" style="30" customWidth="1"/>
    <col min="11010" max="11261" width="15.625" style="30"/>
    <col min="11262" max="11262" width="4.625" style="30" customWidth="1"/>
    <col min="11263" max="11263" width="29.25" style="30" customWidth="1"/>
    <col min="11264" max="11264" width="13" style="30" customWidth="1"/>
    <col min="11265" max="11265" width="20" style="30" customWidth="1"/>
    <col min="11266" max="11517" width="15.625" style="30"/>
    <col min="11518" max="11518" width="4.625" style="30" customWidth="1"/>
    <col min="11519" max="11519" width="29.25" style="30" customWidth="1"/>
    <col min="11520" max="11520" width="13" style="30" customWidth="1"/>
    <col min="11521" max="11521" width="20" style="30" customWidth="1"/>
    <col min="11522" max="11773" width="15.625" style="30"/>
    <col min="11774" max="11774" width="4.625" style="30" customWidth="1"/>
    <col min="11775" max="11775" width="29.25" style="30" customWidth="1"/>
    <col min="11776" max="11776" width="13" style="30" customWidth="1"/>
    <col min="11777" max="11777" width="20" style="30" customWidth="1"/>
    <col min="11778" max="12029" width="15.625" style="30"/>
    <col min="12030" max="12030" width="4.625" style="30" customWidth="1"/>
    <col min="12031" max="12031" width="29.25" style="30" customWidth="1"/>
    <col min="12032" max="12032" width="13" style="30" customWidth="1"/>
    <col min="12033" max="12033" width="20" style="30" customWidth="1"/>
    <col min="12034" max="12285" width="15.625" style="30"/>
    <col min="12286" max="12286" width="4.625" style="30" customWidth="1"/>
    <col min="12287" max="12287" width="29.25" style="30" customWidth="1"/>
    <col min="12288" max="12288" width="13" style="30" customWidth="1"/>
    <col min="12289" max="12289" width="20" style="30" customWidth="1"/>
    <col min="12290" max="12541" width="15.625" style="30"/>
    <col min="12542" max="12542" width="4.625" style="30" customWidth="1"/>
    <col min="12543" max="12543" width="29.25" style="30" customWidth="1"/>
    <col min="12544" max="12544" width="13" style="30" customWidth="1"/>
    <col min="12545" max="12545" width="20" style="30" customWidth="1"/>
    <col min="12546" max="12797" width="15.625" style="30"/>
    <col min="12798" max="12798" width="4.625" style="30" customWidth="1"/>
    <col min="12799" max="12799" width="29.25" style="30" customWidth="1"/>
    <col min="12800" max="12800" width="13" style="30" customWidth="1"/>
    <col min="12801" max="12801" width="20" style="30" customWidth="1"/>
    <col min="12802" max="13053" width="15.625" style="30"/>
    <col min="13054" max="13054" width="4.625" style="30" customWidth="1"/>
    <col min="13055" max="13055" width="29.25" style="30" customWidth="1"/>
    <col min="13056" max="13056" width="13" style="30" customWidth="1"/>
    <col min="13057" max="13057" width="20" style="30" customWidth="1"/>
    <col min="13058" max="13309" width="15.625" style="30"/>
    <col min="13310" max="13310" width="4.625" style="30" customWidth="1"/>
    <col min="13311" max="13311" width="29.25" style="30" customWidth="1"/>
    <col min="13312" max="13312" width="13" style="30" customWidth="1"/>
    <col min="13313" max="13313" width="20" style="30" customWidth="1"/>
    <col min="13314" max="13565" width="15.625" style="30"/>
    <col min="13566" max="13566" width="4.625" style="30" customWidth="1"/>
    <col min="13567" max="13567" width="29.25" style="30" customWidth="1"/>
    <col min="13568" max="13568" width="13" style="30" customWidth="1"/>
    <col min="13569" max="13569" width="20" style="30" customWidth="1"/>
    <col min="13570" max="13821" width="15.625" style="30"/>
    <col min="13822" max="13822" width="4.625" style="30" customWidth="1"/>
    <col min="13823" max="13823" width="29.25" style="30" customWidth="1"/>
    <col min="13824" max="13824" width="13" style="30" customWidth="1"/>
    <col min="13825" max="13825" width="20" style="30" customWidth="1"/>
    <col min="13826" max="14077" width="15.625" style="30"/>
    <col min="14078" max="14078" width="4.625" style="30" customWidth="1"/>
    <col min="14079" max="14079" width="29.25" style="30" customWidth="1"/>
    <col min="14080" max="14080" width="13" style="30" customWidth="1"/>
    <col min="14081" max="14081" width="20" style="30" customWidth="1"/>
    <col min="14082" max="14333" width="15.625" style="30"/>
    <col min="14334" max="14334" width="4.625" style="30" customWidth="1"/>
    <col min="14335" max="14335" width="29.25" style="30" customWidth="1"/>
    <col min="14336" max="14336" width="13" style="30" customWidth="1"/>
    <col min="14337" max="14337" width="20" style="30" customWidth="1"/>
    <col min="14338" max="14589" width="15.625" style="30"/>
    <col min="14590" max="14590" width="4.625" style="30" customWidth="1"/>
    <col min="14591" max="14591" width="29.25" style="30" customWidth="1"/>
    <col min="14592" max="14592" width="13" style="30" customWidth="1"/>
    <col min="14593" max="14593" width="20" style="30" customWidth="1"/>
    <col min="14594" max="14845" width="15.625" style="30"/>
    <col min="14846" max="14846" width="4.625" style="30" customWidth="1"/>
    <col min="14847" max="14847" width="29.25" style="30" customWidth="1"/>
    <col min="14848" max="14848" width="13" style="30" customWidth="1"/>
    <col min="14849" max="14849" width="20" style="30" customWidth="1"/>
    <col min="14850" max="15101" width="15.625" style="30"/>
    <col min="15102" max="15102" width="4.625" style="30" customWidth="1"/>
    <col min="15103" max="15103" width="29.25" style="30" customWidth="1"/>
    <col min="15104" max="15104" width="13" style="30" customWidth="1"/>
    <col min="15105" max="15105" width="20" style="30" customWidth="1"/>
    <col min="15106" max="15357" width="15.625" style="30"/>
    <col min="15358" max="15358" width="4.625" style="30" customWidth="1"/>
    <col min="15359" max="15359" width="29.25" style="30" customWidth="1"/>
    <col min="15360" max="15360" width="13" style="30" customWidth="1"/>
    <col min="15361" max="15361" width="20" style="30" customWidth="1"/>
    <col min="15362" max="15613" width="15.625" style="30"/>
    <col min="15614" max="15614" width="4.625" style="30" customWidth="1"/>
    <col min="15615" max="15615" width="29.25" style="30" customWidth="1"/>
    <col min="15616" max="15616" width="13" style="30" customWidth="1"/>
    <col min="15617" max="15617" width="20" style="30" customWidth="1"/>
    <col min="15618" max="15869" width="15.625" style="30"/>
    <col min="15870" max="15870" width="4.625" style="30" customWidth="1"/>
    <col min="15871" max="15871" width="29.25" style="30" customWidth="1"/>
    <col min="15872" max="15872" width="13" style="30" customWidth="1"/>
    <col min="15873" max="15873" width="20" style="30" customWidth="1"/>
    <col min="15874" max="16125" width="15.625" style="30"/>
    <col min="16126" max="16126" width="4.625" style="30" customWidth="1"/>
    <col min="16127" max="16127" width="29.25" style="30" customWidth="1"/>
    <col min="16128" max="16128" width="13" style="30" customWidth="1"/>
    <col min="16129" max="16129" width="20" style="30" customWidth="1"/>
    <col min="16130" max="16384" width="15.625" style="30"/>
  </cols>
  <sheetData>
    <row r="1" spans="1:16" ht="25.5">
      <c r="A1" s="1332" t="s">
        <v>179</v>
      </c>
      <c r="B1" s="1333"/>
      <c r="C1" s="1333"/>
      <c r="D1" s="1333"/>
      <c r="E1" s="1333"/>
      <c r="F1" s="1333"/>
      <c r="G1" s="1333"/>
      <c r="H1" s="1333"/>
      <c r="I1" s="1333"/>
      <c r="J1" s="1333"/>
      <c r="K1" s="1333"/>
      <c r="L1" s="1333"/>
      <c r="M1" s="1333"/>
      <c r="N1" s="1333"/>
    </row>
    <row r="2" spans="1:16" ht="30" customHeight="1">
      <c r="A2" s="31" t="s">
        <v>0</v>
      </c>
      <c r="B2" s="31" t="s">
        <v>180</v>
      </c>
      <c r="C2" s="31" t="s">
        <v>181</v>
      </c>
      <c r="D2" s="32" t="s">
        <v>182</v>
      </c>
      <c r="E2" s="32" t="s">
        <v>474</v>
      </c>
      <c r="F2" s="32" t="s">
        <v>475</v>
      </c>
      <c r="G2" s="32" t="s">
        <v>476</v>
      </c>
      <c r="H2" s="32" t="s">
        <v>477</v>
      </c>
      <c r="I2" s="32" t="s">
        <v>478</v>
      </c>
      <c r="J2" s="32" t="s">
        <v>479</v>
      </c>
      <c r="K2" s="32" t="s">
        <v>480</v>
      </c>
      <c r="L2" s="32" t="s">
        <v>481</v>
      </c>
      <c r="M2" s="32" t="s">
        <v>482</v>
      </c>
      <c r="N2" s="32" t="s">
        <v>25</v>
      </c>
    </row>
    <row r="3" spans="1:16">
      <c r="A3" s="33" t="s">
        <v>183</v>
      </c>
      <c r="B3" s="34" t="s">
        <v>184</v>
      </c>
      <c r="C3" s="34"/>
      <c r="D3" s="35" t="s">
        <v>185</v>
      </c>
      <c r="E3" s="36">
        <v>87807039.550000012</v>
      </c>
      <c r="F3" s="36">
        <v>97101939.520000011</v>
      </c>
      <c r="G3" s="36">
        <v>526907161.50000012</v>
      </c>
      <c r="H3" s="36">
        <v>311568151.06000006</v>
      </c>
      <c r="I3" s="36">
        <v>327916147.66000003</v>
      </c>
      <c r="J3" s="36">
        <v>208779246.89999998</v>
      </c>
      <c r="K3" s="36">
        <v>211856171.53999999</v>
      </c>
      <c r="L3" s="36">
        <v>354260790.8499999</v>
      </c>
      <c r="M3" s="36">
        <v>213557010.40000001</v>
      </c>
      <c r="N3" s="36">
        <f t="shared" ref="N3:N34" si="0">SUM(E3:M3)</f>
        <v>2339753658.98</v>
      </c>
      <c r="O3" s="30">
        <v>2210161781.8300004</v>
      </c>
      <c r="P3" s="143">
        <f>N3-O3</f>
        <v>129591877.14999962</v>
      </c>
    </row>
    <row r="4" spans="1:16">
      <c r="A4" s="33" t="s">
        <v>186</v>
      </c>
      <c r="B4" s="34" t="s">
        <v>128</v>
      </c>
      <c r="C4" s="34"/>
      <c r="D4" s="35" t="s">
        <v>185</v>
      </c>
      <c r="E4" s="36">
        <v>75950655</v>
      </c>
      <c r="F4" s="36">
        <v>82641092.599999994</v>
      </c>
      <c r="G4" s="36">
        <v>451273232.79000002</v>
      </c>
      <c r="H4" s="36">
        <v>262222614.5</v>
      </c>
      <c r="I4" s="36">
        <v>282123671.80000001</v>
      </c>
      <c r="J4" s="36">
        <v>179388313</v>
      </c>
      <c r="K4" s="36">
        <v>182930253.19999999</v>
      </c>
      <c r="L4" s="36">
        <v>303613493</v>
      </c>
      <c r="M4" s="36">
        <v>185993797</v>
      </c>
      <c r="N4" s="36">
        <f t="shared" si="0"/>
        <v>2006137122.8900001</v>
      </c>
      <c r="O4" s="30">
        <v>1887290898.2900002</v>
      </c>
      <c r="P4" s="143">
        <f>N4-O4</f>
        <v>118846224.5999999</v>
      </c>
    </row>
    <row r="5" spans="1:16">
      <c r="A5" s="33" t="s">
        <v>187</v>
      </c>
      <c r="B5" s="34" t="s">
        <v>188</v>
      </c>
      <c r="C5" s="34"/>
      <c r="D5" s="35" t="s">
        <v>185</v>
      </c>
      <c r="E5" s="36">
        <v>11283703</v>
      </c>
      <c r="F5" s="36">
        <v>11189005</v>
      </c>
      <c r="G5" s="36">
        <v>62708930.989999995</v>
      </c>
      <c r="H5" s="36">
        <v>33943042.600000001</v>
      </c>
      <c r="I5" s="36">
        <v>38352264</v>
      </c>
      <c r="J5" s="36">
        <v>23807466</v>
      </c>
      <c r="K5" s="36">
        <v>26096784</v>
      </c>
      <c r="L5" s="36">
        <v>39773364</v>
      </c>
      <c r="M5" s="36">
        <v>26127730</v>
      </c>
      <c r="N5" s="36">
        <f t="shared" si="0"/>
        <v>273282289.59000003</v>
      </c>
      <c r="O5" s="30">
        <v>268326871.13999999</v>
      </c>
      <c r="P5" s="143">
        <f t="shared" ref="P5:P31" si="1">N5-O5</f>
        <v>4955418.4500000477</v>
      </c>
    </row>
    <row r="6" spans="1:16">
      <c r="A6" s="33" t="s">
        <v>189</v>
      </c>
      <c r="B6" s="34" t="s">
        <v>190</v>
      </c>
      <c r="C6" s="34" t="s">
        <v>191</v>
      </c>
      <c r="D6" s="35" t="s">
        <v>192</v>
      </c>
      <c r="E6" s="37">
        <v>6441558</v>
      </c>
      <c r="F6" s="37">
        <v>6604766</v>
      </c>
      <c r="G6" s="37">
        <v>36776066.989999995</v>
      </c>
      <c r="H6" s="37">
        <v>21096384.5</v>
      </c>
      <c r="I6" s="37">
        <v>22984188</v>
      </c>
      <c r="J6" s="37">
        <v>14413950</v>
      </c>
      <c r="K6" s="37">
        <v>14834928</v>
      </c>
      <c r="L6" s="37">
        <v>24516696</v>
      </c>
      <c r="M6" s="37">
        <v>15018860</v>
      </c>
      <c r="N6" s="36">
        <f t="shared" si="0"/>
        <v>162687397.49000001</v>
      </c>
      <c r="O6" s="30">
        <v>157971718.39999998</v>
      </c>
      <c r="P6" s="143">
        <f t="shared" si="1"/>
        <v>4715679.0900000334</v>
      </c>
    </row>
    <row r="7" spans="1:16">
      <c r="A7" s="33" t="s">
        <v>193</v>
      </c>
      <c r="B7" s="34" t="s">
        <v>194</v>
      </c>
      <c r="C7" s="34" t="s">
        <v>191</v>
      </c>
      <c r="D7" s="35" t="s">
        <v>192</v>
      </c>
      <c r="E7" s="37">
        <v>4842145</v>
      </c>
      <c r="F7" s="37">
        <v>4584239</v>
      </c>
      <c r="G7" s="37">
        <v>25932864</v>
      </c>
      <c r="H7" s="37">
        <v>12846658.1</v>
      </c>
      <c r="I7" s="37">
        <v>15368076</v>
      </c>
      <c r="J7" s="37">
        <v>9393516</v>
      </c>
      <c r="K7" s="37">
        <v>11261856</v>
      </c>
      <c r="L7" s="37">
        <v>15256668</v>
      </c>
      <c r="M7" s="37">
        <v>11108870</v>
      </c>
      <c r="N7" s="36">
        <f t="shared" si="0"/>
        <v>110594892.09999999</v>
      </c>
      <c r="O7" s="30">
        <v>110355152.73999999</v>
      </c>
      <c r="P7" s="143">
        <f t="shared" si="1"/>
        <v>239739.3599999994</v>
      </c>
    </row>
    <row r="8" spans="1:16">
      <c r="A8" s="33" t="s">
        <v>195</v>
      </c>
      <c r="B8" s="34" t="s">
        <v>196</v>
      </c>
      <c r="C8" s="34"/>
      <c r="D8" s="35" t="s">
        <v>185</v>
      </c>
      <c r="E8" s="36">
        <v>1339999</v>
      </c>
      <c r="F8" s="36">
        <v>1484639</v>
      </c>
      <c r="G8" s="36">
        <v>8042424</v>
      </c>
      <c r="H8" s="36">
        <v>4793437.7</v>
      </c>
      <c r="I8" s="36">
        <v>5100984</v>
      </c>
      <c r="J8" s="36">
        <v>3244032</v>
      </c>
      <c r="K8" s="36">
        <v>3255924</v>
      </c>
      <c r="L8" s="36">
        <v>5452224</v>
      </c>
      <c r="M8" s="36">
        <v>3287590</v>
      </c>
      <c r="N8" s="36">
        <f t="shared" si="0"/>
        <v>36001253.700000003</v>
      </c>
      <c r="O8" s="30">
        <v>34594486.700000003</v>
      </c>
      <c r="P8" s="143">
        <f t="shared" si="1"/>
        <v>1406767</v>
      </c>
    </row>
    <row r="9" spans="1:16">
      <c r="A9" s="33" t="s">
        <v>197</v>
      </c>
      <c r="B9" s="34" t="s">
        <v>198</v>
      </c>
      <c r="C9" s="34" t="s">
        <v>191</v>
      </c>
      <c r="D9" s="35" t="s">
        <v>192</v>
      </c>
      <c r="E9" s="37">
        <v>28759</v>
      </c>
      <c r="F9" s="37">
        <v>18191</v>
      </c>
      <c r="G9" s="37">
        <v>94704</v>
      </c>
      <c r="H9" s="37">
        <v>78325.7</v>
      </c>
      <c r="I9" s="37">
        <v>59400</v>
      </c>
      <c r="J9" s="37">
        <v>32832</v>
      </c>
      <c r="K9" s="37">
        <v>55428</v>
      </c>
      <c r="L9" s="37">
        <v>57408</v>
      </c>
      <c r="M9" s="37">
        <v>44278</v>
      </c>
      <c r="N9" s="36">
        <f t="shared" si="0"/>
        <v>469325.7</v>
      </c>
      <c r="O9" s="30">
        <v>504193.8</v>
      </c>
      <c r="P9" s="143">
        <f t="shared" si="1"/>
        <v>-34868.099999999977</v>
      </c>
    </row>
    <row r="10" spans="1:16">
      <c r="A10" s="33" t="s">
        <v>199</v>
      </c>
      <c r="B10" s="34" t="s">
        <v>200</v>
      </c>
      <c r="C10" s="34"/>
      <c r="D10" s="35" t="s">
        <v>185</v>
      </c>
      <c r="E10" s="36">
        <v>1311240</v>
      </c>
      <c r="F10" s="36">
        <v>1466448</v>
      </c>
      <c r="G10" s="36">
        <v>7947720</v>
      </c>
      <c r="H10" s="36">
        <v>4715112</v>
      </c>
      <c r="I10" s="36">
        <v>5041584</v>
      </c>
      <c r="J10" s="36">
        <v>3211200</v>
      </c>
      <c r="K10" s="36">
        <v>3200496</v>
      </c>
      <c r="L10" s="36">
        <v>5394816</v>
      </c>
      <c r="M10" s="36">
        <v>3243312</v>
      </c>
      <c r="N10" s="36">
        <f t="shared" si="0"/>
        <v>35531928</v>
      </c>
      <c r="O10" s="30">
        <v>34090292.899999999</v>
      </c>
      <c r="P10" s="143">
        <f t="shared" si="1"/>
        <v>1441635.1000000015</v>
      </c>
    </row>
    <row r="11" spans="1:16" s="40" customFormat="1">
      <c r="A11" s="33" t="s">
        <v>201</v>
      </c>
      <c r="B11" s="38" t="s">
        <v>202</v>
      </c>
      <c r="C11" s="38" t="s">
        <v>191</v>
      </c>
      <c r="D11" s="39" t="s">
        <v>185</v>
      </c>
      <c r="E11" s="36">
        <v>17640</v>
      </c>
      <c r="F11" s="36">
        <v>19728</v>
      </c>
      <c r="G11" s="36">
        <v>106920</v>
      </c>
      <c r="H11" s="36">
        <v>63432</v>
      </c>
      <c r="I11" s="36">
        <v>67824</v>
      </c>
      <c r="J11" s="36">
        <v>43200</v>
      </c>
      <c r="K11" s="36">
        <v>43056</v>
      </c>
      <c r="L11" s="36">
        <v>72576</v>
      </c>
      <c r="M11" s="36">
        <v>43632</v>
      </c>
      <c r="N11" s="36">
        <f t="shared" si="0"/>
        <v>478008</v>
      </c>
      <c r="O11" s="40">
        <v>461283.9</v>
      </c>
      <c r="P11" s="143">
        <f t="shared" si="1"/>
        <v>16724.099999999977</v>
      </c>
    </row>
    <row r="12" spans="1:16" s="40" customFormat="1">
      <c r="A12" s="33" t="s">
        <v>203</v>
      </c>
      <c r="B12" s="38" t="s">
        <v>204</v>
      </c>
      <c r="C12" s="38" t="s">
        <v>191</v>
      </c>
      <c r="D12" s="39" t="s">
        <v>185</v>
      </c>
      <c r="E12" s="36">
        <v>1293600</v>
      </c>
      <c r="F12" s="36">
        <v>1446720</v>
      </c>
      <c r="G12" s="36">
        <v>7840800</v>
      </c>
      <c r="H12" s="36">
        <v>4651680</v>
      </c>
      <c r="I12" s="36">
        <v>4973760</v>
      </c>
      <c r="J12" s="36">
        <v>3168000</v>
      </c>
      <c r="K12" s="36">
        <v>3157440</v>
      </c>
      <c r="L12" s="36">
        <v>5322240</v>
      </c>
      <c r="M12" s="36">
        <v>3199680</v>
      </c>
      <c r="N12" s="36">
        <f t="shared" si="0"/>
        <v>35053920</v>
      </c>
      <c r="O12" s="40">
        <v>33629009</v>
      </c>
      <c r="P12" s="143">
        <f t="shared" si="1"/>
        <v>1424911</v>
      </c>
    </row>
    <row r="13" spans="1:16">
      <c r="A13" s="33" t="s">
        <v>205</v>
      </c>
      <c r="B13" s="34" t="s">
        <v>206</v>
      </c>
      <c r="C13" s="34"/>
      <c r="D13" s="35" t="s">
        <v>207</v>
      </c>
      <c r="E13" s="36">
        <v>1211810</v>
      </c>
      <c r="F13" s="36">
        <v>1293008.3999999999</v>
      </c>
      <c r="G13" s="36">
        <v>6949081.2000000002</v>
      </c>
      <c r="H13" s="36">
        <v>4061860.8</v>
      </c>
      <c r="I13" s="36">
        <v>4323808.2</v>
      </c>
      <c r="J13" s="36">
        <v>2761525</v>
      </c>
      <c r="K13" s="36">
        <v>2842174.8</v>
      </c>
      <c r="L13" s="36">
        <v>4719546</v>
      </c>
      <c r="M13" s="36">
        <v>2934610</v>
      </c>
      <c r="N13" s="36">
        <f t="shared" si="0"/>
        <v>31097424.399999999</v>
      </c>
      <c r="O13" s="30">
        <v>25434725.850000005</v>
      </c>
      <c r="P13" s="143">
        <f t="shared" si="1"/>
        <v>5662698.5499999933</v>
      </c>
    </row>
    <row r="14" spans="1:16" s="40" customFormat="1">
      <c r="A14" s="33" t="s">
        <v>208</v>
      </c>
      <c r="B14" s="38" t="s">
        <v>209</v>
      </c>
      <c r="C14" s="38" t="s">
        <v>191</v>
      </c>
      <c r="D14" s="39" t="s">
        <v>210</v>
      </c>
      <c r="E14" s="36">
        <v>727086</v>
      </c>
      <c r="F14" s="36">
        <v>775805.03999999992</v>
      </c>
      <c r="G14" s="36">
        <v>4169448.7199999997</v>
      </c>
      <c r="H14" s="36">
        <v>2437116.4800000004</v>
      </c>
      <c r="I14" s="36">
        <v>2594284.92</v>
      </c>
      <c r="J14" s="36">
        <v>1656914.9999999998</v>
      </c>
      <c r="K14" s="36">
        <v>1705304.8800000001</v>
      </c>
      <c r="L14" s="36">
        <v>2831727.6000000006</v>
      </c>
      <c r="M14" s="36">
        <v>1760766</v>
      </c>
      <c r="N14" s="36">
        <f t="shared" si="0"/>
        <v>18658454.640000001</v>
      </c>
      <c r="O14" s="40">
        <v>15657546.540000003</v>
      </c>
      <c r="P14" s="143">
        <f t="shared" si="1"/>
        <v>3000908.0999999978</v>
      </c>
    </row>
    <row r="15" spans="1:16" s="40" customFormat="1">
      <c r="A15" s="33" t="s">
        <v>211</v>
      </c>
      <c r="B15" s="38" t="s">
        <v>212</v>
      </c>
      <c r="C15" s="38" t="s">
        <v>191</v>
      </c>
      <c r="D15" s="39" t="s">
        <v>210</v>
      </c>
      <c r="E15" s="36">
        <v>242362</v>
      </c>
      <c r="F15" s="36">
        <v>258601.68</v>
      </c>
      <c r="G15" s="36">
        <v>1389816.24</v>
      </c>
      <c r="H15" s="36">
        <v>812372.16</v>
      </c>
      <c r="I15" s="36">
        <v>864761.64</v>
      </c>
      <c r="J15" s="36">
        <v>552305.00000000012</v>
      </c>
      <c r="K15" s="36">
        <v>568434.96</v>
      </c>
      <c r="L15" s="36">
        <v>943909.2</v>
      </c>
      <c r="M15" s="36">
        <v>586922</v>
      </c>
      <c r="N15" s="36">
        <f t="shared" si="0"/>
        <v>6219484.8799999999</v>
      </c>
      <c r="O15" s="40">
        <v>3051912.2800000003</v>
      </c>
      <c r="P15" s="143">
        <f t="shared" si="1"/>
        <v>3167572.5999999996</v>
      </c>
    </row>
    <row r="16" spans="1:16" s="40" customFormat="1">
      <c r="A16" s="33" t="s">
        <v>213</v>
      </c>
      <c r="B16" s="38" t="s">
        <v>214</v>
      </c>
      <c r="C16" s="38" t="s">
        <v>191</v>
      </c>
      <c r="D16" s="39" t="s">
        <v>210</v>
      </c>
      <c r="E16" s="37">
        <v>242362</v>
      </c>
      <c r="F16" s="37">
        <v>258601.68</v>
      </c>
      <c r="G16" s="37">
        <v>1389816.24</v>
      </c>
      <c r="H16" s="37">
        <v>812372.16</v>
      </c>
      <c r="I16" s="37">
        <v>864761.64</v>
      </c>
      <c r="J16" s="37">
        <v>552305.00000000012</v>
      </c>
      <c r="K16" s="37">
        <v>568434.96</v>
      </c>
      <c r="L16" s="37">
        <v>943909.2</v>
      </c>
      <c r="M16" s="37">
        <v>586922</v>
      </c>
      <c r="N16" s="36">
        <f t="shared" si="0"/>
        <v>6219484.8799999999</v>
      </c>
      <c r="O16" s="40">
        <v>5763507.3300000001</v>
      </c>
      <c r="P16" s="143">
        <f t="shared" si="1"/>
        <v>455977.54999999981</v>
      </c>
    </row>
    <row r="17" spans="1:16">
      <c r="A17" s="33" t="s">
        <v>215</v>
      </c>
      <c r="B17" s="34" t="s">
        <v>216</v>
      </c>
      <c r="C17" s="34"/>
      <c r="D17" s="35" t="s">
        <v>185</v>
      </c>
      <c r="E17" s="36">
        <v>37950563</v>
      </c>
      <c r="F17" s="36">
        <v>42769889</v>
      </c>
      <c r="G17" s="36">
        <v>234233335</v>
      </c>
      <c r="H17" s="36">
        <v>137853179</v>
      </c>
      <c r="I17" s="36">
        <v>147474868</v>
      </c>
      <c r="J17" s="36">
        <v>94107840</v>
      </c>
      <c r="K17" s="36">
        <v>93835424</v>
      </c>
      <c r="L17" s="36">
        <v>159039731</v>
      </c>
      <c r="M17" s="36">
        <v>95003287</v>
      </c>
      <c r="N17" s="36">
        <f t="shared" si="0"/>
        <v>1042268116</v>
      </c>
      <c r="O17" s="30">
        <v>1011229700.8499999</v>
      </c>
      <c r="P17" s="143">
        <f t="shared" si="1"/>
        <v>31038415.150000095</v>
      </c>
    </row>
    <row r="18" spans="1:16" ht="22.5">
      <c r="A18" s="33" t="s">
        <v>217</v>
      </c>
      <c r="B18" s="41" t="s">
        <v>218</v>
      </c>
      <c r="C18" s="41" t="s">
        <v>191</v>
      </c>
      <c r="D18" s="42" t="s">
        <v>219</v>
      </c>
      <c r="E18" s="43">
        <v>36993215</v>
      </c>
      <c r="F18" s="43">
        <v>41674167</v>
      </c>
      <c r="G18" s="43">
        <v>230590812</v>
      </c>
      <c r="H18" s="43">
        <v>134857905</v>
      </c>
      <c r="I18" s="43">
        <v>144682553</v>
      </c>
      <c r="J18" s="43">
        <v>92385340</v>
      </c>
      <c r="K18" s="43">
        <v>91963644</v>
      </c>
      <c r="L18" s="43">
        <v>155946982</v>
      </c>
      <c r="M18" s="43">
        <v>93215522</v>
      </c>
      <c r="N18" s="36">
        <f t="shared" si="0"/>
        <v>1022310140</v>
      </c>
      <c r="O18" s="30">
        <v>991095329.8499999</v>
      </c>
      <c r="P18" s="143">
        <f t="shared" si="1"/>
        <v>31214810.150000095</v>
      </c>
    </row>
    <row r="19" spans="1:16">
      <c r="A19" s="33" t="s">
        <v>220</v>
      </c>
      <c r="B19" s="41" t="s">
        <v>221</v>
      </c>
      <c r="C19" s="41" t="s">
        <v>191</v>
      </c>
      <c r="D19" s="42" t="s">
        <v>222</v>
      </c>
      <c r="E19" s="43">
        <v>957348</v>
      </c>
      <c r="F19" s="44">
        <v>1095722</v>
      </c>
      <c r="G19" s="43">
        <v>3642523</v>
      </c>
      <c r="H19" s="43">
        <v>2995274</v>
      </c>
      <c r="I19" s="43">
        <v>2792315</v>
      </c>
      <c r="J19" s="43">
        <v>1722500</v>
      </c>
      <c r="K19" s="43">
        <v>1871780</v>
      </c>
      <c r="L19" s="43">
        <v>3092749</v>
      </c>
      <c r="M19" s="43">
        <v>1787765</v>
      </c>
      <c r="N19" s="36">
        <f t="shared" si="0"/>
        <v>19957976</v>
      </c>
      <c r="O19" s="30">
        <v>20134371</v>
      </c>
      <c r="P19" s="143">
        <f t="shared" si="1"/>
        <v>-176395</v>
      </c>
    </row>
    <row r="20" spans="1:16">
      <c r="A20" s="33" t="s">
        <v>223</v>
      </c>
      <c r="B20" s="34" t="s">
        <v>224</v>
      </c>
      <c r="C20" s="34"/>
      <c r="D20" s="42" t="s">
        <v>185</v>
      </c>
      <c r="E20" s="45">
        <v>4847240</v>
      </c>
      <c r="F20" s="45">
        <v>5172033.5999999996</v>
      </c>
      <c r="G20" s="45">
        <v>27796324.800000001</v>
      </c>
      <c r="H20" s="45">
        <v>16247443.199999999</v>
      </c>
      <c r="I20" s="45">
        <v>17295232.800000001</v>
      </c>
      <c r="J20" s="45">
        <v>11046100</v>
      </c>
      <c r="K20" s="45">
        <v>11368699.199999999</v>
      </c>
      <c r="L20" s="45">
        <v>18878184</v>
      </c>
      <c r="M20" s="45">
        <v>11738440</v>
      </c>
      <c r="N20" s="36">
        <f t="shared" si="0"/>
        <v>124389697.59999999</v>
      </c>
      <c r="O20" s="30">
        <v>115373571.08000001</v>
      </c>
      <c r="P20" s="143">
        <f t="shared" si="1"/>
        <v>9016126.5199999809</v>
      </c>
    </row>
    <row r="21" spans="1:16">
      <c r="A21" s="33" t="s">
        <v>225</v>
      </c>
      <c r="B21" s="34" t="s">
        <v>226</v>
      </c>
      <c r="C21" s="34" t="s">
        <v>227</v>
      </c>
      <c r="D21" s="42" t="s">
        <v>185</v>
      </c>
      <c r="E21" s="45">
        <v>4847240</v>
      </c>
      <c r="F21" s="45">
        <v>5172033.5999999996</v>
      </c>
      <c r="G21" s="45">
        <v>27796324.800000001</v>
      </c>
      <c r="H21" s="45">
        <v>16247443.199999999</v>
      </c>
      <c r="I21" s="45">
        <v>17295232.800000001</v>
      </c>
      <c r="J21" s="45">
        <v>11046100</v>
      </c>
      <c r="K21" s="45">
        <v>11368699.199999999</v>
      </c>
      <c r="L21" s="45">
        <v>18878184</v>
      </c>
      <c r="M21" s="45">
        <v>11738440</v>
      </c>
      <c r="N21" s="36">
        <f t="shared" si="0"/>
        <v>124389697.59999999</v>
      </c>
      <c r="O21" s="30">
        <v>115373571.08000001</v>
      </c>
      <c r="P21" s="143">
        <f t="shared" si="1"/>
        <v>9016126.5199999809</v>
      </c>
    </row>
    <row r="22" spans="1:16">
      <c r="A22" s="33" t="s">
        <v>228</v>
      </c>
      <c r="B22" s="34" t="s">
        <v>229</v>
      </c>
      <c r="C22" s="34"/>
      <c r="D22" s="42" t="s">
        <v>210</v>
      </c>
      <c r="E22" s="45">
        <v>1938896</v>
      </c>
      <c r="F22" s="45">
        <v>2068813.44</v>
      </c>
      <c r="G22" s="45">
        <v>11118529.92</v>
      </c>
      <c r="H22" s="45">
        <v>6498977.2800000003</v>
      </c>
      <c r="I22" s="45">
        <v>6918093.1200000001</v>
      </c>
      <c r="J22" s="45">
        <v>4418440.0000000009</v>
      </c>
      <c r="K22" s="45">
        <v>4547479.68</v>
      </c>
      <c r="L22" s="45">
        <v>7551273.5999999996</v>
      </c>
      <c r="M22" s="45">
        <v>4695376</v>
      </c>
      <c r="N22" s="36">
        <f t="shared" si="0"/>
        <v>49755879.039999999</v>
      </c>
      <c r="O22" s="30">
        <v>12909240.1</v>
      </c>
      <c r="P22" s="143">
        <f t="shared" si="1"/>
        <v>36846638.939999998</v>
      </c>
    </row>
    <row r="23" spans="1:16">
      <c r="A23" s="33" t="s">
        <v>230</v>
      </c>
      <c r="B23" s="34" t="s">
        <v>231</v>
      </c>
      <c r="C23" s="34" t="s">
        <v>232</v>
      </c>
      <c r="D23" s="42" t="s">
        <v>210</v>
      </c>
      <c r="E23" s="45">
        <v>969448</v>
      </c>
      <c r="F23" s="45">
        <v>1034406.72</v>
      </c>
      <c r="G23" s="45">
        <v>5559264.96</v>
      </c>
      <c r="H23" s="45">
        <v>3249488.64</v>
      </c>
      <c r="I23" s="45">
        <v>3459046.56</v>
      </c>
      <c r="J23" s="45">
        <v>2209220.0000000005</v>
      </c>
      <c r="K23" s="45">
        <v>2273739.84</v>
      </c>
      <c r="L23" s="45">
        <v>3775636.8</v>
      </c>
      <c r="M23" s="45">
        <v>2347688</v>
      </c>
      <c r="N23" s="36">
        <f t="shared" si="0"/>
        <v>24877939.52</v>
      </c>
      <c r="O23" s="30">
        <v>6207723.5999999996</v>
      </c>
      <c r="P23" s="143">
        <f t="shared" si="1"/>
        <v>18670215.920000002</v>
      </c>
    </row>
    <row r="24" spans="1:16">
      <c r="A24" s="33" t="s">
        <v>233</v>
      </c>
      <c r="B24" s="34" t="s">
        <v>234</v>
      </c>
      <c r="C24" s="34" t="s">
        <v>232</v>
      </c>
      <c r="D24" s="42" t="s">
        <v>210</v>
      </c>
      <c r="E24" s="45">
        <v>969448</v>
      </c>
      <c r="F24" s="45">
        <v>1034406.72</v>
      </c>
      <c r="G24" s="45">
        <v>5559264.96</v>
      </c>
      <c r="H24" s="45">
        <v>3249488.64</v>
      </c>
      <c r="I24" s="45">
        <v>3459046.56</v>
      </c>
      <c r="J24" s="45">
        <v>2209220.0000000005</v>
      </c>
      <c r="K24" s="45">
        <v>2273739.84</v>
      </c>
      <c r="L24" s="45">
        <v>3775636.8</v>
      </c>
      <c r="M24" s="45">
        <v>2347688</v>
      </c>
      <c r="N24" s="36">
        <f t="shared" si="0"/>
        <v>24877939.52</v>
      </c>
      <c r="O24" s="30">
        <v>6701516.5</v>
      </c>
      <c r="P24" s="143">
        <f t="shared" si="1"/>
        <v>18176423.02</v>
      </c>
    </row>
    <row r="25" spans="1:16">
      <c r="A25" s="33" t="s">
        <v>235</v>
      </c>
      <c r="B25" s="34" t="s">
        <v>236</v>
      </c>
      <c r="C25" s="34"/>
      <c r="D25" s="35" t="s">
        <v>185</v>
      </c>
      <c r="E25" s="36">
        <v>7755584</v>
      </c>
      <c r="F25" s="36">
        <v>8275253.7599999998</v>
      </c>
      <c r="G25" s="36">
        <v>44474119.68</v>
      </c>
      <c r="H25" s="36">
        <v>25995909.120000001</v>
      </c>
      <c r="I25" s="36">
        <v>27672372.48</v>
      </c>
      <c r="J25" s="36">
        <v>17673760.000000004</v>
      </c>
      <c r="K25" s="36">
        <v>18189918.719999999</v>
      </c>
      <c r="L25" s="36">
        <v>30205094.399999999</v>
      </c>
      <c r="M25" s="36">
        <v>18781504</v>
      </c>
      <c r="N25" s="36">
        <f t="shared" si="0"/>
        <v>199023516.16</v>
      </c>
      <c r="O25" s="30">
        <v>184614394.41</v>
      </c>
      <c r="P25" s="143">
        <f t="shared" si="1"/>
        <v>14409121.75</v>
      </c>
    </row>
    <row r="26" spans="1:16" s="40" customFormat="1">
      <c r="A26" s="33" t="s">
        <v>237</v>
      </c>
      <c r="B26" s="38" t="s">
        <v>238</v>
      </c>
      <c r="C26" s="38" t="s">
        <v>239</v>
      </c>
      <c r="D26" s="39" t="s">
        <v>210</v>
      </c>
      <c r="E26" s="36">
        <v>7755584</v>
      </c>
      <c r="F26" s="36">
        <v>8275253.7599999998</v>
      </c>
      <c r="G26" s="36">
        <v>44474119.68</v>
      </c>
      <c r="H26" s="36">
        <v>25995909.120000001</v>
      </c>
      <c r="I26" s="36">
        <v>27672372.48</v>
      </c>
      <c r="J26" s="36">
        <v>17673760.000000004</v>
      </c>
      <c r="K26" s="36">
        <v>18189918.719999999</v>
      </c>
      <c r="L26" s="36">
        <v>30205094.399999999</v>
      </c>
      <c r="M26" s="36">
        <v>18781504</v>
      </c>
      <c r="N26" s="36">
        <f t="shared" si="0"/>
        <v>199023516.16</v>
      </c>
      <c r="O26" s="40">
        <v>184614394.41</v>
      </c>
      <c r="P26" s="143">
        <f t="shared" si="1"/>
        <v>14409121.75</v>
      </c>
    </row>
    <row r="27" spans="1:16">
      <c r="A27" s="33" t="s">
        <v>240</v>
      </c>
      <c r="B27" s="34" t="s">
        <v>241</v>
      </c>
      <c r="C27" s="34"/>
      <c r="D27" s="35" t="s">
        <v>185</v>
      </c>
      <c r="E27" s="36">
        <v>3877792</v>
      </c>
      <c r="F27" s="36">
        <v>4137626.88</v>
      </c>
      <c r="G27" s="36">
        <v>22237059.84</v>
      </c>
      <c r="H27" s="36">
        <v>12997954.560000001</v>
      </c>
      <c r="I27" s="36">
        <v>13836186.24</v>
      </c>
      <c r="J27" s="36">
        <v>8836880.0000000019</v>
      </c>
      <c r="K27" s="36">
        <v>9094959.3599999994</v>
      </c>
      <c r="L27" s="36">
        <v>15102547.199999999</v>
      </c>
      <c r="M27" s="36">
        <v>9390752</v>
      </c>
      <c r="N27" s="36">
        <f t="shared" si="0"/>
        <v>99511758.079999998</v>
      </c>
      <c r="O27" s="30">
        <v>92315326.559999987</v>
      </c>
      <c r="P27" s="143">
        <f t="shared" si="1"/>
        <v>7196431.5200000107</v>
      </c>
    </row>
    <row r="28" spans="1:16" s="40" customFormat="1">
      <c r="A28" s="33" t="s">
        <v>242</v>
      </c>
      <c r="B28" s="38" t="s">
        <v>243</v>
      </c>
      <c r="C28" s="38" t="s">
        <v>244</v>
      </c>
      <c r="D28" s="39" t="s">
        <v>210</v>
      </c>
      <c r="E28" s="36">
        <v>3877792</v>
      </c>
      <c r="F28" s="36">
        <v>4137626.88</v>
      </c>
      <c r="G28" s="36">
        <v>22237059.84</v>
      </c>
      <c r="H28" s="36">
        <v>12997954.560000001</v>
      </c>
      <c r="I28" s="36">
        <v>13836186.24</v>
      </c>
      <c r="J28" s="36">
        <v>8836880.0000000019</v>
      </c>
      <c r="K28" s="36">
        <v>9094959.3599999994</v>
      </c>
      <c r="L28" s="36">
        <v>15102547.199999999</v>
      </c>
      <c r="M28" s="36">
        <v>9390752</v>
      </c>
      <c r="N28" s="36">
        <f t="shared" si="0"/>
        <v>99511758.079999998</v>
      </c>
      <c r="O28" s="40">
        <v>92315326.559999987</v>
      </c>
      <c r="P28" s="143">
        <f t="shared" si="1"/>
        <v>7196431.5200000107</v>
      </c>
    </row>
    <row r="29" spans="1:16" ht="22.5">
      <c r="A29" s="33" t="s">
        <v>245</v>
      </c>
      <c r="B29" s="34" t="s">
        <v>246</v>
      </c>
      <c r="C29" s="41" t="s">
        <v>191</v>
      </c>
      <c r="D29" s="39" t="s">
        <v>247</v>
      </c>
      <c r="E29" s="36">
        <v>2352000</v>
      </c>
      <c r="F29" s="36">
        <v>2630400</v>
      </c>
      <c r="G29" s="36">
        <v>14256000</v>
      </c>
      <c r="H29" s="36">
        <v>8457600</v>
      </c>
      <c r="I29" s="36">
        <v>9043200</v>
      </c>
      <c r="J29" s="36">
        <v>5760000</v>
      </c>
      <c r="K29" s="36">
        <v>5740800</v>
      </c>
      <c r="L29" s="36">
        <v>9676800</v>
      </c>
      <c r="M29" s="36">
        <v>5817600</v>
      </c>
      <c r="N29" s="36">
        <f t="shared" si="0"/>
        <v>63734400</v>
      </c>
      <c r="O29" s="30">
        <v>61809479</v>
      </c>
      <c r="P29" s="143">
        <f t="shared" si="1"/>
        <v>1924921</v>
      </c>
    </row>
    <row r="30" spans="1:16">
      <c r="A30" s="33" t="s">
        <v>248</v>
      </c>
      <c r="B30" s="34" t="s">
        <v>249</v>
      </c>
      <c r="C30" s="34" t="s">
        <v>249</v>
      </c>
      <c r="D30" s="39" t="s">
        <v>210</v>
      </c>
      <c r="E30" s="45">
        <v>3393068</v>
      </c>
      <c r="F30" s="45">
        <v>3620423.5200000005</v>
      </c>
      <c r="G30" s="45">
        <v>19457427.359999999</v>
      </c>
      <c r="H30" s="45">
        <v>11373210.24</v>
      </c>
      <c r="I30" s="45">
        <v>12106662.960000001</v>
      </c>
      <c r="J30" s="45">
        <v>7732270</v>
      </c>
      <c r="K30" s="45">
        <v>7958089.4400000004</v>
      </c>
      <c r="L30" s="45">
        <v>13214728.800000001</v>
      </c>
      <c r="M30" s="45">
        <v>8216908</v>
      </c>
      <c r="N30" s="36">
        <f t="shared" si="0"/>
        <v>87072788.319999993</v>
      </c>
      <c r="O30" s="30">
        <v>80683102.599999994</v>
      </c>
      <c r="P30" s="143">
        <f t="shared" si="1"/>
        <v>6389685.7199999988</v>
      </c>
    </row>
    <row r="31" spans="1:16">
      <c r="A31" s="33" t="s">
        <v>250</v>
      </c>
      <c r="B31" s="34" t="s">
        <v>251</v>
      </c>
      <c r="C31" s="34"/>
      <c r="D31" s="35" t="s">
        <v>185</v>
      </c>
      <c r="E31" s="36">
        <v>66360</v>
      </c>
      <c r="F31" s="36">
        <v>42570</v>
      </c>
      <c r="G31" s="36">
        <v>184931.20000000001</v>
      </c>
      <c r="H31" s="36">
        <v>133680</v>
      </c>
      <c r="I31" s="36">
        <v>198811.2</v>
      </c>
      <c r="J31" s="36">
        <v>79310</v>
      </c>
      <c r="K31" s="36">
        <v>179838</v>
      </c>
      <c r="L31" s="36">
        <v>120040</v>
      </c>
      <c r="M31" s="36">
        <v>75020</v>
      </c>
      <c r="N31" s="36">
        <f t="shared" si="0"/>
        <v>1080560.3999999999</v>
      </c>
      <c r="O31" s="30">
        <v>5736341.9000000004</v>
      </c>
      <c r="P31" s="143">
        <f t="shared" si="1"/>
        <v>-4655781.5</v>
      </c>
    </row>
    <row r="32" spans="1:16">
      <c r="A32" s="33" t="s">
        <v>252</v>
      </c>
      <c r="B32" s="34" t="s">
        <v>253</v>
      </c>
      <c r="C32" s="34"/>
      <c r="D32" s="35" t="s">
        <v>185</v>
      </c>
      <c r="E32" s="36">
        <v>0</v>
      </c>
      <c r="F32" s="36">
        <v>0</v>
      </c>
      <c r="G32" s="36">
        <v>0</v>
      </c>
      <c r="H32" s="36">
        <v>0</v>
      </c>
      <c r="I32" s="36">
        <v>0</v>
      </c>
      <c r="J32" s="36">
        <v>0</v>
      </c>
      <c r="K32" s="36">
        <v>101248</v>
      </c>
      <c r="L32" s="36">
        <v>0</v>
      </c>
      <c r="M32" s="36">
        <v>0</v>
      </c>
      <c r="N32" s="36">
        <f t="shared" si="0"/>
        <v>101248</v>
      </c>
    </row>
    <row r="33" spans="1:14">
      <c r="A33" s="33" t="s">
        <v>254</v>
      </c>
      <c r="B33" s="34" t="s">
        <v>255</v>
      </c>
      <c r="C33" s="34" t="s">
        <v>256</v>
      </c>
      <c r="D33" s="42" t="s">
        <v>257</v>
      </c>
      <c r="E33" s="43">
        <v>0</v>
      </c>
      <c r="F33" s="43">
        <v>0</v>
      </c>
      <c r="G33" s="43">
        <v>0</v>
      </c>
      <c r="H33" s="43">
        <v>0</v>
      </c>
      <c r="I33" s="43">
        <v>0</v>
      </c>
      <c r="J33" s="43">
        <v>0</v>
      </c>
      <c r="K33" s="43">
        <v>0</v>
      </c>
      <c r="L33" s="43">
        <v>0</v>
      </c>
      <c r="M33" s="43">
        <v>0</v>
      </c>
      <c r="N33" s="36">
        <f t="shared" si="0"/>
        <v>0</v>
      </c>
    </row>
    <row r="34" spans="1:14">
      <c r="A34" s="33" t="s">
        <v>258</v>
      </c>
      <c r="B34" s="34" t="s">
        <v>259</v>
      </c>
      <c r="C34" s="34" t="s">
        <v>256</v>
      </c>
      <c r="D34" s="42" t="s">
        <v>257</v>
      </c>
      <c r="E34" s="43">
        <v>0</v>
      </c>
      <c r="F34" s="43">
        <v>0</v>
      </c>
      <c r="G34" s="43">
        <v>0</v>
      </c>
      <c r="H34" s="43">
        <v>0</v>
      </c>
      <c r="I34" s="43">
        <v>0</v>
      </c>
      <c r="J34" s="43">
        <v>0</v>
      </c>
      <c r="K34" s="43">
        <v>2400</v>
      </c>
      <c r="L34" s="43">
        <v>0</v>
      </c>
      <c r="M34" s="43">
        <v>0</v>
      </c>
      <c r="N34" s="36">
        <f t="shared" si="0"/>
        <v>2400</v>
      </c>
    </row>
    <row r="35" spans="1:14">
      <c r="A35" s="33" t="s">
        <v>260</v>
      </c>
      <c r="B35" s="34" t="s">
        <v>261</v>
      </c>
      <c r="C35" s="34" t="s">
        <v>256</v>
      </c>
      <c r="D35" s="42" t="s">
        <v>262</v>
      </c>
      <c r="E35" s="43">
        <v>0</v>
      </c>
      <c r="F35" s="43">
        <v>0</v>
      </c>
      <c r="G35" s="43">
        <v>0</v>
      </c>
      <c r="H35" s="43">
        <v>0</v>
      </c>
      <c r="I35" s="43">
        <v>0</v>
      </c>
      <c r="J35" s="43">
        <v>0</v>
      </c>
      <c r="K35" s="43">
        <v>0</v>
      </c>
      <c r="L35" s="43">
        <v>0</v>
      </c>
      <c r="M35" s="43">
        <v>0</v>
      </c>
      <c r="N35" s="36">
        <f t="shared" ref="N35:N66" si="2">SUM(E35:M35)</f>
        <v>0</v>
      </c>
    </row>
    <row r="36" spans="1:14">
      <c r="A36" s="33" t="s">
        <v>263</v>
      </c>
      <c r="B36" s="34" t="s">
        <v>264</v>
      </c>
      <c r="C36" s="34" t="s">
        <v>256</v>
      </c>
      <c r="D36" s="42" t="s">
        <v>257</v>
      </c>
      <c r="E36" s="43">
        <v>0</v>
      </c>
      <c r="F36" s="43">
        <v>0</v>
      </c>
      <c r="G36" s="43">
        <v>0</v>
      </c>
      <c r="H36" s="43">
        <v>0</v>
      </c>
      <c r="I36" s="43">
        <v>0</v>
      </c>
      <c r="J36" s="43">
        <v>0</v>
      </c>
      <c r="K36" s="43">
        <v>0</v>
      </c>
      <c r="L36" s="43">
        <v>0</v>
      </c>
      <c r="M36" s="43">
        <v>0</v>
      </c>
      <c r="N36" s="36">
        <f t="shared" si="2"/>
        <v>0</v>
      </c>
    </row>
    <row r="37" spans="1:14">
      <c r="A37" s="33" t="s">
        <v>265</v>
      </c>
      <c r="B37" s="34" t="s">
        <v>266</v>
      </c>
      <c r="C37" s="34" t="s">
        <v>256</v>
      </c>
      <c r="D37" s="42" t="s">
        <v>257</v>
      </c>
      <c r="E37" s="43">
        <v>0</v>
      </c>
      <c r="F37" s="43">
        <v>0</v>
      </c>
      <c r="G37" s="43">
        <v>0</v>
      </c>
      <c r="H37" s="43">
        <v>0</v>
      </c>
      <c r="I37" s="43">
        <v>0</v>
      </c>
      <c r="J37" s="43">
        <v>0</v>
      </c>
      <c r="K37" s="43">
        <v>0</v>
      </c>
      <c r="L37" s="43">
        <v>0</v>
      </c>
      <c r="M37" s="43">
        <v>0</v>
      </c>
      <c r="N37" s="36">
        <f t="shared" si="2"/>
        <v>0</v>
      </c>
    </row>
    <row r="38" spans="1:14">
      <c r="A38" s="33" t="s">
        <v>267</v>
      </c>
      <c r="B38" s="34" t="s">
        <v>268</v>
      </c>
      <c r="C38" s="34" t="s">
        <v>256</v>
      </c>
      <c r="D38" s="42" t="s">
        <v>257</v>
      </c>
      <c r="E38" s="43">
        <v>0</v>
      </c>
      <c r="F38" s="43">
        <v>0</v>
      </c>
      <c r="G38" s="43">
        <v>0</v>
      </c>
      <c r="H38" s="43">
        <v>0</v>
      </c>
      <c r="I38" s="43">
        <v>0</v>
      </c>
      <c r="J38" s="43">
        <v>0</v>
      </c>
      <c r="K38" s="43">
        <v>71848</v>
      </c>
      <c r="L38" s="43">
        <v>0</v>
      </c>
      <c r="M38" s="43">
        <v>0</v>
      </c>
      <c r="N38" s="36">
        <f t="shared" si="2"/>
        <v>71848</v>
      </c>
    </row>
    <row r="39" spans="1:14">
      <c r="A39" s="33" t="s">
        <v>269</v>
      </c>
      <c r="B39" s="34" t="s">
        <v>270</v>
      </c>
      <c r="C39" s="34" t="s">
        <v>256</v>
      </c>
      <c r="D39" s="42" t="s">
        <v>257</v>
      </c>
      <c r="E39" s="43">
        <v>0</v>
      </c>
      <c r="F39" s="43">
        <v>0</v>
      </c>
      <c r="G39" s="43">
        <v>0</v>
      </c>
      <c r="H39" s="43">
        <v>0</v>
      </c>
      <c r="I39" s="43">
        <v>0</v>
      </c>
      <c r="J39" s="43">
        <v>0</v>
      </c>
      <c r="K39" s="43">
        <v>27000</v>
      </c>
      <c r="L39" s="43">
        <v>0</v>
      </c>
      <c r="M39" s="43">
        <v>0</v>
      </c>
      <c r="N39" s="36">
        <f t="shared" si="2"/>
        <v>27000</v>
      </c>
    </row>
    <row r="40" spans="1:14">
      <c r="A40" s="33" t="s">
        <v>271</v>
      </c>
      <c r="B40" s="34" t="s">
        <v>272</v>
      </c>
      <c r="C40" s="34"/>
      <c r="D40" s="35" t="s">
        <v>185</v>
      </c>
      <c r="E40" s="36">
        <v>0</v>
      </c>
      <c r="F40" s="36">
        <v>0</v>
      </c>
      <c r="G40" s="36">
        <v>0</v>
      </c>
      <c r="H40" s="36">
        <v>0</v>
      </c>
      <c r="I40" s="36">
        <v>0</v>
      </c>
      <c r="J40" s="36">
        <v>0</v>
      </c>
      <c r="K40" s="36">
        <v>0</v>
      </c>
      <c r="L40" s="36">
        <v>0</v>
      </c>
      <c r="M40" s="36">
        <v>0</v>
      </c>
      <c r="N40" s="36">
        <f t="shared" si="2"/>
        <v>0</v>
      </c>
    </row>
    <row r="41" spans="1:14" s="40" customFormat="1">
      <c r="A41" s="33" t="s">
        <v>273</v>
      </c>
      <c r="B41" s="38" t="s">
        <v>274</v>
      </c>
      <c r="C41" s="38" t="s">
        <v>191</v>
      </c>
      <c r="D41" s="39" t="s">
        <v>275</v>
      </c>
      <c r="E41" s="46">
        <v>0</v>
      </c>
      <c r="F41" s="46">
        <v>0</v>
      </c>
      <c r="G41" s="46">
        <v>0</v>
      </c>
      <c r="H41" s="46">
        <v>0</v>
      </c>
      <c r="I41" s="46">
        <v>0</v>
      </c>
      <c r="J41" s="46">
        <v>0</v>
      </c>
      <c r="K41" s="46">
        <v>0</v>
      </c>
      <c r="L41" s="46">
        <v>0</v>
      </c>
      <c r="M41" s="46">
        <v>0</v>
      </c>
      <c r="N41" s="36">
        <f t="shared" si="2"/>
        <v>0</v>
      </c>
    </row>
    <row r="42" spans="1:14">
      <c r="A42" s="33" t="s">
        <v>276</v>
      </c>
      <c r="B42" s="34" t="s">
        <v>277</v>
      </c>
      <c r="C42" s="34"/>
      <c r="D42" s="35" t="s">
        <v>185</v>
      </c>
      <c r="E42" s="36">
        <v>0</v>
      </c>
      <c r="F42" s="36">
        <v>0</v>
      </c>
      <c r="G42" s="36">
        <v>0</v>
      </c>
      <c r="H42" s="36">
        <v>0</v>
      </c>
      <c r="I42" s="36">
        <v>0</v>
      </c>
      <c r="J42" s="36">
        <v>0</v>
      </c>
      <c r="K42" s="36">
        <v>0</v>
      </c>
      <c r="L42" s="36">
        <v>0</v>
      </c>
      <c r="M42" s="36">
        <v>0</v>
      </c>
      <c r="N42" s="36">
        <f t="shared" si="2"/>
        <v>0</v>
      </c>
    </row>
    <row r="43" spans="1:14" s="40" customFormat="1">
      <c r="A43" s="33" t="s">
        <v>278</v>
      </c>
      <c r="B43" s="38" t="s">
        <v>279</v>
      </c>
      <c r="C43" s="38" t="s">
        <v>191</v>
      </c>
      <c r="D43" s="39" t="s">
        <v>262</v>
      </c>
      <c r="E43" s="46">
        <v>0</v>
      </c>
      <c r="F43" s="46">
        <v>0</v>
      </c>
      <c r="G43" s="46">
        <v>0</v>
      </c>
      <c r="H43" s="46">
        <v>0</v>
      </c>
      <c r="I43" s="46">
        <v>0</v>
      </c>
      <c r="J43" s="46">
        <v>0</v>
      </c>
      <c r="K43" s="46">
        <v>0</v>
      </c>
      <c r="L43" s="46">
        <v>0</v>
      </c>
      <c r="M43" s="46">
        <v>0</v>
      </c>
      <c r="N43" s="36">
        <f t="shared" si="2"/>
        <v>0</v>
      </c>
    </row>
    <row r="44" spans="1:14" s="40" customFormat="1">
      <c r="A44" s="33" t="s">
        <v>280</v>
      </c>
      <c r="B44" s="38" t="s">
        <v>281</v>
      </c>
      <c r="C44" s="38" t="s">
        <v>191</v>
      </c>
      <c r="D44" s="39" t="s">
        <v>262</v>
      </c>
      <c r="E44" s="46">
        <v>0</v>
      </c>
      <c r="F44" s="46">
        <v>0</v>
      </c>
      <c r="G44" s="46">
        <v>0</v>
      </c>
      <c r="H44" s="46">
        <v>0</v>
      </c>
      <c r="I44" s="46">
        <v>0</v>
      </c>
      <c r="J44" s="46">
        <v>0</v>
      </c>
      <c r="K44" s="46">
        <v>0</v>
      </c>
      <c r="L44" s="46">
        <v>0</v>
      </c>
      <c r="M44" s="46">
        <v>0</v>
      </c>
      <c r="N44" s="36">
        <f t="shared" si="2"/>
        <v>0</v>
      </c>
    </row>
    <row r="45" spans="1:14">
      <c r="A45" s="33" t="s">
        <v>282</v>
      </c>
      <c r="B45" s="34" t="s">
        <v>283</v>
      </c>
      <c r="C45" s="34"/>
      <c r="D45" s="35" t="s">
        <v>185</v>
      </c>
      <c r="E45" s="36">
        <v>23610</v>
      </c>
      <c r="F45" s="36">
        <v>20970</v>
      </c>
      <c r="G45" s="36">
        <v>121320</v>
      </c>
      <c r="H45" s="36">
        <v>52980</v>
      </c>
      <c r="I45" s="36">
        <v>70560</v>
      </c>
      <c r="J45" s="36">
        <v>38160</v>
      </c>
      <c r="K45" s="36">
        <v>42840</v>
      </c>
      <c r="L45" s="36">
        <v>62640</v>
      </c>
      <c r="M45" s="36">
        <v>41370</v>
      </c>
      <c r="N45" s="36">
        <f t="shared" si="2"/>
        <v>474450</v>
      </c>
    </row>
    <row r="46" spans="1:14">
      <c r="A46" s="33" t="s">
        <v>284</v>
      </c>
      <c r="B46" s="34" t="s">
        <v>285</v>
      </c>
      <c r="C46" s="34" t="s">
        <v>191</v>
      </c>
      <c r="D46" s="35" t="s">
        <v>192</v>
      </c>
      <c r="E46" s="37">
        <v>23610</v>
      </c>
      <c r="F46" s="37">
        <v>20970</v>
      </c>
      <c r="G46" s="37">
        <v>121320</v>
      </c>
      <c r="H46" s="37">
        <v>52980</v>
      </c>
      <c r="I46" s="37">
        <v>70560</v>
      </c>
      <c r="J46" s="37">
        <v>38160</v>
      </c>
      <c r="K46" s="37">
        <v>42840</v>
      </c>
      <c r="L46" s="37">
        <v>62640</v>
      </c>
      <c r="M46" s="37">
        <v>41370</v>
      </c>
      <c r="N46" s="36">
        <f t="shared" si="2"/>
        <v>474450</v>
      </c>
    </row>
    <row r="47" spans="1:14">
      <c r="A47" s="33" t="s">
        <v>286</v>
      </c>
      <c r="B47" s="34" t="s">
        <v>287</v>
      </c>
      <c r="C47" s="34"/>
      <c r="D47" s="35" t="s">
        <v>185</v>
      </c>
      <c r="E47" s="36">
        <v>42750</v>
      </c>
      <c r="F47" s="36">
        <v>21600</v>
      </c>
      <c r="G47" s="36">
        <v>63611.199999999997</v>
      </c>
      <c r="H47" s="36">
        <v>80700</v>
      </c>
      <c r="I47" s="36">
        <v>128251.2</v>
      </c>
      <c r="J47" s="36">
        <v>41150</v>
      </c>
      <c r="K47" s="36">
        <v>35750</v>
      </c>
      <c r="L47" s="36">
        <v>57400</v>
      </c>
      <c r="M47" s="36">
        <v>33650</v>
      </c>
      <c r="N47" s="36">
        <f t="shared" si="2"/>
        <v>504862.4</v>
      </c>
    </row>
    <row r="48" spans="1:14">
      <c r="A48" s="33" t="s">
        <v>288</v>
      </c>
      <c r="B48" s="34" t="s">
        <v>289</v>
      </c>
      <c r="C48" s="34" t="s">
        <v>191</v>
      </c>
      <c r="D48" s="35" t="s">
        <v>290</v>
      </c>
      <c r="E48" s="37">
        <v>42750</v>
      </c>
      <c r="F48" s="37">
        <v>21600</v>
      </c>
      <c r="G48" s="37">
        <v>24900</v>
      </c>
      <c r="H48" s="37">
        <v>80700</v>
      </c>
      <c r="I48" s="37">
        <v>89400</v>
      </c>
      <c r="J48" s="37">
        <v>41150</v>
      </c>
      <c r="K48" s="37">
        <v>35750</v>
      </c>
      <c r="L48" s="37">
        <v>57400</v>
      </c>
      <c r="M48" s="37">
        <v>33650</v>
      </c>
      <c r="N48" s="36">
        <f t="shared" si="2"/>
        <v>427300</v>
      </c>
    </row>
    <row r="49" spans="1:16" s="40" customFormat="1">
      <c r="A49" s="33" t="s">
        <v>291</v>
      </c>
      <c r="B49" s="38" t="s">
        <v>292</v>
      </c>
      <c r="C49" s="38" t="s">
        <v>191</v>
      </c>
      <c r="D49" s="39" t="s">
        <v>293</v>
      </c>
      <c r="E49" s="46">
        <v>0</v>
      </c>
      <c r="F49" s="46">
        <v>0</v>
      </c>
      <c r="G49" s="46">
        <v>0</v>
      </c>
      <c r="H49" s="46">
        <v>0</v>
      </c>
      <c r="I49" s="46">
        <v>0</v>
      </c>
      <c r="J49" s="46">
        <v>0</v>
      </c>
      <c r="K49" s="46">
        <v>0</v>
      </c>
      <c r="L49" s="46">
        <v>0</v>
      </c>
      <c r="M49" s="46">
        <v>0</v>
      </c>
      <c r="N49" s="36">
        <f t="shared" si="2"/>
        <v>0</v>
      </c>
    </row>
    <row r="50" spans="1:16" s="40" customFormat="1">
      <c r="A50" s="33" t="s">
        <v>294</v>
      </c>
      <c r="B50" s="38" t="s">
        <v>295</v>
      </c>
      <c r="C50" s="38" t="s">
        <v>191</v>
      </c>
      <c r="D50" s="39" t="s">
        <v>293</v>
      </c>
      <c r="E50" s="46">
        <v>0</v>
      </c>
      <c r="F50" s="46">
        <v>0</v>
      </c>
      <c r="G50" s="46">
        <v>0</v>
      </c>
      <c r="H50" s="46">
        <v>0</v>
      </c>
      <c r="I50" s="46">
        <v>0</v>
      </c>
      <c r="J50" s="46">
        <v>0</v>
      </c>
      <c r="K50" s="46">
        <v>0</v>
      </c>
      <c r="L50" s="46">
        <v>0</v>
      </c>
      <c r="M50" s="46">
        <v>0</v>
      </c>
      <c r="N50" s="36">
        <f t="shared" si="2"/>
        <v>0</v>
      </c>
    </row>
    <row r="51" spans="1:16" ht="33.75">
      <c r="A51" s="33" t="s">
        <v>296</v>
      </c>
      <c r="B51" s="34" t="s">
        <v>297</v>
      </c>
      <c r="C51" s="34" t="s">
        <v>191</v>
      </c>
      <c r="D51" s="42" t="s">
        <v>298</v>
      </c>
      <c r="E51" s="43">
        <v>0</v>
      </c>
      <c r="F51" s="43">
        <v>0</v>
      </c>
      <c r="G51" s="43">
        <v>38711.199999999997</v>
      </c>
      <c r="H51" s="43">
        <v>0</v>
      </c>
      <c r="I51" s="43">
        <v>38851.199999999997</v>
      </c>
      <c r="J51" s="43">
        <v>0</v>
      </c>
      <c r="K51" s="43">
        <v>0</v>
      </c>
      <c r="L51" s="43">
        <v>0</v>
      </c>
      <c r="M51" s="43">
        <v>0</v>
      </c>
      <c r="N51" s="36">
        <f t="shared" si="2"/>
        <v>77562.399999999994</v>
      </c>
    </row>
    <row r="52" spans="1:16">
      <c r="A52" s="33" t="s">
        <v>299</v>
      </c>
      <c r="B52" s="34" t="s">
        <v>300</v>
      </c>
      <c r="C52" s="34"/>
      <c r="D52" s="35" t="s">
        <v>185</v>
      </c>
      <c r="E52" s="36">
        <v>11790024.550000001</v>
      </c>
      <c r="F52" s="36">
        <v>14418276.919999998</v>
      </c>
      <c r="G52" s="36">
        <v>75448997.510000005</v>
      </c>
      <c r="H52" s="36">
        <v>49211856.560000002</v>
      </c>
      <c r="I52" s="36">
        <v>45593664.659999996</v>
      </c>
      <c r="J52" s="36">
        <v>29311623.899999999</v>
      </c>
      <c r="K52" s="36">
        <v>28746080.340000004</v>
      </c>
      <c r="L52" s="36">
        <v>50527257.850000001</v>
      </c>
      <c r="M52" s="36">
        <v>27488193.399999999</v>
      </c>
      <c r="N52" s="36">
        <f t="shared" si="2"/>
        <v>332535975.69</v>
      </c>
      <c r="O52" s="30">
        <v>317134541.63999999</v>
      </c>
      <c r="P52" s="143">
        <f>N52-O52</f>
        <v>15401434.050000012</v>
      </c>
    </row>
    <row r="53" spans="1:16">
      <c r="A53" s="33" t="s">
        <v>301</v>
      </c>
      <c r="B53" s="34" t="s">
        <v>302</v>
      </c>
      <c r="C53" s="34"/>
      <c r="D53" s="35" t="s">
        <v>303</v>
      </c>
      <c r="E53" s="36">
        <v>7992140</v>
      </c>
      <c r="F53" s="36">
        <v>9487990</v>
      </c>
      <c r="G53" s="36">
        <v>56517460</v>
      </c>
      <c r="H53" s="36">
        <v>34259210</v>
      </c>
      <c r="I53" s="36">
        <v>31926800</v>
      </c>
      <c r="J53" s="36">
        <v>20528560</v>
      </c>
      <c r="K53" s="36">
        <v>19655910</v>
      </c>
      <c r="L53" s="36">
        <v>35849890</v>
      </c>
      <c r="M53" s="36">
        <v>18642140</v>
      </c>
      <c r="N53" s="36">
        <f t="shared" si="2"/>
        <v>234860100</v>
      </c>
    </row>
    <row r="54" spans="1:16">
      <c r="A54" s="33" t="s">
        <v>304</v>
      </c>
      <c r="B54" s="34" t="s">
        <v>305</v>
      </c>
      <c r="C54" s="34" t="s">
        <v>191</v>
      </c>
      <c r="D54" s="47"/>
      <c r="E54" s="37">
        <v>1446637</v>
      </c>
      <c r="F54" s="37">
        <v>2591816</v>
      </c>
      <c r="G54" s="37">
        <v>5016536</v>
      </c>
      <c r="H54" s="37">
        <v>8894011.620000001</v>
      </c>
      <c r="I54" s="37">
        <v>30524016</v>
      </c>
      <c r="J54" s="37">
        <v>19172670</v>
      </c>
      <c r="K54" s="37">
        <v>3217208.5</v>
      </c>
      <c r="L54" s="37">
        <v>4070539</v>
      </c>
      <c r="M54" s="37">
        <v>3993400.5</v>
      </c>
      <c r="N54" s="36">
        <f t="shared" si="2"/>
        <v>78926834.620000005</v>
      </c>
    </row>
    <row r="55" spans="1:16">
      <c r="A55" s="33" t="s">
        <v>306</v>
      </c>
      <c r="B55" s="34" t="s">
        <v>307</v>
      </c>
      <c r="C55" s="34" t="s">
        <v>191</v>
      </c>
      <c r="D55" s="47"/>
      <c r="E55" s="37">
        <v>46946.5</v>
      </c>
      <c r="F55" s="37">
        <v>140000</v>
      </c>
      <c r="G55" s="37">
        <v>1753317</v>
      </c>
      <c r="H55" s="37">
        <v>1199701.5</v>
      </c>
      <c r="I55" s="37">
        <v>0</v>
      </c>
      <c r="J55" s="37">
        <v>0</v>
      </c>
      <c r="K55" s="37">
        <v>364090</v>
      </c>
      <c r="L55" s="37">
        <v>289000</v>
      </c>
      <c r="M55" s="37">
        <v>0</v>
      </c>
      <c r="N55" s="36">
        <f t="shared" si="2"/>
        <v>3793055</v>
      </c>
    </row>
    <row r="56" spans="1:16">
      <c r="A56" s="33" t="s">
        <v>308</v>
      </c>
      <c r="B56" s="34" t="s">
        <v>309</v>
      </c>
      <c r="C56" s="34" t="s">
        <v>191</v>
      </c>
      <c r="D56" s="47"/>
      <c r="E56" s="37">
        <v>112000</v>
      </c>
      <c r="F56" s="37">
        <v>20000</v>
      </c>
      <c r="G56" s="37">
        <v>752000</v>
      </c>
      <c r="H56" s="37">
        <v>341230</v>
      </c>
      <c r="I56" s="37">
        <v>0</v>
      </c>
      <c r="J56" s="37">
        <v>0</v>
      </c>
      <c r="K56" s="37">
        <v>51820</v>
      </c>
      <c r="L56" s="37">
        <v>130000</v>
      </c>
      <c r="M56" s="37">
        <v>0</v>
      </c>
      <c r="N56" s="36">
        <f t="shared" si="2"/>
        <v>1407050</v>
      </c>
    </row>
    <row r="57" spans="1:16">
      <c r="A57" s="33" t="s">
        <v>310</v>
      </c>
      <c r="B57" s="34" t="s">
        <v>311</v>
      </c>
      <c r="C57" s="34" t="s">
        <v>191</v>
      </c>
      <c r="D57" s="47"/>
      <c r="E57" s="37">
        <v>405000</v>
      </c>
      <c r="F57" s="37">
        <v>228000</v>
      </c>
      <c r="G57" s="37">
        <v>1475500</v>
      </c>
      <c r="H57" s="37">
        <v>782231.21</v>
      </c>
      <c r="I57" s="37">
        <v>0</v>
      </c>
      <c r="J57" s="37">
        <v>0</v>
      </c>
      <c r="K57" s="37">
        <v>852620</v>
      </c>
      <c r="L57" s="37">
        <v>1186000</v>
      </c>
      <c r="M57" s="37">
        <v>607730</v>
      </c>
      <c r="N57" s="36">
        <f t="shared" si="2"/>
        <v>5537081.21</v>
      </c>
    </row>
    <row r="58" spans="1:16">
      <c r="A58" s="33" t="s">
        <v>312</v>
      </c>
      <c r="B58" s="34" t="s">
        <v>313</v>
      </c>
      <c r="C58" s="34" t="s">
        <v>191</v>
      </c>
      <c r="D58" s="47"/>
      <c r="E58" s="37">
        <v>595000</v>
      </c>
      <c r="F58" s="37">
        <v>610000</v>
      </c>
      <c r="G58" s="37">
        <v>3218000</v>
      </c>
      <c r="H58" s="37">
        <v>2720401.52</v>
      </c>
      <c r="I58" s="37">
        <v>0</v>
      </c>
      <c r="J58" s="37">
        <v>0</v>
      </c>
      <c r="K58" s="37">
        <v>1637450</v>
      </c>
      <c r="L58" s="37">
        <v>2440000</v>
      </c>
      <c r="M58" s="37">
        <v>1208480</v>
      </c>
      <c r="N58" s="36">
        <f t="shared" si="2"/>
        <v>12429331.52</v>
      </c>
    </row>
    <row r="59" spans="1:16">
      <c r="A59" s="33" t="s">
        <v>314</v>
      </c>
      <c r="B59" s="34" t="s">
        <v>315</v>
      </c>
      <c r="C59" s="34" t="s">
        <v>191</v>
      </c>
      <c r="D59" s="47"/>
      <c r="E59" s="37">
        <v>69000</v>
      </c>
      <c r="F59" s="37">
        <v>37500</v>
      </c>
      <c r="G59" s="37">
        <v>757000</v>
      </c>
      <c r="H59" s="37">
        <v>386223.4</v>
      </c>
      <c r="I59" s="37">
        <v>0</v>
      </c>
      <c r="J59" s="37">
        <v>0</v>
      </c>
      <c r="K59" s="37">
        <v>337970</v>
      </c>
      <c r="L59" s="37">
        <v>359000</v>
      </c>
      <c r="M59" s="37">
        <v>265650</v>
      </c>
      <c r="N59" s="36">
        <f t="shared" si="2"/>
        <v>2212343.4</v>
      </c>
    </row>
    <row r="60" spans="1:16">
      <c r="A60" s="33" t="s">
        <v>316</v>
      </c>
      <c r="B60" s="34" t="s">
        <v>317</v>
      </c>
      <c r="C60" s="34" t="s">
        <v>191</v>
      </c>
      <c r="D60" s="47"/>
      <c r="E60" s="37">
        <v>58000</v>
      </c>
      <c r="F60" s="37">
        <v>120000</v>
      </c>
      <c r="G60" s="37">
        <v>429000</v>
      </c>
      <c r="H60" s="37">
        <v>221557.5</v>
      </c>
      <c r="I60" s="37">
        <v>0</v>
      </c>
      <c r="J60" s="37">
        <v>0</v>
      </c>
      <c r="K60" s="37">
        <v>283070</v>
      </c>
      <c r="L60" s="37">
        <v>223000</v>
      </c>
      <c r="M60" s="37">
        <v>263620</v>
      </c>
      <c r="N60" s="36">
        <f t="shared" si="2"/>
        <v>1598247.5</v>
      </c>
    </row>
    <row r="61" spans="1:16">
      <c r="A61" s="33" t="s">
        <v>318</v>
      </c>
      <c r="B61" s="34" t="s">
        <v>319</v>
      </c>
      <c r="C61" s="34" t="s">
        <v>191</v>
      </c>
      <c r="D61" s="47"/>
      <c r="E61" s="37">
        <v>826347</v>
      </c>
      <c r="F61" s="37">
        <v>800000</v>
      </c>
      <c r="G61" s="37">
        <v>5720989</v>
      </c>
      <c r="H61" s="37">
        <v>4335671.5</v>
      </c>
      <c r="I61" s="37">
        <v>0</v>
      </c>
      <c r="J61" s="37">
        <v>0</v>
      </c>
      <c r="K61" s="37">
        <v>3166650</v>
      </c>
      <c r="L61" s="37">
        <v>4995497</v>
      </c>
      <c r="M61" s="37">
        <v>1945400</v>
      </c>
      <c r="N61" s="36">
        <f t="shared" si="2"/>
        <v>21790554.5</v>
      </c>
    </row>
    <row r="62" spans="1:16">
      <c r="A62" s="33" t="s">
        <v>320</v>
      </c>
      <c r="B62" s="34" t="s">
        <v>321</v>
      </c>
      <c r="C62" s="34" t="s">
        <v>191</v>
      </c>
      <c r="D62" s="47"/>
      <c r="E62" s="37">
        <v>0</v>
      </c>
      <c r="F62" s="37">
        <v>11000</v>
      </c>
      <c r="G62" s="37">
        <v>0</v>
      </c>
      <c r="H62" s="37">
        <v>5000</v>
      </c>
      <c r="I62" s="37">
        <v>0</v>
      </c>
      <c r="J62" s="37">
        <v>0</v>
      </c>
      <c r="K62" s="37">
        <v>0</v>
      </c>
      <c r="L62" s="37">
        <v>0</v>
      </c>
      <c r="M62" s="37">
        <v>0</v>
      </c>
      <c r="N62" s="36">
        <f t="shared" si="2"/>
        <v>16000</v>
      </c>
    </row>
    <row r="63" spans="1:16">
      <c r="A63" s="33" t="s">
        <v>322</v>
      </c>
      <c r="B63" s="34" t="s">
        <v>323</v>
      </c>
      <c r="C63" s="34" t="s">
        <v>324</v>
      </c>
      <c r="D63" s="47" t="s">
        <v>325</v>
      </c>
      <c r="E63" s="37">
        <v>369682</v>
      </c>
      <c r="F63" s="37">
        <v>371286</v>
      </c>
      <c r="G63" s="37">
        <v>2752460.5</v>
      </c>
      <c r="H63" s="37">
        <v>1543516</v>
      </c>
      <c r="I63" s="37">
        <v>1402784</v>
      </c>
      <c r="J63" s="37">
        <v>992780</v>
      </c>
      <c r="K63" s="37">
        <v>948481.5</v>
      </c>
      <c r="L63" s="37">
        <v>1670514</v>
      </c>
      <c r="M63" s="37">
        <v>853707.5</v>
      </c>
      <c r="N63" s="36">
        <f t="shared" si="2"/>
        <v>10905211.5</v>
      </c>
    </row>
    <row r="64" spans="1:16">
      <c r="A64" s="33" t="s">
        <v>326</v>
      </c>
      <c r="B64" s="34" t="s">
        <v>327</v>
      </c>
      <c r="C64" s="34" t="s">
        <v>191</v>
      </c>
      <c r="D64" s="47"/>
      <c r="E64" s="37">
        <v>0</v>
      </c>
      <c r="F64" s="37">
        <v>40000</v>
      </c>
      <c r="G64" s="37">
        <v>207500</v>
      </c>
      <c r="H64" s="37">
        <v>107000</v>
      </c>
      <c r="I64" s="37">
        <v>0</v>
      </c>
      <c r="J64" s="37">
        <v>0</v>
      </c>
      <c r="K64" s="37">
        <v>177712</v>
      </c>
      <c r="L64" s="37">
        <v>0</v>
      </c>
      <c r="M64" s="37">
        <v>137756</v>
      </c>
      <c r="N64" s="36">
        <f t="shared" si="2"/>
        <v>669968</v>
      </c>
    </row>
    <row r="65" spans="1:14">
      <c r="A65" s="33" t="s">
        <v>328</v>
      </c>
      <c r="B65" s="34" t="s">
        <v>329</v>
      </c>
      <c r="C65" s="34" t="s">
        <v>191</v>
      </c>
      <c r="D65" s="47"/>
      <c r="E65" s="37">
        <v>1346070</v>
      </c>
      <c r="F65" s="37">
        <v>280000</v>
      </c>
      <c r="G65" s="37">
        <v>5723000</v>
      </c>
      <c r="H65" s="37">
        <v>2827916.9</v>
      </c>
      <c r="I65" s="37">
        <v>0</v>
      </c>
      <c r="J65" s="37">
        <v>0</v>
      </c>
      <c r="K65" s="37">
        <v>1509750</v>
      </c>
      <c r="L65" s="37">
        <v>8060292.5</v>
      </c>
      <c r="M65" s="37">
        <v>1308950</v>
      </c>
      <c r="N65" s="36">
        <f t="shared" si="2"/>
        <v>21055979.399999999</v>
      </c>
    </row>
    <row r="66" spans="1:14">
      <c r="A66" s="33" t="s">
        <v>330</v>
      </c>
      <c r="B66" s="34" t="s">
        <v>331</v>
      </c>
      <c r="C66" s="34" t="s">
        <v>191</v>
      </c>
      <c r="D66" s="47"/>
      <c r="E66" s="37">
        <v>560000</v>
      </c>
      <c r="F66" s="37">
        <v>90000</v>
      </c>
      <c r="G66" s="37">
        <v>4013000</v>
      </c>
      <c r="H66" s="37">
        <v>568130</v>
      </c>
      <c r="I66" s="37">
        <v>0</v>
      </c>
      <c r="J66" s="37">
        <v>0</v>
      </c>
      <c r="K66" s="37">
        <v>454200</v>
      </c>
      <c r="L66" s="37">
        <v>80000</v>
      </c>
      <c r="M66" s="37">
        <v>405650</v>
      </c>
      <c r="N66" s="36">
        <f t="shared" si="2"/>
        <v>6170980</v>
      </c>
    </row>
    <row r="67" spans="1:14">
      <c r="A67" s="33" t="s">
        <v>332</v>
      </c>
      <c r="B67" s="34" t="s">
        <v>333</v>
      </c>
      <c r="C67" s="34" t="s">
        <v>191</v>
      </c>
      <c r="D67" s="47"/>
      <c r="E67" s="37">
        <v>909000</v>
      </c>
      <c r="F67" s="37">
        <v>1604779.5</v>
      </c>
      <c r="G67" s="37">
        <v>2660000</v>
      </c>
      <c r="H67" s="37">
        <v>16500</v>
      </c>
      <c r="I67" s="37">
        <v>0</v>
      </c>
      <c r="J67" s="37">
        <v>0</v>
      </c>
      <c r="K67" s="37">
        <v>211800</v>
      </c>
      <c r="L67" s="37">
        <v>680000</v>
      </c>
      <c r="M67" s="37">
        <v>0</v>
      </c>
      <c r="N67" s="36">
        <f t="shared" ref="N67:N98" si="3">SUM(E67:M67)</f>
        <v>6082079.5</v>
      </c>
    </row>
    <row r="68" spans="1:14">
      <c r="A68" s="33" t="s">
        <v>334</v>
      </c>
      <c r="B68" s="34" t="s">
        <v>335</v>
      </c>
      <c r="C68" s="34" t="s">
        <v>191</v>
      </c>
      <c r="D68" s="47"/>
      <c r="E68" s="37">
        <v>644529</v>
      </c>
      <c r="F68" s="37">
        <v>710507.5</v>
      </c>
      <c r="G68" s="37">
        <v>13305126.5</v>
      </c>
      <c r="H68" s="37">
        <v>6231478.8499999996</v>
      </c>
      <c r="I68" s="37">
        <v>0</v>
      </c>
      <c r="J68" s="37">
        <v>0</v>
      </c>
      <c r="K68" s="37">
        <v>3306438</v>
      </c>
      <c r="L68" s="37">
        <v>5367049</v>
      </c>
      <c r="M68" s="37">
        <v>5815346</v>
      </c>
      <c r="N68" s="36">
        <f t="shared" si="3"/>
        <v>35380474.850000001</v>
      </c>
    </row>
    <row r="69" spans="1:14">
      <c r="A69" s="33" t="s">
        <v>336</v>
      </c>
      <c r="B69" s="34" t="s">
        <v>337</v>
      </c>
      <c r="C69" s="34" t="s">
        <v>191</v>
      </c>
      <c r="D69" s="47"/>
      <c r="E69" s="37">
        <v>367400</v>
      </c>
      <c r="F69" s="37">
        <v>1070000</v>
      </c>
      <c r="G69" s="37">
        <v>5242583</v>
      </c>
      <c r="H69" s="37">
        <v>2650855</v>
      </c>
      <c r="I69" s="37">
        <v>0</v>
      </c>
      <c r="J69" s="37">
        <v>0</v>
      </c>
      <c r="K69" s="37">
        <v>2136425</v>
      </c>
      <c r="L69" s="37">
        <v>3529600</v>
      </c>
      <c r="M69" s="37">
        <v>824500</v>
      </c>
      <c r="N69" s="36">
        <f t="shared" si="3"/>
        <v>15821363</v>
      </c>
    </row>
    <row r="70" spans="1:14">
      <c r="A70" s="33" t="s">
        <v>338</v>
      </c>
      <c r="B70" s="34" t="s">
        <v>339</v>
      </c>
      <c r="C70" s="34" t="s">
        <v>191</v>
      </c>
      <c r="D70" s="47"/>
      <c r="E70" s="37">
        <v>236528.5</v>
      </c>
      <c r="F70" s="37">
        <v>763101</v>
      </c>
      <c r="G70" s="37">
        <v>3491448</v>
      </c>
      <c r="H70" s="37">
        <v>1427785</v>
      </c>
      <c r="I70" s="37">
        <v>0</v>
      </c>
      <c r="J70" s="37">
        <v>0</v>
      </c>
      <c r="K70" s="37">
        <v>1000225</v>
      </c>
      <c r="L70" s="37">
        <v>2769398.5</v>
      </c>
      <c r="M70" s="37">
        <v>1011950</v>
      </c>
      <c r="N70" s="36">
        <f t="shared" si="3"/>
        <v>10700436</v>
      </c>
    </row>
    <row r="71" spans="1:14">
      <c r="A71" s="33" t="s">
        <v>340</v>
      </c>
      <c r="B71" s="34" t="s">
        <v>341</v>
      </c>
      <c r="C71" s="34"/>
      <c r="D71" s="35"/>
      <c r="E71" s="36">
        <v>98000</v>
      </c>
      <c r="F71" s="36">
        <v>109600</v>
      </c>
      <c r="G71" s="36">
        <v>594000</v>
      </c>
      <c r="H71" s="36">
        <v>352400</v>
      </c>
      <c r="I71" s="36">
        <v>376800</v>
      </c>
      <c r="J71" s="36">
        <v>240000</v>
      </c>
      <c r="K71" s="36">
        <v>239200</v>
      </c>
      <c r="L71" s="36">
        <v>403200</v>
      </c>
      <c r="M71" s="36">
        <v>242400</v>
      </c>
      <c r="N71" s="36">
        <f t="shared" si="3"/>
        <v>2655600</v>
      </c>
    </row>
    <row r="72" spans="1:14" s="40" customFormat="1" ht="22.5">
      <c r="A72" s="33" t="s">
        <v>342</v>
      </c>
      <c r="B72" s="38" t="s">
        <v>343</v>
      </c>
      <c r="C72" s="38" t="s">
        <v>191</v>
      </c>
      <c r="D72" s="48" t="s">
        <v>344</v>
      </c>
      <c r="E72" s="36">
        <v>98000</v>
      </c>
      <c r="F72" s="36">
        <v>109600</v>
      </c>
      <c r="G72" s="36">
        <v>594000</v>
      </c>
      <c r="H72" s="36">
        <v>352400</v>
      </c>
      <c r="I72" s="36">
        <v>376800</v>
      </c>
      <c r="J72" s="36">
        <v>240000</v>
      </c>
      <c r="K72" s="36">
        <v>239200</v>
      </c>
      <c r="L72" s="36">
        <v>403200</v>
      </c>
      <c r="M72" s="36">
        <v>242400</v>
      </c>
      <c r="N72" s="36">
        <f t="shared" si="3"/>
        <v>2655600</v>
      </c>
    </row>
    <row r="73" spans="1:14">
      <c r="A73" s="33" t="s">
        <v>345</v>
      </c>
      <c r="B73" s="34" t="s">
        <v>346</v>
      </c>
      <c r="C73" s="34"/>
      <c r="D73" s="35" t="s">
        <v>185</v>
      </c>
      <c r="E73" s="36">
        <v>801596.55</v>
      </c>
      <c r="F73" s="36">
        <v>1289968.2</v>
      </c>
      <c r="G73" s="36">
        <v>2751836.55</v>
      </c>
      <c r="H73" s="36">
        <v>3868010.4</v>
      </c>
      <c r="I73" s="36">
        <v>2580981.3000000003</v>
      </c>
      <c r="J73" s="36">
        <v>1832576.7</v>
      </c>
      <c r="K73" s="36">
        <v>1215502.5</v>
      </c>
      <c r="L73" s="36">
        <v>3098587.05</v>
      </c>
      <c r="M73" s="36">
        <v>1458291</v>
      </c>
      <c r="N73" s="36">
        <f t="shared" si="3"/>
        <v>18897350.25</v>
      </c>
    </row>
    <row r="74" spans="1:14" s="40" customFormat="1">
      <c r="A74" s="33" t="s">
        <v>347</v>
      </c>
      <c r="B74" s="38" t="s">
        <v>348</v>
      </c>
      <c r="C74" s="38" t="s">
        <v>191</v>
      </c>
      <c r="D74" s="48" t="s">
        <v>349</v>
      </c>
      <c r="E74" s="36">
        <v>801596.55</v>
      </c>
      <c r="F74" s="36">
        <v>1289968.2</v>
      </c>
      <c r="G74" s="36">
        <v>2751836.55</v>
      </c>
      <c r="H74" s="36">
        <v>3868010.4</v>
      </c>
      <c r="I74" s="36">
        <v>2580981.3000000003</v>
      </c>
      <c r="J74" s="36">
        <v>1832576.7</v>
      </c>
      <c r="K74" s="36">
        <v>1215502.5</v>
      </c>
      <c r="L74" s="36">
        <v>3098587.05</v>
      </c>
      <c r="M74" s="36">
        <v>1458291</v>
      </c>
      <c r="N74" s="36">
        <f t="shared" si="3"/>
        <v>18897350.25</v>
      </c>
    </row>
    <row r="75" spans="1:14">
      <c r="A75" s="33" t="s">
        <v>350</v>
      </c>
      <c r="B75" s="34" t="s">
        <v>351</v>
      </c>
      <c r="C75" s="34"/>
      <c r="D75" s="35" t="s">
        <v>185</v>
      </c>
      <c r="E75" s="36">
        <v>247600</v>
      </c>
      <c r="F75" s="36">
        <v>432552</v>
      </c>
      <c r="G75" s="36">
        <v>714436</v>
      </c>
      <c r="H75" s="36">
        <v>1215387.52</v>
      </c>
      <c r="I75" s="36">
        <v>711516.79999999993</v>
      </c>
      <c r="J75" s="36">
        <v>535107.19999999995</v>
      </c>
      <c r="K75" s="36">
        <v>513088</v>
      </c>
      <c r="L75" s="36">
        <v>1020544</v>
      </c>
      <c r="M75" s="36">
        <v>325194.40000000002</v>
      </c>
      <c r="N75" s="36">
        <f t="shared" si="3"/>
        <v>5715425.9199999999</v>
      </c>
    </row>
    <row r="76" spans="1:14" s="40" customFormat="1">
      <c r="A76" s="33" t="s">
        <v>352</v>
      </c>
      <c r="B76" s="38" t="s">
        <v>353</v>
      </c>
      <c r="C76" s="38" t="s">
        <v>191</v>
      </c>
      <c r="D76" s="48" t="s">
        <v>354</v>
      </c>
      <c r="E76" s="36">
        <v>247600</v>
      </c>
      <c r="F76" s="36">
        <v>432552</v>
      </c>
      <c r="G76" s="36">
        <v>714436</v>
      </c>
      <c r="H76" s="36">
        <v>1215387.52</v>
      </c>
      <c r="I76" s="36">
        <v>711516.79999999993</v>
      </c>
      <c r="J76" s="36">
        <v>535107.19999999995</v>
      </c>
      <c r="K76" s="36">
        <v>513088</v>
      </c>
      <c r="L76" s="36">
        <v>1020544</v>
      </c>
      <c r="M76" s="36">
        <v>325194.40000000002</v>
      </c>
      <c r="N76" s="36">
        <f t="shared" si="3"/>
        <v>5715425.9199999999</v>
      </c>
    </row>
    <row r="77" spans="1:14">
      <c r="A77" s="33" t="s">
        <v>355</v>
      </c>
      <c r="B77" s="34" t="s">
        <v>356</v>
      </c>
      <c r="C77" s="34"/>
      <c r="D77" s="35" t="s">
        <v>185</v>
      </c>
      <c r="E77" s="36">
        <v>0</v>
      </c>
      <c r="F77" s="36">
        <v>0</v>
      </c>
      <c r="G77" s="36">
        <v>0</v>
      </c>
      <c r="H77" s="36">
        <v>0</v>
      </c>
      <c r="I77" s="36">
        <v>0</v>
      </c>
      <c r="J77" s="36">
        <v>0</v>
      </c>
      <c r="K77" s="36">
        <v>0</v>
      </c>
      <c r="L77" s="36">
        <v>0</v>
      </c>
      <c r="M77" s="36">
        <v>0</v>
      </c>
      <c r="N77" s="36">
        <f t="shared" si="3"/>
        <v>0</v>
      </c>
    </row>
    <row r="78" spans="1:14" s="40" customFormat="1">
      <c r="A78" s="33" t="s">
        <v>357</v>
      </c>
      <c r="B78" s="38" t="s">
        <v>358</v>
      </c>
      <c r="C78" s="38" t="s">
        <v>191</v>
      </c>
      <c r="D78" s="48" t="s">
        <v>293</v>
      </c>
      <c r="E78" s="46">
        <v>0</v>
      </c>
      <c r="F78" s="46">
        <v>0</v>
      </c>
      <c r="G78" s="46">
        <v>0</v>
      </c>
      <c r="H78" s="46">
        <v>0</v>
      </c>
      <c r="I78" s="46">
        <v>0</v>
      </c>
      <c r="J78" s="46">
        <v>0</v>
      </c>
      <c r="K78" s="46">
        <v>0</v>
      </c>
      <c r="L78" s="46">
        <v>0</v>
      </c>
      <c r="M78" s="46">
        <v>0</v>
      </c>
      <c r="N78" s="36">
        <f t="shared" si="3"/>
        <v>0</v>
      </c>
    </row>
    <row r="79" spans="1:14">
      <c r="A79" s="33" t="s">
        <v>359</v>
      </c>
      <c r="B79" s="34" t="s">
        <v>360</v>
      </c>
      <c r="C79" s="34"/>
      <c r="D79" s="35" t="s">
        <v>185</v>
      </c>
      <c r="E79" s="36">
        <v>1058400</v>
      </c>
      <c r="F79" s="36">
        <v>1183680</v>
      </c>
      <c r="G79" s="36">
        <v>6415200</v>
      </c>
      <c r="H79" s="36">
        <v>3805920</v>
      </c>
      <c r="I79" s="36">
        <v>4069440</v>
      </c>
      <c r="J79" s="36">
        <v>2592000</v>
      </c>
      <c r="K79" s="36">
        <v>2583360</v>
      </c>
      <c r="L79" s="36">
        <v>4354560</v>
      </c>
      <c r="M79" s="36">
        <v>2617920</v>
      </c>
      <c r="N79" s="36">
        <f t="shared" si="3"/>
        <v>28680480</v>
      </c>
    </row>
    <row r="80" spans="1:14" s="40" customFormat="1" ht="22.5">
      <c r="A80" s="33" t="s">
        <v>361</v>
      </c>
      <c r="B80" s="38" t="s">
        <v>362</v>
      </c>
      <c r="C80" s="38" t="s">
        <v>191</v>
      </c>
      <c r="D80" s="48" t="s">
        <v>363</v>
      </c>
      <c r="E80" s="36">
        <v>1058400</v>
      </c>
      <c r="F80" s="36">
        <v>1183680</v>
      </c>
      <c r="G80" s="36">
        <v>6415200</v>
      </c>
      <c r="H80" s="36">
        <v>3805920</v>
      </c>
      <c r="I80" s="36">
        <v>4069440</v>
      </c>
      <c r="J80" s="36">
        <v>2592000</v>
      </c>
      <c r="K80" s="36">
        <v>2583360</v>
      </c>
      <c r="L80" s="36">
        <v>4354560</v>
      </c>
      <c r="M80" s="36">
        <v>2617920</v>
      </c>
      <c r="N80" s="36">
        <f t="shared" si="3"/>
        <v>28680480</v>
      </c>
    </row>
    <row r="81" spans="1:14">
      <c r="A81" s="33" t="s">
        <v>364</v>
      </c>
      <c r="B81" s="34" t="s">
        <v>365</v>
      </c>
      <c r="C81" s="34"/>
      <c r="D81" s="35" t="s">
        <v>185</v>
      </c>
      <c r="E81" s="36">
        <v>969448</v>
      </c>
      <c r="F81" s="36">
        <v>1034406.72</v>
      </c>
      <c r="G81" s="36">
        <v>5559264.96</v>
      </c>
      <c r="H81" s="36">
        <v>3249488.64</v>
      </c>
      <c r="I81" s="36">
        <v>3459046.56</v>
      </c>
      <c r="J81" s="36">
        <v>2209220.0000000005</v>
      </c>
      <c r="K81" s="36">
        <v>2273739.84</v>
      </c>
      <c r="L81" s="36">
        <v>3775636.8</v>
      </c>
      <c r="M81" s="36">
        <v>2347688</v>
      </c>
      <c r="N81" s="36">
        <f t="shared" si="3"/>
        <v>24877939.52</v>
      </c>
    </row>
    <row r="82" spans="1:14" s="40" customFormat="1">
      <c r="A82" s="33" t="s">
        <v>366</v>
      </c>
      <c r="B82" s="38" t="s">
        <v>367</v>
      </c>
      <c r="C82" s="38" t="s">
        <v>191</v>
      </c>
      <c r="D82" s="39" t="s">
        <v>210</v>
      </c>
      <c r="E82" s="36">
        <v>969448</v>
      </c>
      <c r="F82" s="36">
        <v>1034406.72</v>
      </c>
      <c r="G82" s="36">
        <v>5559264.96</v>
      </c>
      <c r="H82" s="36">
        <v>3249488.64</v>
      </c>
      <c r="I82" s="36">
        <v>3459046.56</v>
      </c>
      <c r="J82" s="36">
        <v>2209220.0000000005</v>
      </c>
      <c r="K82" s="36">
        <v>2273739.84</v>
      </c>
      <c r="L82" s="36">
        <v>3775636.8</v>
      </c>
      <c r="M82" s="36">
        <v>2347688</v>
      </c>
      <c r="N82" s="36">
        <f t="shared" si="3"/>
        <v>24877939.52</v>
      </c>
    </row>
    <row r="83" spans="1:14">
      <c r="A83" s="33" t="s">
        <v>368</v>
      </c>
      <c r="B83" s="34" t="s">
        <v>369</v>
      </c>
      <c r="C83" s="34"/>
      <c r="D83" s="35" t="s">
        <v>185</v>
      </c>
      <c r="E83" s="36">
        <v>64000</v>
      </c>
      <c r="F83" s="36">
        <v>64000</v>
      </c>
      <c r="G83" s="36">
        <v>384000</v>
      </c>
      <c r="H83" s="36">
        <v>224000</v>
      </c>
      <c r="I83" s="36">
        <v>320000</v>
      </c>
      <c r="J83" s="36">
        <v>64000</v>
      </c>
      <c r="K83" s="36">
        <v>128000</v>
      </c>
      <c r="L83" s="36">
        <v>320000</v>
      </c>
      <c r="M83" s="36">
        <v>224000</v>
      </c>
      <c r="N83" s="36">
        <f t="shared" si="3"/>
        <v>1792000</v>
      </c>
    </row>
    <row r="84" spans="1:14" ht="33.75">
      <c r="A84" s="33" t="s">
        <v>370</v>
      </c>
      <c r="B84" s="34" t="s">
        <v>371</v>
      </c>
      <c r="C84" s="34" t="s">
        <v>191</v>
      </c>
      <c r="D84" s="47" t="s">
        <v>372</v>
      </c>
      <c r="E84" s="37">
        <v>64000</v>
      </c>
      <c r="F84" s="37">
        <v>64000</v>
      </c>
      <c r="G84" s="37">
        <v>384000</v>
      </c>
      <c r="H84" s="37">
        <v>224000</v>
      </c>
      <c r="I84" s="37">
        <v>320000</v>
      </c>
      <c r="J84" s="37">
        <v>64000</v>
      </c>
      <c r="K84" s="37">
        <v>128000</v>
      </c>
      <c r="L84" s="37">
        <v>320000</v>
      </c>
      <c r="M84" s="37">
        <v>224000</v>
      </c>
      <c r="N84" s="36">
        <f t="shared" si="3"/>
        <v>1792000</v>
      </c>
    </row>
    <row r="85" spans="1:14">
      <c r="A85" s="33" t="s">
        <v>373</v>
      </c>
      <c r="B85" s="34" t="s">
        <v>374</v>
      </c>
      <c r="C85" s="34"/>
      <c r="D85" s="35" t="s">
        <v>185</v>
      </c>
      <c r="E85" s="36">
        <v>457840</v>
      </c>
      <c r="F85" s="36">
        <v>656080</v>
      </c>
      <c r="G85" s="36">
        <v>2312800</v>
      </c>
      <c r="H85" s="36">
        <v>1897440</v>
      </c>
      <c r="I85" s="36">
        <v>1836080</v>
      </c>
      <c r="J85" s="36">
        <v>958160</v>
      </c>
      <c r="K85" s="36">
        <v>1977280</v>
      </c>
      <c r="L85" s="36">
        <v>1519840</v>
      </c>
      <c r="M85" s="36">
        <v>1524560</v>
      </c>
      <c r="N85" s="36">
        <f t="shared" si="3"/>
        <v>13140080</v>
      </c>
    </row>
    <row r="86" spans="1:14">
      <c r="A86" s="33" t="s">
        <v>375</v>
      </c>
      <c r="B86" s="34" t="s">
        <v>376</v>
      </c>
      <c r="C86" s="34"/>
      <c r="D86" s="35" t="s">
        <v>185</v>
      </c>
      <c r="E86" s="36">
        <v>0</v>
      </c>
      <c r="F86" s="36">
        <v>0</v>
      </c>
      <c r="G86" s="36">
        <v>0</v>
      </c>
      <c r="H86" s="36">
        <v>0</v>
      </c>
      <c r="I86" s="36">
        <v>0</v>
      </c>
      <c r="J86" s="36">
        <v>0</v>
      </c>
      <c r="K86" s="36">
        <v>4320</v>
      </c>
      <c r="L86" s="36">
        <v>0</v>
      </c>
      <c r="M86" s="36">
        <v>0</v>
      </c>
      <c r="N86" s="36">
        <f t="shared" si="3"/>
        <v>4320</v>
      </c>
    </row>
    <row r="87" spans="1:14">
      <c r="A87" s="33" t="s">
        <v>377</v>
      </c>
      <c r="B87" s="34" t="s">
        <v>378</v>
      </c>
      <c r="C87" s="34" t="s">
        <v>191</v>
      </c>
      <c r="D87" s="47" t="s">
        <v>293</v>
      </c>
      <c r="E87" s="43">
        <v>0</v>
      </c>
      <c r="F87" s="43">
        <v>0</v>
      </c>
      <c r="G87" s="43">
        <v>0</v>
      </c>
      <c r="H87" s="43">
        <v>0</v>
      </c>
      <c r="I87" s="43">
        <v>0</v>
      </c>
      <c r="J87" s="43">
        <v>0</v>
      </c>
      <c r="K87" s="43">
        <v>0</v>
      </c>
      <c r="L87" s="43">
        <v>0</v>
      </c>
      <c r="M87" s="43">
        <v>0</v>
      </c>
      <c r="N87" s="36">
        <f t="shared" si="3"/>
        <v>0</v>
      </c>
    </row>
    <row r="88" spans="1:14">
      <c r="A88" s="33" t="s">
        <v>379</v>
      </c>
      <c r="B88" s="34" t="s">
        <v>380</v>
      </c>
      <c r="C88" s="34" t="s">
        <v>191</v>
      </c>
      <c r="D88" s="35" t="s">
        <v>381</v>
      </c>
      <c r="E88" s="43">
        <v>0</v>
      </c>
      <c r="F88" s="43">
        <v>0</v>
      </c>
      <c r="G88" s="43">
        <v>0</v>
      </c>
      <c r="H88" s="43">
        <v>0</v>
      </c>
      <c r="I88" s="43">
        <v>0</v>
      </c>
      <c r="J88" s="43">
        <v>0</v>
      </c>
      <c r="K88" s="43">
        <v>4320</v>
      </c>
      <c r="L88" s="43">
        <v>0</v>
      </c>
      <c r="M88" s="43">
        <v>0</v>
      </c>
      <c r="N88" s="36">
        <f t="shared" si="3"/>
        <v>4320</v>
      </c>
    </row>
    <row r="89" spans="1:14">
      <c r="A89" s="33" t="s">
        <v>382</v>
      </c>
      <c r="B89" s="34" t="s">
        <v>383</v>
      </c>
      <c r="C89" s="34"/>
      <c r="D89" s="35" t="s">
        <v>185</v>
      </c>
      <c r="E89" s="36">
        <v>457840</v>
      </c>
      <c r="F89" s="36">
        <v>656080</v>
      </c>
      <c r="G89" s="36">
        <v>2312800</v>
      </c>
      <c r="H89" s="36">
        <v>1897440</v>
      </c>
      <c r="I89" s="36">
        <v>1836080</v>
      </c>
      <c r="J89" s="36">
        <v>958160</v>
      </c>
      <c r="K89" s="36">
        <v>1972960</v>
      </c>
      <c r="L89" s="36">
        <v>1519840</v>
      </c>
      <c r="M89" s="36">
        <v>1524560</v>
      </c>
      <c r="N89" s="36">
        <f t="shared" si="3"/>
        <v>13135760</v>
      </c>
    </row>
    <row r="90" spans="1:14" s="40" customFormat="1" ht="22.5">
      <c r="A90" s="33" t="s">
        <v>384</v>
      </c>
      <c r="B90" s="38" t="s">
        <v>385</v>
      </c>
      <c r="C90" s="38" t="s">
        <v>191</v>
      </c>
      <c r="D90" s="48" t="s">
        <v>386</v>
      </c>
      <c r="E90" s="36">
        <v>38800</v>
      </c>
      <c r="F90" s="36">
        <v>55600</v>
      </c>
      <c r="G90" s="36">
        <v>196000</v>
      </c>
      <c r="H90" s="36">
        <v>160800</v>
      </c>
      <c r="I90" s="36">
        <v>155600</v>
      </c>
      <c r="J90" s="36">
        <v>81200</v>
      </c>
      <c r="K90" s="36">
        <v>167200</v>
      </c>
      <c r="L90" s="36">
        <v>128800</v>
      </c>
      <c r="M90" s="36">
        <v>129200</v>
      </c>
      <c r="N90" s="36">
        <f t="shared" si="3"/>
        <v>1113200</v>
      </c>
    </row>
    <row r="91" spans="1:14" s="40" customFormat="1" ht="22.5">
      <c r="A91" s="33" t="s">
        <v>387</v>
      </c>
      <c r="B91" s="38" t="s">
        <v>388</v>
      </c>
      <c r="C91" s="38" t="s">
        <v>191</v>
      </c>
      <c r="D91" s="48" t="s">
        <v>389</v>
      </c>
      <c r="E91" s="36">
        <v>419040</v>
      </c>
      <c r="F91" s="36">
        <v>600480</v>
      </c>
      <c r="G91" s="36">
        <v>2116800</v>
      </c>
      <c r="H91" s="36">
        <v>1736640</v>
      </c>
      <c r="I91" s="36">
        <v>1680480</v>
      </c>
      <c r="J91" s="36">
        <v>876960</v>
      </c>
      <c r="K91" s="36">
        <v>1805760</v>
      </c>
      <c r="L91" s="36">
        <v>1391040</v>
      </c>
      <c r="M91" s="36">
        <v>1395360</v>
      </c>
      <c r="N91" s="36">
        <f t="shared" si="3"/>
        <v>12022560</v>
      </c>
    </row>
    <row r="92" spans="1:14">
      <c r="A92" s="33" t="s">
        <v>390</v>
      </c>
      <c r="B92" s="34" t="s">
        <v>391</v>
      </c>
      <c r="C92" s="34" t="s">
        <v>191</v>
      </c>
      <c r="D92" s="47" t="s">
        <v>293</v>
      </c>
      <c r="E92" s="49">
        <v>0</v>
      </c>
      <c r="F92" s="49">
        <v>0</v>
      </c>
      <c r="G92" s="49">
        <v>0</v>
      </c>
      <c r="H92" s="49">
        <v>0</v>
      </c>
      <c r="I92" s="49">
        <v>0</v>
      </c>
      <c r="J92" s="49">
        <v>0</v>
      </c>
      <c r="K92" s="49">
        <v>0</v>
      </c>
      <c r="L92" s="49">
        <v>0</v>
      </c>
      <c r="M92" s="49">
        <v>0</v>
      </c>
      <c r="N92" s="36">
        <f t="shared" si="3"/>
        <v>0</v>
      </c>
    </row>
    <row r="93" spans="1:14">
      <c r="A93" s="33" t="s">
        <v>392</v>
      </c>
      <c r="B93" s="34" t="s">
        <v>393</v>
      </c>
      <c r="C93" s="34"/>
      <c r="D93" s="35" t="s">
        <v>185</v>
      </c>
      <c r="E93" s="36">
        <v>101000</v>
      </c>
      <c r="F93" s="36">
        <v>160000</v>
      </c>
      <c r="G93" s="36">
        <v>200000</v>
      </c>
      <c r="H93" s="36">
        <v>340000</v>
      </c>
      <c r="I93" s="36">
        <v>313000</v>
      </c>
      <c r="J93" s="36">
        <v>352000</v>
      </c>
      <c r="K93" s="36">
        <v>160000</v>
      </c>
      <c r="L93" s="36">
        <v>185000</v>
      </c>
      <c r="M93" s="36">
        <v>106000</v>
      </c>
      <c r="N93" s="36">
        <f t="shared" si="3"/>
        <v>1917000</v>
      </c>
    </row>
    <row r="94" spans="1:14" ht="57" thickBot="1">
      <c r="A94" s="33" t="s">
        <v>394</v>
      </c>
      <c r="B94" s="50" t="s">
        <v>395</v>
      </c>
      <c r="C94" s="34" t="s">
        <v>191</v>
      </c>
      <c r="D94" s="51" t="s">
        <v>396</v>
      </c>
      <c r="E94" s="52">
        <v>101000</v>
      </c>
      <c r="F94" s="52">
        <v>160000</v>
      </c>
      <c r="G94" s="52">
        <v>200000</v>
      </c>
      <c r="H94" s="52">
        <v>340000</v>
      </c>
      <c r="I94" s="52">
        <v>313000</v>
      </c>
      <c r="J94" s="52">
        <v>352000</v>
      </c>
      <c r="K94" s="52">
        <v>160000</v>
      </c>
      <c r="L94" s="52">
        <v>185000</v>
      </c>
      <c r="M94" s="52">
        <v>106000</v>
      </c>
      <c r="N94" s="36">
        <f t="shared" si="3"/>
        <v>1917000</v>
      </c>
    </row>
    <row r="95" spans="1:14" ht="23.25" customHeight="1" thickTop="1">
      <c r="A95" s="33" t="s">
        <v>397</v>
      </c>
      <c r="B95" s="53" t="s">
        <v>398</v>
      </c>
      <c r="C95" s="53"/>
      <c r="D95" s="54"/>
      <c r="E95" s="55">
        <v>0</v>
      </c>
      <c r="F95" s="55">
        <v>0</v>
      </c>
      <c r="G95" s="55">
        <v>0</v>
      </c>
      <c r="H95" s="55">
        <v>0</v>
      </c>
      <c r="I95" s="55">
        <v>0</v>
      </c>
      <c r="J95" s="55">
        <v>0</v>
      </c>
      <c r="K95" s="55">
        <v>0</v>
      </c>
      <c r="L95" s="55">
        <v>0</v>
      </c>
      <c r="M95" s="55">
        <v>0</v>
      </c>
      <c r="N95" s="36">
        <f t="shared" si="3"/>
        <v>0</v>
      </c>
    </row>
    <row r="96" spans="1:14" ht="22.5">
      <c r="A96" s="33" t="s">
        <v>399</v>
      </c>
      <c r="B96" s="34" t="s">
        <v>400</v>
      </c>
      <c r="C96" s="34"/>
      <c r="D96" s="35" t="s">
        <v>401</v>
      </c>
      <c r="E96" s="36">
        <v>245</v>
      </c>
      <c r="F96" s="36">
        <v>274</v>
      </c>
      <c r="G96" s="36">
        <v>1485</v>
      </c>
      <c r="H96" s="36">
        <v>881</v>
      </c>
      <c r="I96" s="36">
        <v>942</v>
      </c>
      <c r="J96" s="36">
        <v>600</v>
      </c>
      <c r="K96" s="36">
        <v>598</v>
      </c>
      <c r="L96" s="36">
        <v>1008</v>
      </c>
      <c r="M96" s="36">
        <v>606</v>
      </c>
      <c r="N96" s="36">
        <f t="shared" si="3"/>
        <v>6639</v>
      </c>
    </row>
    <row r="97" spans="1:14">
      <c r="A97" s="33" t="s">
        <v>402</v>
      </c>
      <c r="B97" s="56" t="s">
        <v>403</v>
      </c>
      <c r="C97" s="56"/>
      <c r="D97" s="42"/>
      <c r="E97" s="43">
        <v>60</v>
      </c>
      <c r="F97" s="43">
        <v>83</v>
      </c>
      <c r="G97" s="43">
        <v>514</v>
      </c>
      <c r="H97" s="43">
        <v>243</v>
      </c>
      <c r="I97" s="43">
        <v>269</v>
      </c>
      <c r="J97" s="43">
        <v>165</v>
      </c>
      <c r="K97" s="43">
        <v>215</v>
      </c>
      <c r="L97" s="43">
        <v>299</v>
      </c>
      <c r="M97" s="43">
        <v>207</v>
      </c>
      <c r="N97" s="36">
        <f t="shared" si="3"/>
        <v>2055</v>
      </c>
    </row>
    <row r="98" spans="1:14">
      <c r="A98" s="33" t="s">
        <v>404</v>
      </c>
      <c r="B98" s="56" t="s">
        <v>405</v>
      </c>
      <c r="C98" s="56"/>
      <c r="D98" s="35"/>
      <c r="E98" s="37">
        <v>69</v>
      </c>
      <c r="F98" s="37">
        <v>90</v>
      </c>
      <c r="G98" s="37">
        <v>638</v>
      </c>
      <c r="H98" s="37">
        <v>342</v>
      </c>
      <c r="I98" s="37">
        <v>363</v>
      </c>
      <c r="J98" s="37">
        <v>254</v>
      </c>
      <c r="K98" s="37">
        <v>206</v>
      </c>
      <c r="L98" s="37">
        <v>487</v>
      </c>
      <c r="M98" s="37">
        <v>211</v>
      </c>
      <c r="N98" s="36">
        <f t="shared" si="3"/>
        <v>2660</v>
      </c>
    </row>
    <row r="99" spans="1:14">
      <c r="A99" s="33" t="s">
        <v>406</v>
      </c>
      <c r="B99" s="56" t="s">
        <v>407</v>
      </c>
      <c r="C99" s="56"/>
      <c r="D99" s="42"/>
      <c r="E99" s="43">
        <v>110</v>
      </c>
      <c r="F99" s="43">
        <v>97</v>
      </c>
      <c r="G99" s="43">
        <v>326</v>
      </c>
      <c r="H99" s="43">
        <v>290</v>
      </c>
      <c r="I99" s="43">
        <v>306</v>
      </c>
      <c r="J99" s="43">
        <v>172</v>
      </c>
      <c r="K99" s="43">
        <v>170</v>
      </c>
      <c r="L99" s="43">
        <v>217</v>
      </c>
      <c r="M99" s="43">
        <v>187</v>
      </c>
      <c r="N99" s="36">
        <f t="shared" ref="N99:N109" si="4">SUM(E99:M99)</f>
        <v>1875</v>
      </c>
    </row>
    <row r="100" spans="1:14">
      <c r="A100" s="33" t="s">
        <v>408</v>
      </c>
      <c r="B100" s="56" t="s">
        <v>409</v>
      </c>
      <c r="C100" s="56"/>
      <c r="D100" s="42"/>
      <c r="E100" s="43">
        <v>6</v>
      </c>
      <c r="F100" s="43">
        <v>4</v>
      </c>
      <c r="G100" s="43">
        <v>7</v>
      </c>
      <c r="H100" s="43">
        <v>6</v>
      </c>
      <c r="I100" s="43">
        <v>4</v>
      </c>
      <c r="J100" s="43">
        <v>9</v>
      </c>
      <c r="K100" s="43">
        <v>7</v>
      </c>
      <c r="L100" s="43">
        <v>5</v>
      </c>
      <c r="M100" s="43">
        <v>1</v>
      </c>
      <c r="N100" s="36">
        <f t="shared" si="4"/>
        <v>49</v>
      </c>
    </row>
    <row r="101" spans="1:14" ht="33.75">
      <c r="A101" s="33" t="s">
        <v>410</v>
      </c>
      <c r="B101" s="34" t="s">
        <v>411</v>
      </c>
      <c r="C101" s="34"/>
      <c r="D101" s="35" t="s">
        <v>412</v>
      </c>
      <c r="E101" s="36">
        <v>2643</v>
      </c>
      <c r="F101" s="36">
        <v>2683</v>
      </c>
      <c r="G101" s="36">
        <v>20084</v>
      </c>
      <c r="H101" s="36">
        <v>11206</v>
      </c>
      <c r="I101" s="36">
        <v>10251</v>
      </c>
      <c r="J101" s="36">
        <v>7221</v>
      </c>
      <c r="K101" s="36">
        <v>6836</v>
      </c>
      <c r="L101" s="36">
        <v>12213</v>
      </c>
      <c r="M101" s="36">
        <v>6231</v>
      </c>
      <c r="N101" s="36">
        <f t="shared" si="4"/>
        <v>79368</v>
      </c>
    </row>
    <row r="102" spans="1:14">
      <c r="A102" s="33" t="s">
        <v>413</v>
      </c>
      <c r="B102" s="56" t="s">
        <v>403</v>
      </c>
      <c r="C102" s="56"/>
      <c r="D102" s="42"/>
      <c r="E102" s="43">
        <v>537</v>
      </c>
      <c r="F102" s="43">
        <v>667</v>
      </c>
      <c r="G102" s="43">
        <v>5601</v>
      </c>
      <c r="H102" s="43">
        <v>2453</v>
      </c>
      <c r="I102" s="43">
        <v>2635</v>
      </c>
      <c r="J102" s="43">
        <v>1465</v>
      </c>
      <c r="K102" s="43">
        <v>2206</v>
      </c>
      <c r="L102" s="43">
        <v>2986</v>
      </c>
      <c r="M102" s="43">
        <v>1487</v>
      </c>
      <c r="N102" s="36">
        <f t="shared" si="4"/>
        <v>20037</v>
      </c>
    </row>
    <row r="103" spans="1:14">
      <c r="A103" s="33" t="s">
        <v>414</v>
      </c>
      <c r="B103" s="56" t="s">
        <v>405</v>
      </c>
      <c r="C103" s="56"/>
      <c r="D103" s="35"/>
      <c r="E103" s="37">
        <v>744</v>
      </c>
      <c r="F103" s="37">
        <v>1020</v>
      </c>
      <c r="G103" s="37">
        <v>10150</v>
      </c>
      <c r="H103" s="37">
        <v>4890</v>
      </c>
      <c r="I103" s="37">
        <v>3811</v>
      </c>
      <c r="J103" s="37">
        <v>3303</v>
      </c>
      <c r="K103" s="37">
        <v>2784</v>
      </c>
      <c r="L103" s="37">
        <v>6424</v>
      </c>
      <c r="M103" s="37">
        <v>2814</v>
      </c>
      <c r="N103" s="36">
        <f t="shared" si="4"/>
        <v>35940</v>
      </c>
    </row>
    <row r="104" spans="1:14">
      <c r="A104" s="33" t="s">
        <v>415</v>
      </c>
      <c r="B104" s="56" t="s">
        <v>407</v>
      </c>
      <c r="C104" s="56"/>
      <c r="D104" s="42"/>
      <c r="E104" s="43">
        <v>1362</v>
      </c>
      <c r="F104" s="43">
        <v>996</v>
      </c>
      <c r="G104" s="43">
        <v>4260</v>
      </c>
      <c r="H104" s="43">
        <v>3863</v>
      </c>
      <c r="I104" s="43">
        <v>3805</v>
      </c>
      <c r="J104" s="43">
        <v>2453</v>
      </c>
      <c r="K104" s="43">
        <v>1846</v>
      </c>
      <c r="L104" s="43">
        <v>2803</v>
      </c>
      <c r="M104" s="43">
        <v>1930</v>
      </c>
      <c r="N104" s="36">
        <f t="shared" si="4"/>
        <v>23318</v>
      </c>
    </row>
    <row r="105" spans="1:14">
      <c r="A105" s="33" t="s">
        <v>416</v>
      </c>
      <c r="B105" s="56" t="s">
        <v>409</v>
      </c>
      <c r="C105" s="56"/>
      <c r="D105" s="42"/>
      <c r="E105" s="43">
        <v>0</v>
      </c>
      <c r="F105" s="43">
        <v>0</v>
      </c>
      <c r="G105" s="43">
        <v>73</v>
      </c>
      <c r="H105" s="43">
        <v>0</v>
      </c>
      <c r="I105" s="43">
        <v>0</v>
      </c>
      <c r="J105" s="43">
        <v>0</v>
      </c>
      <c r="K105" s="43">
        <v>0</v>
      </c>
      <c r="L105" s="43">
        <v>0</v>
      </c>
      <c r="M105" s="43">
        <v>0</v>
      </c>
      <c r="N105" s="36">
        <f t="shared" si="4"/>
        <v>73</v>
      </c>
    </row>
    <row r="106" spans="1:14">
      <c r="A106" s="33" t="s">
        <v>417</v>
      </c>
      <c r="B106" s="34" t="s">
        <v>418</v>
      </c>
      <c r="C106" s="34"/>
      <c r="D106" s="47"/>
      <c r="E106" s="57">
        <v>0</v>
      </c>
      <c r="F106" s="57">
        <v>0</v>
      </c>
      <c r="G106" s="57">
        <v>0</v>
      </c>
      <c r="H106" s="57">
        <v>0</v>
      </c>
      <c r="I106" s="57">
        <v>0</v>
      </c>
      <c r="J106" s="57">
        <v>0</v>
      </c>
      <c r="K106" s="57">
        <v>1</v>
      </c>
      <c r="L106" s="57">
        <v>0</v>
      </c>
      <c r="M106" s="57">
        <v>0</v>
      </c>
      <c r="N106" s="36">
        <f t="shared" si="4"/>
        <v>1</v>
      </c>
    </row>
    <row r="107" spans="1:14">
      <c r="A107" s="33" t="s">
        <v>419</v>
      </c>
      <c r="B107" s="34" t="s">
        <v>420</v>
      </c>
      <c r="C107" s="34"/>
      <c r="D107" s="35"/>
      <c r="E107" s="37">
        <v>97</v>
      </c>
      <c r="F107" s="37">
        <v>139</v>
      </c>
      <c r="G107" s="37">
        <v>490</v>
      </c>
      <c r="H107" s="37">
        <v>402</v>
      </c>
      <c r="I107" s="37">
        <v>389</v>
      </c>
      <c r="J107" s="37">
        <v>203</v>
      </c>
      <c r="K107" s="37">
        <v>418</v>
      </c>
      <c r="L107" s="37">
        <v>322</v>
      </c>
      <c r="M107" s="37">
        <v>323</v>
      </c>
      <c r="N107" s="36">
        <f t="shared" si="4"/>
        <v>2783</v>
      </c>
    </row>
    <row r="108" spans="1:14">
      <c r="A108" s="33" t="s">
        <v>421</v>
      </c>
      <c r="B108" s="56" t="s">
        <v>422</v>
      </c>
      <c r="C108" s="56"/>
      <c r="D108" s="47"/>
      <c r="E108" s="37">
        <v>53439.770000000004</v>
      </c>
      <c r="F108" s="37">
        <v>85997.88</v>
      </c>
      <c r="G108" s="37">
        <v>183455.77000000002</v>
      </c>
      <c r="H108" s="37">
        <v>257867.36</v>
      </c>
      <c r="I108" s="37">
        <v>172065.41999999998</v>
      </c>
      <c r="J108" s="37">
        <v>122171.77999999998</v>
      </c>
      <c r="K108" s="37">
        <v>81033.5</v>
      </c>
      <c r="L108" s="37">
        <v>206572.47000000003</v>
      </c>
      <c r="M108" s="37">
        <v>97219.4</v>
      </c>
      <c r="N108" s="36">
        <f t="shared" si="4"/>
        <v>1259823.3499999999</v>
      </c>
    </row>
    <row r="109" spans="1:14">
      <c r="A109" s="33" t="s">
        <v>423</v>
      </c>
      <c r="B109" s="56" t="s">
        <v>424</v>
      </c>
      <c r="C109" s="56"/>
      <c r="D109" s="47"/>
      <c r="E109" s="37">
        <v>30950</v>
      </c>
      <c r="F109" s="37">
        <v>54069</v>
      </c>
      <c r="G109" s="37">
        <v>89304.5</v>
      </c>
      <c r="H109" s="37">
        <v>151923.44</v>
      </c>
      <c r="I109" s="37">
        <v>88939.599999999991</v>
      </c>
      <c r="J109" s="37">
        <v>66888.399999999994</v>
      </c>
      <c r="K109" s="37">
        <v>64136</v>
      </c>
      <c r="L109" s="37">
        <v>127568</v>
      </c>
      <c r="M109" s="37">
        <v>40649.300000000003</v>
      </c>
      <c r="N109" s="36">
        <f t="shared" si="4"/>
        <v>714428.24</v>
      </c>
    </row>
    <row r="110" spans="1:14">
      <c r="E110" s="30">
        <f>(E5+E8+E17)/E96</f>
        <v>206425.57142857142</v>
      </c>
      <c r="F110" s="30">
        <f t="shared" ref="F110:N110" si="5">(F5+F8+F17)/F96</f>
        <v>202348.66058394162</v>
      </c>
      <c r="G110" s="30">
        <f t="shared" si="5"/>
        <v>205376.89561616164</v>
      </c>
      <c r="H110" s="30">
        <f t="shared" si="5"/>
        <v>200442.29205448355</v>
      </c>
      <c r="I110" s="30">
        <f t="shared" si="5"/>
        <v>202683.77494692145</v>
      </c>
      <c r="J110" s="30">
        <f t="shared" si="5"/>
        <v>201932.23</v>
      </c>
      <c r="K110" s="30">
        <f t="shared" si="5"/>
        <v>206000.22073578596</v>
      </c>
      <c r="L110" s="30">
        <f t="shared" si="5"/>
        <v>202644.16567460317</v>
      </c>
      <c r="M110" s="30">
        <f t="shared" si="5"/>
        <v>205311.23267326734</v>
      </c>
      <c r="N110" s="30">
        <f t="shared" si="5"/>
        <v>203577.59591655369</v>
      </c>
    </row>
    <row r="111" spans="1:14">
      <c r="E111" s="30">
        <f>(E4+E31)/E96</f>
        <v>310273.53061224491</v>
      </c>
      <c r="F111" s="30">
        <f t="shared" ref="F111:N111" si="6">(F4+F31)/F96</f>
        <v>301765.1919708029</v>
      </c>
      <c r="G111" s="30">
        <f t="shared" si="6"/>
        <v>304012.23164309765</v>
      </c>
      <c r="H111" s="30">
        <f t="shared" si="6"/>
        <v>297793.75085130532</v>
      </c>
      <c r="I111" s="30">
        <f t="shared" si="6"/>
        <v>299705.39596602973</v>
      </c>
      <c r="J111" s="30">
        <f t="shared" si="6"/>
        <v>299112.70500000002</v>
      </c>
      <c r="K111" s="30">
        <f t="shared" si="6"/>
        <v>306204.16588628758</v>
      </c>
      <c r="L111" s="30">
        <f t="shared" si="6"/>
        <v>301322.94940476189</v>
      </c>
      <c r="M111" s="30">
        <f t="shared" si="6"/>
        <v>307044.25247524754</v>
      </c>
      <c r="N111" s="30">
        <f t="shared" si="6"/>
        <v>302337.3525064016</v>
      </c>
    </row>
  </sheetData>
  <protectedRanges>
    <protectedRange password="E9C1" sqref="B31:D109 A4:D12 B13:D28 A13:A109 N4:N109 A2:N3" name="区域1_1"/>
    <protectedRange password="E9C1" sqref="B29:C30" name="区域1_1_1"/>
    <protectedRange password="E9C1" sqref="D29" name="区域1"/>
    <protectedRange password="E9C1" sqref="D30" name="区域1_2"/>
  </protectedRanges>
  <mergeCells count="1">
    <mergeCell ref="A1:N1"/>
  </mergeCells>
  <phoneticPr fontId="1"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sqref="A1:H1"/>
    </sheetView>
  </sheetViews>
  <sheetFormatPr defaultRowHeight="13.5"/>
  <cols>
    <col min="1" max="1" width="12.625" style="181" customWidth="1"/>
    <col min="2" max="2" width="9" style="181"/>
    <col min="3" max="3" width="17" style="181" customWidth="1"/>
    <col min="4" max="4" width="34.125" style="181" customWidth="1"/>
    <col min="5" max="5" width="31.875" style="181" customWidth="1"/>
    <col min="6" max="16384" width="9" style="181"/>
  </cols>
  <sheetData>
    <row r="1" spans="1:8" ht="39.950000000000003" customHeight="1">
      <c r="A1" s="1408" t="s">
        <v>1824</v>
      </c>
      <c r="B1" s="1408"/>
      <c r="C1" s="1408"/>
      <c r="D1" s="1408"/>
      <c r="E1" s="1408"/>
      <c r="F1" s="1408"/>
      <c r="G1" s="1408"/>
      <c r="H1" s="1408"/>
    </row>
    <row r="2" spans="1:8" ht="20.100000000000001" customHeight="1">
      <c r="A2" s="271" t="s">
        <v>596</v>
      </c>
      <c r="B2" s="271" t="s">
        <v>1056</v>
      </c>
      <c r="C2" s="271" t="s">
        <v>180</v>
      </c>
      <c r="D2" s="271" t="s">
        <v>575</v>
      </c>
      <c r="E2" s="272" t="s">
        <v>576</v>
      </c>
      <c r="F2" s="271" t="s">
        <v>578</v>
      </c>
      <c r="G2" s="273" t="s">
        <v>579</v>
      </c>
      <c r="H2" s="273" t="s">
        <v>580</v>
      </c>
    </row>
    <row r="3" spans="1:8" ht="26.1" customHeight="1">
      <c r="A3" s="274" t="s">
        <v>982</v>
      </c>
      <c r="B3" s="275" t="s">
        <v>1057</v>
      </c>
      <c r="C3" s="276" t="s">
        <v>1058</v>
      </c>
      <c r="D3" s="276" t="s">
        <v>1059</v>
      </c>
      <c r="E3" s="276" t="s">
        <v>1060</v>
      </c>
      <c r="F3" s="277">
        <v>1</v>
      </c>
      <c r="G3" s="278">
        <v>5000</v>
      </c>
      <c r="H3" s="279">
        <v>5000</v>
      </c>
    </row>
    <row r="4" spans="1:8" ht="26.1" customHeight="1">
      <c r="A4" s="274" t="s">
        <v>982</v>
      </c>
      <c r="B4" s="275" t="s">
        <v>1057</v>
      </c>
      <c r="C4" s="276" t="s">
        <v>1061</v>
      </c>
      <c r="D4" s="276" t="s">
        <v>1061</v>
      </c>
      <c r="E4" s="276" t="s">
        <v>1061</v>
      </c>
      <c r="F4" s="277">
        <v>1</v>
      </c>
      <c r="G4" s="278">
        <v>34220</v>
      </c>
      <c r="H4" s="279">
        <v>34220</v>
      </c>
    </row>
    <row r="5" spans="1:8" ht="26.1" customHeight="1">
      <c r="A5" s="280"/>
      <c r="B5" s="272"/>
      <c r="C5" s="281" t="s">
        <v>987</v>
      </c>
      <c r="D5" s="282"/>
      <c r="E5" s="282"/>
      <c r="F5" s="271"/>
      <c r="G5" s="273"/>
      <c r="H5" s="273">
        <v>39220</v>
      </c>
    </row>
    <row r="6" spans="1:8" ht="26.1" customHeight="1">
      <c r="A6" s="274" t="s">
        <v>1062</v>
      </c>
      <c r="B6" s="275" t="s">
        <v>1057</v>
      </c>
      <c r="C6" s="276" t="s">
        <v>1058</v>
      </c>
      <c r="D6" s="276" t="s">
        <v>1059</v>
      </c>
      <c r="E6" s="276" t="s">
        <v>1060</v>
      </c>
      <c r="F6" s="277">
        <v>1</v>
      </c>
      <c r="G6" s="278">
        <v>5000</v>
      </c>
      <c r="H6" s="279">
        <v>5000</v>
      </c>
    </row>
    <row r="7" spans="1:8" ht="26.1" customHeight="1">
      <c r="A7" s="274" t="s">
        <v>1062</v>
      </c>
      <c r="B7" s="275" t="s">
        <v>1057</v>
      </c>
      <c r="C7" s="276" t="s">
        <v>1061</v>
      </c>
      <c r="D7" s="276" t="s">
        <v>1061</v>
      </c>
      <c r="E7" s="276" t="s">
        <v>1061</v>
      </c>
      <c r="F7" s="277">
        <v>1</v>
      </c>
      <c r="G7" s="278">
        <v>32870</v>
      </c>
      <c r="H7" s="279">
        <v>32870</v>
      </c>
    </row>
    <row r="8" spans="1:8" ht="26.1" customHeight="1">
      <c r="A8" s="274" t="s">
        <v>918</v>
      </c>
      <c r="B8" s="275" t="s">
        <v>1057</v>
      </c>
      <c r="C8" s="276" t="s">
        <v>1058</v>
      </c>
      <c r="D8" s="276" t="s">
        <v>1059</v>
      </c>
      <c r="E8" s="276" t="s">
        <v>1060</v>
      </c>
      <c r="F8" s="277">
        <v>1</v>
      </c>
      <c r="G8" s="278">
        <v>5000</v>
      </c>
      <c r="H8" s="279">
        <v>5000</v>
      </c>
    </row>
    <row r="9" spans="1:8" ht="26.1" customHeight="1">
      <c r="A9" s="283" t="s">
        <v>1063</v>
      </c>
      <c r="B9" s="275" t="s">
        <v>1057</v>
      </c>
      <c r="C9" s="276" t="s">
        <v>1058</v>
      </c>
      <c r="D9" s="276" t="s">
        <v>1059</v>
      </c>
      <c r="E9" s="276" t="s">
        <v>1060</v>
      </c>
      <c r="F9" s="284">
        <v>1</v>
      </c>
      <c r="G9" s="279">
        <v>5000</v>
      </c>
      <c r="H9" s="279">
        <v>5000</v>
      </c>
    </row>
    <row r="10" spans="1:8" ht="26.1" customHeight="1">
      <c r="A10" s="280"/>
      <c r="B10" s="272"/>
      <c r="C10" s="281" t="s">
        <v>592</v>
      </c>
      <c r="D10" s="282"/>
      <c r="E10" s="282"/>
      <c r="F10" s="271"/>
      <c r="G10" s="273"/>
      <c r="H10" s="273">
        <v>47870</v>
      </c>
    </row>
    <row r="11" spans="1:8" ht="26.1" customHeight="1">
      <c r="A11" s="274" t="s">
        <v>104</v>
      </c>
      <c r="B11" s="275" t="s">
        <v>1057</v>
      </c>
      <c r="C11" s="276" t="s">
        <v>1058</v>
      </c>
      <c r="D11" s="276" t="s">
        <v>1059</v>
      </c>
      <c r="E11" s="276" t="s">
        <v>1060</v>
      </c>
      <c r="F11" s="277">
        <v>1</v>
      </c>
      <c r="G11" s="278">
        <v>5000</v>
      </c>
      <c r="H11" s="279">
        <v>5000</v>
      </c>
    </row>
    <row r="12" spans="1:8" ht="26.1" customHeight="1">
      <c r="A12" s="274" t="s">
        <v>104</v>
      </c>
      <c r="B12" s="275" t="s">
        <v>1057</v>
      </c>
      <c r="C12" s="276" t="s">
        <v>1061</v>
      </c>
      <c r="D12" s="276" t="s">
        <v>1061</v>
      </c>
      <c r="E12" s="276" t="s">
        <v>1061</v>
      </c>
      <c r="F12" s="277">
        <v>1</v>
      </c>
      <c r="G12" s="278">
        <v>26340</v>
      </c>
      <c r="H12" s="279">
        <v>26340</v>
      </c>
    </row>
    <row r="13" spans="1:8" ht="26.1" customHeight="1">
      <c r="A13" s="280"/>
      <c r="B13" s="272"/>
      <c r="C13" s="281" t="s">
        <v>1055</v>
      </c>
      <c r="D13" s="282"/>
      <c r="E13" s="282"/>
      <c r="F13" s="271"/>
      <c r="G13" s="273"/>
      <c r="H13" s="273">
        <v>31340</v>
      </c>
    </row>
    <row r="14" spans="1:8" ht="26.1" customHeight="1">
      <c r="A14" s="274" t="s">
        <v>1064</v>
      </c>
      <c r="B14" s="275" t="s">
        <v>1057</v>
      </c>
      <c r="C14" s="276" t="s">
        <v>1058</v>
      </c>
      <c r="D14" s="276" t="s">
        <v>1059</v>
      </c>
      <c r="E14" s="276" t="s">
        <v>1060</v>
      </c>
      <c r="F14" s="277">
        <v>1</v>
      </c>
      <c r="G14" s="278">
        <v>5000</v>
      </c>
      <c r="H14" s="279">
        <v>5000</v>
      </c>
    </row>
    <row r="15" spans="1:8" ht="26.1" customHeight="1">
      <c r="A15" s="274" t="s">
        <v>1064</v>
      </c>
      <c r="B15" s="275" t="s">
        <v>1057</v>
      </c>
      <c r="C15" s="276" t="s">
        <v>1061</v>
      </c>
      <c r="D15" s="276" t="s">
        <v>1061</v>
      </c>
      <c r="E15" s="276" t="s">
        <v>1061</v>
      </c>
      <c r="F15" s="277">
        <v>1</v>
      </c>
      <c r="G15" s="278">
        <v>28451</v>
      </c>
      <c r="H15" s="279">
        <v>28451</v>
      </c>
    </row>
    <row r="16" spans="1:8" ht="26.1" customHeight="1">
      <c r="A16" s="285"/>
      <c r="B16" s="286"/>
      <c r="C16" s="281" t="s">
        <v>1024</v>
      </c>
      <c r="D16" s="285"/>
      <c r="E16" s="285"/>
      <c r="F16" s="285"/>
      <c r="G16" s="285"/>
      <c r="H16" s="286">
        <v>33451</v>
      </c>
    </row>
    <row r="17" spans="1:8" ht="26.1" customHeight="1">
      <c r="A17" s="287" t="s">
        <v>1065</v>
      </c>
      <c r="B17" s="275" t="s">
        <v>1057</v>
      </c>
      <c r="C17" s="276" t="s">
        <v>1058</v>
      </c>
      <c r="D17" s="276" t="s">
        <v>1059</v>
      </c>
      <c r="E17" s="276" t="s">
        <v>1060</v>
      </c>
      <c r="F17" s="288">
        <v>1</v>
      </c>
      <c r="G17" s="288">
        <v>5000</v>
      </c>
      <c r="H17" s="288">
        <v>5000</v>
      </c>
    </row>
    <row r="18" spans="1:8" ht="26.1" customHeight="1">
      <c r="A18" s="285"/>
      <c r="B18" s="286"/>
      <c r="C18" s="281" t="s">
        <v>594</v>
      </c>
      <c r="D18" s="285"/>
      <c r="E18" s="285"/>
      <c r="F18" s="286"/>
      <c r="G18" s="286"/>
      <c r="H18" s="286">
        <v>5000</v>
      </c>
    </row>
    <row r="19" spans="1:8" ht="26.1" customHeight="1">
      <c r="A19" s="287" t="s">
        <v>72</v>
      </c>
      <c r="B19" s="275" t="s">
        <v>1057</v>
      </c>
      <c r="C19" s="276" t="s">
        <v>1058</v>
      </c>
      <c r="D19" s="276" t="s">
        <v>1059</v>
      </c>
      <c r="E19" s="276" t="s">
        <v>1060</v>
      </c>
      <c r="F19" s="288">
        <v>1</v>
      </c>
      <c r="G19" s="288">
        <v>5000</v>
      </c>
      <c r="H19" s="288">
        <v>5000</v>
      </c>
    </row>
    <row r="20" spans="1:8" ht="26.1" customHeight="1">
      <c r="A20" s="285"/>
      <c r="B20" s="286"/>
      <c r="C20" s="281" t="s">
        <v>1066</v>
      </c>
      <c r="D20" s="285"/>
      <c r="E20" s="285"/>
      <c r="F20" s="286"/>
      <c r="G20" s="286"/>
      <c r="H20" s="286">
        <v>5000</v>
      </c>
    </row>
    <row r="21" spans="1:8" ht="26.1" customHeight="1">
      <c r="A21" s="287" t="s">
        <v>449</v>
      </c>
      <c r="B21" s="275" t="s">
        <v>1057</v>
      </c>
      <c r="C21" s="276" t="s">
        <v>1058</v>
      </c>
      <c r="D21" s="276" t="s">
        <v>1059</v>
      </c>
      <c r="E21" s="276" t="s">
        <v>1060</v>
      </c>
      <c r="F21" s="288">
        <v>1</v>
      </c>
      <c r="G21" s="288">
        <v>5000</v>
      </c>
      <c r="H21" s="288">
        <v>5000</v>
      </c>
    </row>
    <row r="22" spans="1:8" ht="26.1" customHeight="1">
      <c r="A22" s="285"/>
      <c r="B22" s="285"/>
      <c r="C22" s="281" t="s">
        <v>979</v>
      </c>
      <c r="D22" s="285"/>
      <c r="E22" s="285"/>
      <c r="F22" s="285"/>
      <c r="G22" s="285"/>
      <c r="H22" s="286">
        <v>5000</v>
      </c>
    </row>
    <row r="23" spans="1:8" ht="26.1" customHeight="1">
      <c r="A23" s="285"/>
      <c r="B23" s="285"/>
      <c r="C23" s="281" t="s">
        <v>802</v>
      </c>
      <c r="D23" s="285"/>
      <c r="E23" s="285"/>
      <c r="F23" s="285"/>
      <c r="G23" s="285"/>
      <c r="H23" s="286">
        <v>166881</v>
      </c>
    </row>
    <row r="24" spans="1:8" ht="24.95" customHeight="1"/>
    <row r="25" spans="1:8" ht="24.95" customHeight="1"/>
  </sheetData>
  <mergeCells count="1">
    <mergeCell ref="A1:H1"/>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sqref="A1:F1"/>
    </sheetView>
  </sheetViews>
  <sheetFormatPr defaultRowHeight="13.5"/>
  <cols>
    <col min="1" max="1" width="19.75" style="181" customWidth="1"/>
    <col min="2" max="2" width="13.75" style="181" customWidth="1"/>
    <col min="3" max="3" width="32.375" style="181" customWidth="1"/>
    <col min="4" max="4" width="9" style="181"/>
    <col min="5" max="5" width="12.625" style="181" customWidth="1"/>
    <col min="6" max="6" width="14.625" style="181" customWidth="1"/>
    <col min="7" max="16384" width="9" style="181"/>
  </cols>
  <sheetData>
    <row r="1" spans="1:6" ht="20.25">
      <c r="A1" s="1409" t="s">
        <v>1825</v>
      </c>
      <c r="B1" s="1409"/>
      <c r="C1" s="1409"/>
      <c r="D1" s="1409"/>
      <c r="E1" s="1409"/>
      <c r="F1" s="1409"/>
    </row>
    <row r="2" spans="1:6" s="216" customFormat="1" ht="15" customHeight="1">
      <c r="A2" s="289" t="s">
        <v>596</v>
      </c>
      <c r="B2" s="289" t="s">
        <v>1056</v>
      </c>
      <c r="C2" s="289" t="s">
        <v>180</v>
      </c>
      <c r="D2" s="289" t="s">
        <v>578</v>
      </c>
      <c r="E2" s="290" t="s">
        <v>579</v>
      </c>
      <c r="F2" s="290" t="s">
        <v>1067</v>
      </c>
    </row>
    <row r="3" spans="1:6" ht="15" customHeight="1">
      <c r="A3" s="291" t="s">
        <v>1068</v>
      </c>
      <c r="B3" s="291" t="s">
        <v>1069</v>
      </c>
      <c r="C3" s="292" t="s">
        <v>1070</v>
      </c>
      <c r="D3" s="293">
        <v>1</v>
      </c>
      <c r="E3" s="279">
        <v>60000</v>
      </c>
      <c r="F3" s="279">
        <v>60000</v>
      </c>
    </row>
    <row r="4" spans="1:6" ht="15" customHeight="1">
      <c r="A4" s="291" t="s">
        <v>1068</v>
      </c>
      <c r="B4" s="291" t="s">
        <v>1069</v>
      </c>
      <c r="C4" s="292" t="s">
        <v>1071</v>
      </c>
      <c r="D4" s="293">
        <v>1</v>
      </c>
      <c r="E4" s="279">
        <v>20000</v>
      </c>
      <c r="F4" s="279">
        <v>20000</v>
      </c>
    </row>
    <row r="5" spans="1:6" ht="15" customHeight="1">
      <c r="A5" s="291" t="s">
        <v>1072</v>
      </c>
      <c r="B5" s="291" t="s">
        <v>1069</v>
      </c>
      <c r="C5" s="292" t="s">
        <v>1070</v>
      </c>
      <c r="D5" s="293">
        <v>1</v>
      </c>
      <c r="E5" s="279">
        <v>60000</v>
      </c>
      <c r="F5" s="279">
        <v>60000</v>
      </c>
    </row>
    <row r="6" spans="1:6" ht="15" customHeight="1">
      <c r="A6" s="291" t="s">
        <v>47</v>
      </c>
      <c r="B6" s="291" t="s">
        <v>1057</v>
      </c>
      <c r="C6" s="292" t="s">
        <v>1073</v>
      </c>
      <c r="D6" s="293">
        <v>1</v>
      </c>
      <c r="E6" s="279">
        <v>20000</v>
      </c>
      <c r="F6" s="279">
        <v>20000</v>
      </c>
    </row>
    <row r="7" spans="1:6" ht="15" customHeight="1">
      <c r="A7" s="294" t="s">
        <v>44</v>
      </c>
      <c r="B7" s="291" t="s">
        <v>1057</v>
      </c>
      <c r="C7" s="292" t="s">
        <v>1074</v>
      </c>
      <c r="D7" s="293">
        <v>1</v>
      </c>
      <c r="E7" s="279">
        <v>20000</v>
      </c>
      <c r="F7" s="279">
        <v>20000</v>
      </c>
    </row>
    <row r="8" spans="1:6" ht="15" customHeight="1">
      <c r="A8" s="294" t="s">
        <v>44</v>
      </c>
      <c r="B8" s="291" t="s">
        <v>1057</v>
      </c>
      <c r="C8" s="292" t="s">
        <v>1075</v>
      </c>
      <c r="D8" s="293">
        <v>1</v>
      </c>
      <c r="E8" s="279">
        <v>10000</v>
      </c>
      <c r="F8" s="279">
        <v>10000</v>
      </c>
    </row>
    <row r="9" spans="1:6" ht="15" customHeight="1">
      <c r="A9" s="295" t="s">
        <v>44</v>
      </c>
      <c r="B9" s="291" t="s">
        <v>1057</v>
      </c>
      <c r="C9" s="292" t="s">
        <v>1071</v>
      </c>
      <c r="D9" s="293">
        <v>2</v>
      </c>
      <c r="E9" s="279">
        <v>20000</v>
      </c>
      <c r="F9" s="279">
        <v>40000</v>
      </c>
    </row>
    <row r="10" spans="1:6" ht="15" customHeight="1">
      <c r="A10" s="294" t="s">
        <v>1076</v>
      </c>
      <c r="B10" s="291" t="s">
        <v>1057</v>
      </c>
      <c r="C10" s="292" t="s">
        <v>1077</v>
      </c>
      <c r="D10" s="293">
        <v>1</v>
      </c>
      <c r="E10" s="279">
        <v>30000</v>
      </c>
      <c r="F10" s="279">
        <v>30000</v>
      </c>
    </row>
    <row r="11" spans="1:6" ht="15" customHeight="1">
      <c r="A11" s="295" t="s">
        <v>1078</v>
      </c>
      <c r="B11" s="291" t="s">
        <v>1057</v>
      </c>
      <c r="C11" s="292" t="s">
        <v>1071</v>
      </c>
      <c r="D11" s="293">
        <v>3</v>
      </c>
      <c r="E11" s="279">
        <v>20000</v>
      </c>
      <c r="F11" s="279">
        <v>60000</v>
      </c>
    </row>
    <row r="12" spans="1:6" ht="15" customHeight="1">
      <c r="A12" s="295" t="s">
        <v>40</v>
      </c>
      <c r="B12" s="291" t="s">
        <v>1057</v>
      </c>
      <c r="C12" s="292" t="s">
        <v>1075</v>
      </c>
      <c r="D12" s="293">
        <v>1</v>
      </c>
      <c r="E12" s="279">
        <v>10000</v>
      </c>
      <c r="F12" s="279">
        <v>10000</v>
      </c>
    </row>
    <row r="13" spans="1:6" ht="15" customHeight="1">
      <c r="A13" s="296"/>
      <c r="B13" s="296"/>
      <c r="C13" s="297" t="s">
        <v>592</v>
      </c>
      <c r="D13" s="298"/>
      <c r="E13" s="273"/>
      <c r="F13" s="273">
        <v>330000</v>
      </c>
    </row>
    <row r="14" spans="1:6" ht="15" customHeight="1">
      <c r="A14" s="291" t="s">
        <v>108</v>
      </c>
      <c r="B14" s="291" t="s">
        <v>1057</v>
      </c>
      <c r="C14" s="292" t="s">
        <v>1070</v>
      </c>
      <c r="D14" s="293">
        <v>1</v>
      </c>
      <c r="E14" s="279">
        <v>60000</v>
      </c>
      <c r="F14" s="279">
        <v>60000</v>
      </c>
    </row>
    <row r="15" spans="1:6" ht="15" customHeight="1">
      <c r="A15" s="295" t="s">
        <v>108</v>
      </c>
      <c r="B15" s="291" t="s">
        <v>1057</v>
      </c>
      <c r="C15" s="292" t="s">
        <v>1071</v>
      </c>
      <c r="D15" s="299">
        <v>1</v>
      </c>
      <c r="E15" s="299">
        <v>20000</v>
      </c>
      <c r="F15" s="279">
        <v>20000</v>
      </c>
    </row>
    <row r="16" spans="1:6" ht="15" customHeight="1">
      <c r="A16" s="295" t="s">
        <v>108</v>
      </c>
      <c r="B16" s="291" t="s">
        <v>1057</v>
      </c>
      <c r="C16" s="292" t="s">
        <v>1079</v>
      </c>
      <c r="D16" s="299">
        <v>2</v>
      </c>
      <c r="E16" s="299">
        <v>20000</v>
      </c>
      <c r="F16" s="279">
        <v>40000</v>
      </c>
    </row>
    <row r="17" spans="1:6" ht="15" customHeight="1">
      <c r="A17" s="300" t="s">
        <v>469</v>
      </c>
      <c r="B17" s="291" t="s">
        <v>1057</v>
      </c>
      <c r="C17" s="292" t="s">
        <v>1074</v>
      </c>
      <c r="D17" s="293">
        <v>1</v>
      </c>
      <c r="E17" s="279">
        <v>20000</v>
      </c>
      <c r="F17" s="279">
        <v>20000</v>
      </c>
    </row>
    <row r="18" spans="1:6" ht="15" customHeight="1">
      <c r="A18" s="295" t="s">
        <v>104</v>
      </c>
      <c r="B18" s="291" t="s">
        <v>1057</v>
      </c>
      <c r="C18" s="292" t="s">
        <v>1079</v>
      </c>
      <c r="D18" s="299">
        <v>1</v>
      </c>
      <c r="E18" s="299">
        <v>20000</v>
      </c>
      <c r="F18" s="279">
        <v>20000</v>
      </c>
    </row>
    <row r="19" spans="1:6" ht="15" customHeight="1">
      <c r="A19" s="296"/>
      <c r="B19" s="296"/>
      <c r="C19" s="297" t="s">
        <v>1055</v>
      </c>
      <c r="D19" s="298"/>
      <c r="E19" s="273"/>
      <c r="F19" s="273">
        <v>160000</v>
      </c>
    </row>
    <row r="20" spans="1:6" ht="15" customHeight="1">
      <c r="A20" s="295" t="s">
        <v>122</v>
      </c>
      <c r="B20" s="295" t="s">
        <v>1069</v>
      </c>
      <c r="C20" s="292" t="s">
        <v>1071</v>
      </c>
      <c r="D20" s="299">
        <v>1</v>
      </c>
      <c r="E20" s="299">
        <v>20000</v>
      </c>
      <c r="F20" s="299">
        <v>20000</v>
      </c>
    </row>
    <row r="21" spans="1:6" ht="15" customHeight="1">
      <c r="A21" s="295" t="s">
        <v>123</v>
      </c>
      <c r="B21" s="295" t="s">
        <v>1069</v>
      </c>
      <c r="C21" s="292" t="s">
        <v>1079</v>
      </c>
      <c r="D21" s="299">
        <v>1</v>
      </c>
      <c r="E21" s="299">
        <v>20000</v>
      </c>
      <c r="F21" s="299">
        <v>20000</v>
      </c>
    </row>
    <row r="22" spans="1:6" ht="15" customHeight="1">
      <c r="A22" s="301"/>
      <c r="B22" s="301"/>
      <c r="C22" s="297" t="s">
        <v>979</v>
      </c>
      <c r="D22" s="301"/>
      <c r="E22" s="301"/>
      <c r="F22" s="301">
        <v>40000</v>
      </c>
    </row>
    <row r="23" spans="1:6" ht="15" customHeight="1">
      <c r="A23" s="295" t="s">
        <v>1080</v>
      </c>
      <c r="B23" s="295" t="s">
        <v>1057</v>
      </c>
      <c r="C23" s="292" t="s">
        <v>1071</v>
      </c>
      <c r="D23" s="299">
        <v>1</v>
      </c>
      <c r="E23" s="299">
        <v>20000</v>
      </c>
      <c r="F23" s="299">
        <v>20000</v>
      </c>
    </row>
    <row r="24" spans="1:6" ht="15" customHeight="1">
      <c r="A24" s="295" t="s">
        <v>1080</v>
      </c>
      <c r="B24" s="295" t="s">
        <v>1057</v>
      </c>
      <c r="C24" s="292" t="s">
        <v>1075</v>
      </c>
      <c r="D24" s="293">
        <v>1</v>
      </c>
      <c r="E24" s="279">
        <v>10000</v>
      </c>
      <c r="F24" s="279">
        <v>10000</v>
      </c>
    </row>
    <row r="25" spans="1:6" ht="15" customHeight="1">
      <c r="A25" s="301"/>
      <c r="B25" s="301"/>
      <c r="C25" s="297" t="s">
        <v>594</v>
      </c>
      <c r="D25" s="301"/>
      <c r="E25" s="301"/>
      <c r="F25" s="301">
        <v>30000</v>
      </c>
    </row>
    <row r="26" spans="1:6" ht="15" customHeight="1">
      <c r="A26" s="295" t="s">
        <v>982</v>
      </c>
      <c r="B26" s="295" t="s">
        <v>1057</v>
      </c>
      <c r="C26" s="292" t="s">
        <v>1079</v>
      </c>
      <c r="D26" s="299">
        <v>1</v>
      </c>
      <c r="E26" s="299">
        <v>20000</v>
      </c>
      <c r="F26" s="299">
        <v>20000</v>
      </c>
    </row>
    <row r="27" spans="1:6" ht="15" customHeight="1">
      <c r="A27" s="301"/>
      <c r="B27" s="301"/>
      <c r="C27" s="297" t="s">
        <v>987</v>
      </c>
      <c r="D27" s="301"/>
      <c r="E27" s="301"/>
      <c r="F27" s="301">
        <v>20000</v>
      </c>
    </row>
    <row r="28" spans="1:6" ht="15" customHeight="1">
      <c r="A28" s="299" t="s">
        <v>438</v>
      </c>
      <c r="B28" s="299" t="s">
        <v>1069</v>
      </c>
      <c r="C28" s="292" t="s">
        <v>1075</v>
      </c>
      <c r="D28" s="293">
        <v>1</v>
      </c>
      <c r="E28" s="279">
        <v>10000</v>
      </c>
      <c r="F28" s="279">
        <v>10000</v>
      </c>
    </row>
    <row r="29" spans="1:6" ht="15" customHeight="1">
      <c r="A29" s="301"/>
      <c r="B29" s="301"/>
      <c r="C29" s="297" t="s">
        <v>589</v>
      </c>
      <c r="D29" s="301"/>
      <c r="E29" s="301"/>
      <c r="F29" s="301">
        <v>10000</v>
      </c>
    </row>
    <row r="30" spans="1:6" ht="15" customHeight="1">
      <c r="A30" s="301"/>
      <c r="B30" s="301"/>
      <c r="C30" s="297" t="s">
        <v>802</v>
      </c>
      <c r="D30" s="301"/>
      <c r="E30" s="301"/>
      <c r="F30" s="301">
        <v>590000</v>
      </c>
    </row>
    <row r="31" spans="1:6" ht="15" customHeight="1"/>
  </sheetData>
  <mergeCells count="1">
    <mergeCell ref="A1:F1"/>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22" workbookViewId="0">
      <selection activeCell="J40" activeCellId="3" sqref="J8 J13 J34 J40"/>
    </sheetView>
  </sheetViews>
  <sheetFormatPr defaultRowHeight="13.5"/>
  <cols>
    <col min="1" max="1" width="5.625" style="303" customWidth="1"/>
    <col min="2" max="2" width="11.25" style="303" customWidth="1"/>
    <col min="3" max="3" width="11.75" style="303" customWidth="1"/>
    <col min="4" max="4" width="9" style="303"/>
    <col min="5" max="5" width="24.875" style="302" customWidth="1"/>
    <col min="6" max="6" width="8.875" style="303" customWidth="1"/>
    <col min="7" max="7" width="8.125" style="303" customWidth="1"/>
    <col min="8" max="8" width="11.125" style="303" customWidth="1"/>
    <col min="9" max="9" width="11.875" style="303" customWidth="1"/>
    <col min="10" max="10" width="8.75" style="302" customWidth="1"/>
    <col min="11" max="11" width="41.625" style="302" hidden="1" customWidth="1"/>
    <col min="12" max="16384" width="9" style="303"/>
  </cols>
  <sheetData>
    <row r="1" spans="1:11" ht="35.1" customHeight="1">
      <c r="A1" s="1422" t="s">
        <v>1084</v>
      </c>
      <c r="B1" s="1422"/>
      <c r="C1" s="1422"/>
      <c r="D1" s="1422"/>
      <c r="E1" s="1422"/>
      <c r="F1" s="1422"/>
      <c r="G1" s="1422"/>
      <c r="H1" s="1422"/>
      <c r="I1" s="1422"/>
      <c r="J1" s="1422"/>
    </row>
    <row r="2" spans="1:11" s="309" customFormat="1" ht="20.100000000000001" customHeight="1">
      <c r="A2" s="304" t="s">
        <v>0</v>
      </c>
      <c r="B2" s="304" t="s">
        <v>1085</v>
      </c>
      <c r="C2" s="304" t="s">
        <v>1086</v>
      </c>
      <c r="D2" s="304" t="s">
        <v>1087</v>
      </c>
      <c r="E2" s="305" t="s">
        <v>1088</v>
      </c>
      <c r="F2" s="304" t="s">
        <v>129</v>
      </c>
      <c r="G2" s="304" t="s">
        <v>1089</v>
      </c>
      <c r="H2" s="304" t="s">
        <v>1090</v>
      </c>
      <c r="I2" s="306" t="s">
        <v>1091</v>
      </c>
      <c r="J2" s="307" t="s">
        <v>1393</v>
      </c>
      <c r="K2" s="308" t="s">
        <v>1394</v>
      </c>
    </row>
    <row r="3" spans="1:11" s="309" customFormat="1" ht="20.100000000000001" customHeight="1">
      <c r="A3" s="1423">
        <v>1</v>
      </c>
      <c r="B3" s="1423" t="s">
        <v>1397</v>
      </c>
      <c r="C3" s="1423" t="s">
        <v>1398</v>
      </c>
      <c r="D3" s="310" t="s">
        <v>1399</v>
      </c>
      <c r="E3" s="310" t="s">
        <v>1400</v>
      </c>
      <c r="F3" s="310" t="s">
        <v>1093</v>
      </c>
      <c r="G3" s="310">
        <v>310</v>
      </c>
      <c r="H3" s="310">
        <v>400</v>
      </c>
      <c r="I3" s="311">
        <f>G3*H3</f>
        <v>124000</v>
      </c>
      <c r="J3" s="305">
        <f>ROUND(I3*0.95,0)</f>
        <v>117800</v>
      </c>
      <c r="K3" s="308" t="s">
        <v>1401</v>
      </c>
    </row>
    <row r="4" spans="1:11" s="309" customFormat="1" ht="20.100000000000001" customHeight="1">
      <c r="A4" s="1424"/>
      <c r="B4" s="1424"/>
      <c r="C4" s="1424"/>
      <c r="D4" s="310" t="s">
        <v>1094</v>
      </c>
      <c r="E4" s="310" t="s">
        <v>1095</v>
      </c>
      <c r="F4" s="310" t="s">
        <v>1096</v>
      </c>
      <c r="G4" s="310">
        <v>9</v>
      </c>
      <c r="H4" s="310">
        <v>50000</v>
      </c>
      <c r="I4" s="311">
        <f>G4*H4</f>
        <v>450000</v>
      </c>
      <c r="J4" s="305">
        <f t="shared" ref="J4:J41" si="0">ROUND(I4*0.95,0)</f>
        <v>427500</v>
      </c>
      <c r="K4" s="308" t="s">
        <v>1402</v>
      </c>
    </row>
    <row r="5" spans="1:11" s="314" customFormat="1" ht="20.100000000000001" customHeight="1">
      <c r="A5" s="1424"/>
      <c r="B5" s="1424"/>
      <c r="C5" s="1424"/>
      <c r="D5" s="310"/>
      <c r="E5" s="310" t="s">
        <v>1097</v>
      </c>
      <c r="F5" s="310"/>
      <c r="G5" s="310"/>
      <c r="H5" s="311"/>
      <c r="I5" s="312">
        <f>SUM(I3:I4)</f>
        <v>574000</v>
      </c>
      <c r="J5" s="305">
        <f t="shared" si="0"/>
        <v>545300</v>
      </c>
      <c r="K5" s="313"/>
    </row>
    <row r="6" spans="1:11" s="314" customFormat="1" ht="20.100000000000001" customHeight="1">
      <c r="A6" s="1424"/>
      <c r="B6" s="1424"/>
      <c r="C6" s="1424"/>
      <c r="D6" s="310"/>
      <c r="E6" s="310" t="s">
        <v>1403</v>
      </c>
      <c r="F6" s="310"/>
      <c r="G6" s="310"/>
      <c r="H6" s="315"/>
      <c r="I6" s="312">
        <f>I5*0.1</f>
        <v>57400</v>
      </c>
      <c r="J6" s="305">
        <f t="shared" si="0"/>
        <v>54530</v>
      </c>
      <c r="K6" s="313"/>
    </row>
    <row r="7" spans="1:11" s="314" customFormat="1" ht="20.100000000000001" customHeight="1">
      <c r="A7" s="1424"/>
      <c r="B7" s="1424"/>
      <c r="C7" s="1424"/>
      <c r="D7" s="310"/>
      <c r="E7" s="310" t="s">
        <v>1404</v>
      </c>
      <c r="F7" s="310"/>
      <c r="G7" s="310"/>
      <c r="H7" s="311"/>
      <c r="I7" s="312">
        <f>(I5+I6)*0.05</f>
        <v>31570</v>
      </c>
      <c r="J7" s="305">
        <f t="shared" si="0"/>
        <v>29992</v>
      </c>
      <c r="K7" s="313"/>
    </row>
    <row r="8" spans="1:11" s="309" customFormat="1" ht="20.100000000000001" customHeight="1">
      <c r="A8" s="1425"/>
      <c r="B8" s="1425"/>
      <c r="C8" s="1425"/>
      <c r="D8" s="316"/>
      <c r="E8" s="308" t="s">
        <v>1405</v>
      </c>
      <c r="F8" s="310"/>
      <c r="G8" s="310"/>
      <c r="H8" s="310"/>
      <c r="I8" s="306">
        <f>ROUNDUP(I5+I6+I7,0)</f>
        <v>662970</v>
      </c>
      <c r="J8" s="305">
        <v>629821</v>
      </c>
      <c r="K8" s="308"/>
    </row>
    <row r="9" spans="1:11" s="309" customFormat="1" ht="20.100000000000001" customHeight="1">
      <c r="A9" s="1423">
        <v>2</v>
      </c>
      <c r="B9" s="1423" t="s">
        <v>1406</v>
      </c>
      <c r="C9" s="1423" t="s">
        <v>1407</v>
      </c>
      <c r="D9" s="1423" t="s">
        <v>1419</v>
      </c>
      <c r="E9" s="310" t="s">
        <v>1420</v>
      </c>
      <c r="F9" s="310" t="s">
        <v>1093</v>
      </c>
      <c r="G9" s="310">
        <v>132</v>
      </c>
      <c r="H9" s="310">
        <v>1145</v>
      </c>
      <c r="I9" s="311">
        <f t="shared" ref="I9" si="1">G9*H9</f>
        <v>151140</v>
      </c>
      <c r="J9" s="305">
        <f t="shared" si="0"/>
        <v>143583</v>
      </c>
      <c r="K9" s="308" t="s">
        <v>1421</v>
      </c>
    </row>
    <row r="10" spans="1:11" s="309" customFormat="1" ht="20.100000000000001" customHeight="1">
      <c r="A10" s="1424"/>
      <c r="B10" s="1424"/>
      <c r="C10" s="1424"/>
      <c r="D10" s="1424"/>
      <c r="E10" s="310" t="s">
        <v>1097</v>
      </c>
      <c r="F10" s="310"/>
      <c r="G10" s="310"/>
      <c r="H10" s="311"/>
      <c r="I10" s="312">
        <f>SUM(I9)</f>
        <v>151140</v>
      </c>
      <c r="J10" s="305">
        <f t="shared" si="0"/>
        <v>143583</v>
      </c>
      <c r="K10" s="305" t="s">
        <v>1422</v>
      </c>
    </row>
    <row r="11" spans="1:11" s="314" customFormat="1" ht="20.100000000000001" customHeight="1">
      <c r="A11" s="1424"/>
      <c r="B11" s="1424"/>
      <c r="C11" s="1424"/>
      <c r="D11" s="1424"/>
      <c r="E11" s="310" t="s">
        <v>1403</v>
      </c>
      <c r="F11" s="310"/>
      <c r="G11" s="310"/>
      <c r="H11" s="315"/>
      <c r="I11" s="312">
        <f>I10*0.1</f>
        <v>15114</v>
      </c>
      <c r="J11" s="305">
        <f t="shared" si="0"/>
        <v>14358</v>
      </c>
      <c r="K11" s="313"/>
    </row>
    <row r="12" spans="1:11" s="314" customFormat="1" ht="20.100000000000001" customHeight="1">
      <c r="A12" s="1424"/>
      <c r="B12" s="1424"/>
      <c r="C12" s="1424"/>
      <c r="D12" s="1425"/>
      <c r="E12" s="310" t="s">
        <v>1404</v>
      </c>
      <c r="F12" s="310"/>
      <c r="G12" s="310"/>
      <c r="H12" s="311"/>
      <c r="I12" s="312">
        <f>(I10+I11)*0.05</f>
        <v>8312.7000000000007</v>
      </c>
      <c r="J12" s="305">
        <f t="shared" si="0"/>
        <v>7897</v>
      </c>
      <c r="K12" s="313"/>
    </row>
    <row r="13" spans="1:11" s="309" customFormat="1" ht="20.100000000000001" customHeight="1">
      <c r="A13" s="1425"/>
      <c r="B13" s="1425"/>
      <c r="C13" s="1425"/>
      <c r="D13" s="316"/>
      <c r="E13" s="308" t="s">
        <v>1405</v>
      </c>
      <c r="F13" s="310"/>
      <c r="G13" s="310"/>
      <c r="H13" s="310"/>
      <c r="I13" s="306">
        <f>ROUNDUP(I10+I11+I12,0)</f>
        <v>174567</v>
      </c>
      <c r="J13" s="305">
        <v>165838</v>
      </c>
      <c r="K13" s="308"/>
    </row>
    <row r="14" spans="1:11" s="309" customFormat="1" ht="20.100000000000001" customHeight="1">
      <c r="A14" s="1410">
        <v>3</v>
      </c>
      <c r="B14" s="1416" t="s">
        <v>1423</v>
      </c>
      <c r="C14" s="1417" t="s">
        <v>1424</v>
      </c>
      <c r="D14" s="305" t="s">
        <v>1425</v>
      </c>
      <c r="E14" s="305" t="s">
        <v>1426</v>
      </c>
      <c r="F14" s="310" t="s">
        <v>1093</v>
      </c>
      <c r="G14" s="304">
        <v>120</v>
      </c>
      <c r="H14" s="304">
        <v>1200</v>
      </c>
      <c r="I14" s="304">
        <f>G14*H14</f>
        <v>144000</v>
      </c>
      <c r="J14" s="305">
        <f t="shared" si="0"/>
        <v>136800</v>
      </c>
      <c r="K14" s="317"/>
    </row>
    <row r="15" spans="1:11" s="309" customFormat="1" ht="20.100000000000001" customHeight="1">
      <c r="A15" s="1410"/>
      <c r="B15" s="1416"/>
      <c r="C15" s="1418"/>
      <c r="D15" s="1412" t="s">
        <v>1427</v>
      </c>
      <c r="E15" s="308" t="s">
        <v>1428</v>
      </c>
      <c r="F15" s="310" t="s">
        <v>1093</v>
      </c>
      <c r="G15" s="316">
        <v>85</v>
      </c>
      <c r="H15" s="316">
        <v>1200</v>
      </c>
      <c r="I15" s="304">
        <f t="shared" ref="I15:I29" si="2">G15*H15</f>
        <v>102000</v>
      </c>
      <c r="J15" s="305">
        <f t="shared" si="0"/>
        <v>96900</v>
      </c>
      <c r="K15" s="318"/>
    </row>
    <row r="16" spans="1:11" s="309" customFormat="1" ht="20.100000000000001" customHeight="1">
      <c r="A16" s="1410"/>
      <c r="B16" s="1416"/>
      <c r="C16" s="1418"/>
      <c r="D16" s="1413"/>
      <c r="E16" s="308" t="s">
        <v>1429</v>
      </c>
      <c r="F16" s="310" t="s">
        <v>1093</v>
      </c>
      <c r="G16" s="316">
        <v>150</v>
      </c>
      <c r="H16" s="316">
        <v>1200</v>
      </c>
      <c r="I16" s="304">
        <f t="shared" si="2"/>
        <v>180000</v>
      </c>
      <c r="J16" s="305">
        <f t="shared" si="0"/>
        <v>171000</v>
      </c>
      <c r="K16" s="318"/>
    </row>
    <row r="17" spans="1:11" s="309" customFormat="1" ht="20.100000000000001" customHeight="1">
      <c r="A17" s="1410"/>
      <c r="B17" s="1416"/>
      <c r="C17" s="1418"/>
      <c r="D17" s="1413"/>
      <c r="E17" s="308" t="s">
        <v>1430</v>
      </c>
      <c r="F17" s="310" t="s">
        <v>1093</v>
      </c>
      <c r="G17" s="316">
        <v>1000</v>
      </c>
      <c r="H17" s="316">
        <v>45</v>
      </c>
      <c r="I17" s="304">
        <f t="shared" si="2"/>
        <v>45000</v>
      </c>
      <c r="J17" s="305">
        <f t="shared" si="0"/>
        <v>42750</v>
      </c>
      <c r="K17" s="318"/>
    </row>
    <row r="18" spans="1:11" s="309" customFormat="1" ht="20.100000000000001" customHeight="1">
      <c r="A18" s="1410"/>
      <c r="B18" s="1416"/>
      <c r="C18" s="1418"/>
      <c r="D18" s="1413"/>
      <c r="E18" s="308" t="s">
        <v>1431</v>
      </c>
      <c r="F18" s="310" t="s">
        <v>1093</v>
      </c>
      <c r="G18" s="316">
        <v>500</v>
      </c>
      <c r="H18" s="316">
        <v>250</v>
      </c>
      <c r="I18" s="304">
        <f t="shared" si="2"/>
        <v>125000</v>
      </c>
      <c r="J18" s="305">
        <f t="shared" si="0"/>
        <v>118750</v>
      </c>
      <c r="K18" s="318"/>
    </row>
    <row r="19" spans="1:11" s="309" customFormat="1" ht="20.100000000000001" customHeight="1">
      <c r="A19" s="1410"/>
      <c r="B19" s="1416"/>
      <c r="C19" s="1418"/>
      <c r="D19" s="1413"/>
      <c r="E19" s="308" t="s">
        <v>1432</v>
      </c>
      <c r="F19" s="310" t="s">
        <v>1093</v>
      </c>
      <c r="G19" s="316">
        <v>300</v>
      </c>
      <c r="H19" s="316">
        <v>130</v>
      </c>
      <c r="I19" s="304">
        <f t="shared" si="2"/>
        <v>39000</v>
      </c>
      <c r="J19" s="305">
        <f t="shared" si="0"/>
        <v>37050</v>
      </c>
      <c r="K19" s="318"/>
    </row>
    <row r="20" spans="1:11" s="309" customFormat="1" ht="20.100000000000001" customHeight="1">
      <c r="A20" s="1410"/>
      <c r="B20" s="1416"/>
      <c r="C20" s="1418"/>
      <c r="D20" s="1413"/>
      <c r="E20" s="308" t="s">
        <v>1433</v>
      </c>
      <c r="F20" s="310" t="s">
        <v>1093</v>
      </c>
      <c r="G20" s="316">
        <v>144</v>
      </c>
      <c r="H20" s="316">
        <v>200</v>
      </c>
      <c r="I20" s="304">
        <f t="shared" si="2"/>
        <v>28800</v>
      </c>
      <c r="J20" s="305">
        <f t="shared" si="0"/>
        <v>27360</v>
      </c>
      <c r="K20" s="318"/>
    </row>
    <row r="21" spans="1:11" s="309" customFormat="1" ht="20.100000000000001" customHeight="1">
      <c r="A21" s="1410"/>
      <c r="B21" s="1416"/>
      <c r="C21" s="1418"/>
      <c r="D21" s="1413"/>
      <c r="E21" s="308" t="s">
        <v>1434</v>
      </c>
      <c r="F21" s="310" t="s">
        <v>1093</v>
      </c>
      <c r="G21" s="316">
        <v>50</v>
      </c>
      <c r="H21" s="316">
        <v>2000</v>
      </c>
      <c r="I21" s="304">
        <f t="shared" si="2"/>
        <v>100000</v>
      </c>
      <c r="J21" s="305">
        <f t="shared" si="0"/>
        <v>95000</v>
      </c>
      <c r="K21" s="318"/>
    </row>
    <row r="22" spans="1:11" s="309" customFormat="1" ht="20.100000000000001" customHeight="1">
      <c r="A22" s="1410"/>
      <c r="B22" s="1416"/>
      <c r="C22" s="1418"/>
      <c r="D22" s="1420" t="s">
        <v>1435</v>
      </c>
      <c r="E22" s="310" t="s">
        <v>1436</v>
      </c>
      <c r="F22" s="310" t="s">
        <v>1093</v>
      </c>
      <c r="G22" s="316">
        <v>800</v>
      </c>
      <c r="H22" s="316">
        <v>350</v>
      </c>
      <c r="I22" s="304">
        <f t="shared" si="2"/>
        <v>280000</v>
      </c>
      <c r="J22" s="305">
        <f t="shared" si="0"/>
        <v>266000</v>
      </c>
      <c r="K22" s="318"/>
    </row>
    <row r="23" spans="1:11" s="309" customFormat="1" ht="20.100000000000001" customHeight="1">
      <c r="A23" s="1410"/>
      <c r="B23" s="1416"/>
      <c r="C23" s="1418"/>
      <c r="D23" s="1407"/>
      <c r="E23" s="308" t="s">
        <v>1437</v>
      </c>
      <c r="F23" s="310" t="s">
        <v>1093</v>
      </c>
      <c r="G23" s="316">
        <f>G22</f>
        <v>800</v>
      </c>
      <c r="H23" s="316">
        <v>50</v>
      </c>
      <c r="I23" s="304">
        <f t="shared" si="2"/>
        <v>40000</v>
      </c>
      <c r="J23" s="305">
        <f t="shared" si="0"/>
        <v>38000</v>
      </c>
      <c r="K23" s="318"/>
    </row>
    <row r="24" spans="1:11" s="309" customFormat="1" ht="20.100000000000001" customHeight="1">
      <c r="A24" s="1410"/>
      <c r="B24" s="1416"/>
      <c r="C24" s="1418"/>
      <c r="D24" s="1420" t="s">
        <v>1438</v>
      </c>
      <c r="E24" s="308" t="s">
        <v>1439</v>
      </c>
      <c r="F24" s="310" t="s">
        <v>1093</v>
      </c>
      <c r="G24" s="316">
        <v>80</v>
      </c>
      <c r="H24" s="316">
        <v>400</v>
      </c>
      <c r="I24" s="304">
        <f t="shared" si="2"/>
        <v>32000</v>
      </c>
      <c r="J24" s="305">
        <f t="shared" si="0"/>
        <v>30400</v>
      </c>
      <c r="K24" s="318"/>
    </row>
    <row r="25" spans="1:11" s="309" customFormat="1" ht="20.100000000000001" customHeight="1">
      <c r="A25" s="1410"/>
      <c r="B25" s="1416"/>
      <c r="C25" s="1418"/>
      <c r="D25" s="1421"/>
      <c r="E25" s="310" t="s">
        <v>1440</v>
      </c>
      <c r="F25" s="310" t="s">
        <v>1093</v>
      </c>
      <c r="G25" s="316">
        <v>150</v>
      </c>
      <c r="H25" s="316">
        <v>300</v>
      </c>
      <c r="I25" s="304">
        <f t="shared" si="2"/>
        <v>45000</v>
      </c>
      <c r="J25" s="305">
        <f t="shared" si="0"/>
        <v>42750</v>
      </c>
      <c r="K25" s="318"/>
    </row>
    <row r="26" spans="1:11" s="309" customFormat="1" ht="20.100000000000001" customHeight="1">
      <c r="A26" s="1410"/>
      <c r="B26" s="1416"/>
      <c r="C26" s="1418"/>
      <c r="D26" s="1421"/>
      <c r="E26" s="310" t="s">
        <v>1102</v>
      </c>
      <c r="F26" s="310" t="s">
        <v>1093</v>
      </c>
      <c r="G26" s="316">
        <f>G25</f>
        <v>150</v>
      </c>
      <c r="H26" s="316">
        <v>30</v>
      </c>
      <c r="I26" s="304">
        <f t="shared" si="2"/>
        <v>4500</v>
      </c>
      <c r="J26" s="305">
        <f t="shared" si="0"/>
        <v>4275</v>
      </c>
      <c r="K26" s="318"/>
    </row>
    <row r="27" spans="1:11" s="309" customFormat="1" ht="20.100000000000001" customHeight="1">
      <c r="A27" s="1410"/>
      <c r="B27" s="1416"/>
      <c r="C27" s="1418"/>
      <c r="D27" s="1421"/>
      <c r="E27" s="308" t="s">
        <v>1441</v>
      </c>
      <c r="F27" s="310" t="s">
        <v>1093</v>
      </c>
      <c r="G27" s="316">
        <v>150</v>
      </c>
      <c r="H27" s="316">
        <v>300</v>
      </c>
      <c r="I27" s="304">
        <f t="shared" si="2"/>
        <v>45000</v>
      </c>
      <c r="J27" s="305">
        <f t="shared" si="0"/>
        <v>42750</v>
      </c>
      <c r="K27" s="318"/>
    </row>
    <row r="28" spans="1:11" s="309" customFormat="1" ht="20.100000000000001" customHeight="1">
      <c r="A28" s="1410"/>
      <c r="B28" s="1416"/>
      <c r="C28" s="1418"/>
      <c r="D28" s="1421"/>
      <c r="E28" s="308" t="s">
        <v>1442</v>
      </c>
      <c r="F28" s="310" t="s">
        <v>1093</v>
      </c>
      <c r="G28" s="316">
        <v>40</v>
      </c>
      <c r="H28" s="316">
        <v>350</v>
      </c>
      <c r="I28" s="304">
        <f t="shared" si="2"/>
        <v>14000</v>
      </c>
      <c r="J28" s="305">
        <f t="shared" si="0"/>
        <v>13300</v>
      </c>
      <c r="K28" s="318"/>
    </row>
    <row r="29" spans="1:11" s="309" customFormat="1" ht="20.100000000000001" customHeight="1">
      <c r="A29" s="1410"/>
      <c r="B29" s="1416"/>
      <c r="C29" s="1418"/>
      <c r="D29" s="1407"/>
      <c r="E29" s="308" t="s">
        <v>1443</v>
      </c>
      <c r="F29" s="310" t="s">
        <v>1444</v>
      </c>
      <c r="G29" s="316">
        <v>50</v>
      </c>
      <c r="H29" s="316">
        <v>570</v>
      </c>
      <c r="I29" s="304">
        <f t="shared" si="2"/>
        <v>28500</v>
      </c>
      <c r="J29" s="305">
        <f t="shared" si="0"/>
        <v>27075</v>
      </c>
      <c r="K29" s="318"/>
    </row>
    <row r="30" spans="1:11" s="314" customFormat="1" ht="20.100000000000001" customHeight="1">
      <c r="A30" s="1410"/>
      <c r="B30" s="1416"/>
      <c r="C30" s="1418"/>
      <c r="D30" s="310"/>
      <c r="E30" s="310" t="s">
        <v>1097</v>
      </c>
      <c r="F30" s="310"/>
      <c r="G30" s="310"/>
      <c r="H30" s="311"/>
      <c r="I30" s="312">
        <f>SUM(I14:I29)</f>
        <v>1252800</v>
      </c>
      <c r="J30" s="305">
        <f t="shared" si="0"/>
        <v>1190160</v>
      </c>
      <c r="K30" s="319"/>
    </row>
    <row r="31" spans="1:11" s="314" customFormat="1" ht="20.100000000000001" customHeight="1">
      <c r="A31" s="1410"/>
      <c r="B31" s="1416"/>
      <c r="C31" s="1418"/>
      <c r="D31" s="310"/>
      <c r="E31" s="310" t="s">
        <v>1403</v>
      </c>
      <c r="F31" s="310"/>
      <c r="G31" s="310"/>
      <c r="H31" s="315"/>
      <c r="I31" s="312">
        <f>I30*0.1</f>
        <v>125280</v>
      </c>
      <c r="J31" s="305">
        <f t="shared" si="0"/>
        <v>119016</v>
      </c>
      <c r="K31" s="319"/>
    </row>
    <row r="32" spans="1:11" s="314" customFormat="1" ht="20.100000000000001" customHeight="1">
      <c r="A32" s="1410"/>
      <c r="B32" s="1416"/>
      <c r="C32" s="1418"/>
      <c r="D32" s="310"/>
      <c r="E32" s="310" t="s">
        <v>1404</v>
      </c>
      <c r="F32" s="310"/>
      <c r="G32" s="310"/>
      <c r="H32" s="311"/>
      <c r="I32" s="312">
        <f>(I30+I31)*0.05</f>
        <v>68904</v>
      </c>
      <c r="J32" s="305">
        <f t="shared" si="0"/>
        <v>65459</v>
      </c>
      <c r="K32" s="319"/>
    </row>
    <row r="33" spans="1:11" s="309" customFormat="1" ht="20.100000000000001" customHeight="1">
      <c r="A33" s="1410"/>
      <c r="B33" s="1416"/>
      <c r="C33" s="1418"/>
      <c r="D33" s="310"/>
      <c r="E33" s="305" t="s">
        <v>1445</v>
      </c>
      <c r="F33" s="304" t="s">
        <v>582</v>
      </c>
      <c r="G33" s="316">
        <v>1</v>
      </c>
      <c r="H33" s="304">
        <v>30000</v>
      </c>
      <c r="I33" s="306">
        <f>G33*H33</f>
        <v>30000</v>
      </c>
      <c r="J33" s="305">
        <f t="shared" si="0"/>
        <v>28500</v>
      </c>
      <c r="K33" s="320"/>
    </row>
    <row r="34" spans="1:11" s="309" customFormat="1" ht="20.100000000000001" customHeight="1">
      <c r="A34" s="1410"/>
      <c r="B34" s="1416"/>
      <c r="C34" s="1419"/>
      <c r="D34" s="305"/>
      <c r="E34" s="305" t="s">
        <v>1405</v>
      </c>
      <c r="F34" s="305"/>
      <c r="G34" s="304"/>
      <c r="H34" s="304"/>
      <c r="I34" s="306">
        <f>ROUNDUP(I30+I31+I32+I33,0)</f>
        <v>1476984</v>
      </c>
      <c r="J34" s="305">
        <f t="shared" si="0"/>
        <v>1403135</v>
      </c>
      <c r="K34" s="320"/>
    </row>
    <row r="35" spans="1:11" s="309" customFormat="1" ht="20.100000000000001" customHeight="1">
      <c r="A35" s="1410">
        <v>4</v>
      </c>
      <c r="B35" s="1412" t="s">
        <v>1446</v>
      </c>
      <c r="C35" s="1414" t="s">
        <v>1447</v>
      </c>
      <c r="D35" s="321" t="s">
        <v>1105</v>
      </c>
      <c r="E35" s="321" t="s">
        <v>1106</v>
      </c>
      <c r="F35" s="310" t="s">
        <v>1448</v>
      </c>
      <c r="G35" s="322">
        <v>1</v>
      </c>
      <c r="H35" s="322">
        <v>60000</v>
      </c>
      <c r="I35" s="323">
        <f t="shared" ref="I35" si="3">G35*H35</f>
        <v>60000</v>
      </c>
      <c r="J35" s="305">
        <f t="shared" si="0"/>
        <v>57000</v>
      </c>
      <c r="K35" s="308" t="s">
        <v>1449</v>
      </c>
    </row>
    <row r="36" spans="1:11" s="309" customFormat="1" ht="20.100000000000001" customHeight="1">
      <c r="A36" s="1410"/>
      <c r="B36" s="1413"/>
      <c r="C36" s="1415"/>
      <c r="D36" s="321" t="s">
        <v>1108</v>
      </c>
      <c r="E36" s="321" t="s">
        <v>1109</v>
      </c>
      <c r="F36" s="321" t="s">
        <v>1450</v>
      </c>
      <c r="G36" s="322">
        <v>250</v>
      </c>
      <c r="H36" s="322">
        <v>200</v>
      </c>
      <c r="I36" s="323">
        <f>G36*H36</f>
        <v>50000</v>
      </c>
      <c r="J36" s="305">
        <f t="shared" si="0"/>
        <v>47500</v>
      </c>
      <c r="K36" s="308" t="s">
        <v>1451</v>
      </c>
    </row>
    <row r="37" spans="1:11" s="314" customFormat="1" ht="20.100000000000001" customHeight="1">
      <c r="A37" s="1410"/>
      <c r="B37" s="1413"/>
      <c r="C37" s="1415"/>
      <c r="D37" s="310"/>
      <c r="E37" s="310" t="s">
        <v>1097</v>
      </c>
      <c r="F37" s="310"/>
      <c r="G37" s="310"/>
      <c r="H37" s="311"/>
      <c r="I37" s="312">
        <f>SUM(I35:I36)</f>
        <v>110000</v>
      </c>
      <c r="J37" s="305">
        <f t="shared" si="0"/>
        <v>104500</v>
      </c>
      <c r="K37" s="313"/>
    </row>
    <row r="38" spans="1:11" s="314" customFormat="1" ht="20.100000000000001" customHeight="1">
      <c r="A38" s="1410"/>
      <c r="B38" s="1413"/>
      <c r="C38" s="1415"/>
      <c r="D38" s="310"/>
      <c r="E38" s="310" t="s">
        <v>1403</v>
      </c>
      <c r="F38" s="310"/>
      <c r="G38" s="310"/>
      <c r="H38" s="315"/>
      <c r="I38" s="312">
        <f>I37*0.1</f>
        <v>11000</v>
      </c>
      <c r="J38" s="305">
        <f t="shared" si="0"/>
        <v>10450</v>
      </c>
      <c r="K38" s="313"/>
    </row>
    <row r="39" spans="1:11" s="314" customFormat="1" ht="20.100000000000001" customHeight="1">
      <c r="A39" s="1410"/>
      <c r="B39" s="1413"/>
      <c r="C39" s="1415"/>
      <c r="D39" s="310"/>
      <c r="E39" s="310" t="s">
        <v>1404</v>
      </c>
      <c r="F39" s="310"/>
      <c r="G39" s="310"/>
      <c r="H39" s="311"/>
      <c r="I39" s="312">
        <f>(I37+I38)*0.05</f>
        <v>6050</v>
      </c>
      <c r="J39" s="305">
        <f t="shared" si="0"/>
        <v>5748</v>
      </c>
      <c r="K39" s="313"/>
    </row>
    <row r="40" spans="1:11" s="309" customFormat="1" ht="20.100000000000001" customHeight="1">
      <c r="A40" s="1411"/>
      <c r="B40" s="1413"/>
      <c r="C40" s="1415"/>
      <c r="D40" s="324"/>
      <c r="E40" s="325" t="s">
        <v>1405</v>
      </c>
      <c r="F40" s="324"/>
      <c r="G40" s="326"/>
      <c r="H40" s="326"/>
      <c r="I40" s="327">
        <f>ROUNDUP(I37+I38+I39,0)</f>
        <v>127050</v>
      </c>
      <c r="J40" s="325">
        <f t="shared" si="0"/>
        <v>120698</v>
      </c>
      <c r="K40" s="308"/>
    </row>
    <row r="41" spans="1:11" s="309" customFormat="1" ht="20.100000000000001" customHeight="1">
      <c r="A41" s="316"/>
      <c r="B41" s="316"/>
      <c r="C41" s="316"/>
      <c r="D41" s="316"/>
      <c r="E41" s="308" t="s">
        <v>1452</v>
      </c>
      <c r="F41" s="316"/>
      <c r="G41" s="316"/>
      <c r="H41" s="316"/>
      <c r="I41" s="316">
        <f>I8+I13+I40+I34</f>
        <v>2441571</v>
      </c>
      <c r="J41" s="305">
        <f t="shared" si="0"/>
        <v>2319492</v>
      </c>
      <c r="K41" s="318"/>
    </row>
  </sheetData>
  <mergeCells count="18">
    <mergeCell ref="D15:D21"/>
    <mergeCell ref="D22:D23"/>
    <mergeCell ref="D24:D29"/>
    <mergeCell ref="A1:J1"/>
    <mergeCell ref="A3:A8"/>
    <mergeCell ref="B3:B8"/>
    <mergeCell ref="C3:C8"/>
    <mergeCell ref="A9:A13"/>
    <mergeCell ref="B9:B13"/>
    <mergeCell ref="C9:C13"/>
    <mergeCell ref="D9:D10"/>
    <mergeCell ref="D11:D12"/>
    <mergeCell ref="A35:A40"/>
    <mergeCell ref="B35:B40"/>
    <mergeCell ref="C35:C40"/>
    <mergeCell ref="A14:A34"/>
    <mergeCell ref="B14:B34"/>
    <mergeCell ref="C14:C34"/>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55"/>
  <sheetViews>
    <sheetView topLeftCell="A28" workbookViewId="0">
      <selection activeCell="J50" activeCellId="3" sqref="J10 J20 J29 J50"/>
    </sheetView>
  </sheetViews>
  <sheetFormatPr defaultColWidth="9" defaultRowHeight="14.25"/>
  <cols>
    <col min="1" max="1" width="5.25" style="328" customWidth="1"/>
    <col min="2" max="2" width="11.5" style="328" customWidth="1"/>
    <col min="3" max="3" width="8" style="328" customWidth="1"/>
    <col min="4" max="4" width="12.875" style="328" customWidth="1"/>
    <col min="5" max="5" width="21.5" style="353" customWidth="1"/>
    <col min="6" max="7" width="6.75" style="328" customWidth="1"/>
    <col min="8" max="8" width="12.25" style="328" customWidth="1"/>
    <col min="9" max="9" width="13.25" style="354" customWidth="1"/>
    <col min="10" max="10" width="11.5" style="353" customWidth="1"/>
    <col min="11" max="254" width="9" style="328"/>
    <col min="255" max="16384" width="9" style="329"/>
  </cols>
  <sheetData>
    <row r="1" spans="1:254" ht="35.1" customHeight="1">
      <c r="A1" s="1430" t="s">
        <v>1110</v>
      </c>
      <c r="B1" s="1430"/>
      <c r="C1" s="1430"/>
      <c r="D1" s="1430"/>
      <c r="E1" s="1430"/>
      <c r="F1" s="1430"/>
      <c r="G1" s="1430"/>
      <c r="H1" s="1430"/>
      <c r="I1" s="1430"/>
      <c r="J1" s="1430"/>
    </row>
    <row r="2" spans="1:254" s="331" customFormat="1" ht="20.100000000000001" customHeight="1">
      <c r="A2" s="307" t="s">
        <v>0</v>
      </c>
      <c r="B2" s="307" t="s">
        <v>1085</v>
      </c>
      <c r="C2" s="307" t="s">
        <v>1086</v>
      </c>
      <c r="D2" s="307" t="s">
        <v>1087</v>
      </c>
      <c r="E2" s="307" t="s">
        <v>1088</v>
      </c>
      <c r="F2" s="307" t="s">
        <v>129</v>
      </c>
      <c r="G2" s="307" t="s">
        <v>1089</v>
      </c>
      <c r="H2" s="307" t="s">
        <v>1090</v>
      </c>
      <c r="I2" s="330" t="s">
        <v>1091</v>
      </c>
      <c r="J2" s="307" t="s">
        <v>1393</v>
      </c>
    </row>
    <row r="3" spans="1:254" s="331" customFormat="1" ht="20.100000000000001" customHeight="1">
      <c r="A3" s="1427">
        <v>1</v>
      </c>
      <c r="B3" s="1427" t="s">
        <v>1453</v>
      </c>
      <c r="C3" s="1427" t="s">
        <v>1454</v>
      </c>
      <c r="D3" s="1431" t="s">
        <v>1455</v>
      </c>
      <c r="E3" s="310" t="s">
        <v>1456</v>
      </c>
      <c r="F3" s="310" t="s">
        <v>1457</v>
      </c>
      <c r="G3" s="310">
        <v>1</v>
      </c>
      <c r="H3" s="310">
        <v>180000</v>
      </c>
      <c r="I3" s="332">
        <f>G3*H3</f>
        <v>180000</v>
      </c>
      <c r="J3" s="307">
        <f>ROUND(I3*0.95,0)</f>
        <v>171000</v>
      </c>
    </row>
    <row r="4" spans="1:254" s="331" customFormat="1" ht="20.100000000000001" customHeight="1">
      <c r="A4" s="1427"/>
      <c r="B4" s="1427"/>
      <c r="C4" s="1427"/>
      <c r="D4" s="1431"/>
      <c r="E4" s="310" t="s">
        <v>1458</v>
      </c>
      <c r="F4" s="310" t="s">
        <v>1459</v>
      </c>
      <c r="G4" s="310">
        <v>1450</v>
      </c>
      <c r="H4" s="310">
        <v>350</v>
      </c>
      <c r="I4" s="332">
        <f t="shared" ref="I4:I6" si="0">G4*H4</f>
        <v>507500</v>
      </c>
      <c r="J4" s="307">
        <f t="shared" ref="J4:J51" si="1">ROUND(I4*0.95,0)</f>
        <v>482125</v>
      </c>
    </row>
    <row r="5" spans="1:254" s="331" customFormat="1" ht="20.100000000000001" customHeight="1">
      <c r="A5" s="1427"/>
      <c r="B5" s="1427"/>
      <c r="C5" s="1427"/>
      <c r="D5" s="1431"/>
      <c r="E5" s="316" t="s">
        <v>1437</v>
      </c>
      <c r="F5" s="310" t="s">
        <v>1459</v>
      </c>
      <c r="G5" s="310">
        <f>G4</f>
        <v>1450</v>
      </c>
      <c r="H5" s="310">
        <v>50</v>
      </c>
      <c r="I5" s="332">
        <f t="shared" si="0"/>
        <v>72500</v>
      </c>
      <c r="J5" s="307">
        <f t="shared" si="1"/>
        <v>68875</v>
      </c>
    </row>
    <row r="6" spans="1:254" s="333" customFormat="1" ht="20.100000000000001" customHeight="1">
      <c r="A6" s="1427"/>
      <c r="B6" s="1427"/>
      <c r="C6" s="1427"/>
      <c r="D6" s="310" t="s">
        <v>1460</v>
      </c>
      <c r="E6" s="310" t="s">
        <v>1461</v>
      </c>
      <c r="F6" s="310" t="s">
        <v>1111</v>
      </c>
      <c r="G6" s="310">
        <v>380</v>
      </c>
      <c r="H6" s="310">
        <v>50</v>
      </c>
      <c r="I6" s="332">
        <f t="shared" si="0"/>
        <v>19000</v>
      </c>
      <c r="J6" s="307">
        <f t="shared" si="1"/>
        <v>18050</v>
      </c>
    </row>
    <row r="7" spans="1:254" s="336" customFormat="1" ht="20.100000000000001" customHeight="1">
      <c r="A7" s="1427"/>
      <c r="B7" s="1427"/>
      <c r="C7" s="1427"/>
      <c r="D7" s="334"/>
      <c r="E7" s="310" t="s">
        <v>1097</v>
      </c>
      <c r="F7" s="310"/>
      <c r="G7" s="310"/>
      <c r="H7" s="335"/>
      <c r="I7" s="312">
        <f>SUM(I3:I6)</f>
        <v>779000</v>
      </c>
      <c r="J7" s="307">
        <f t="shared" si="1"/>
        <v>740050</v>
      </c>
    </row>
    <row r="8" spans="1:254" s="336" customFormat="1" ht="20.100000000000001" customHeight="1">
      <c r="A8" s="1427"/>
      <c r="B8" s="1427"/>
      <c r="C8" s="1427"/>
      <c r="D8" s="334"/>
      <c r="E8" s="310" t="s">
        <v>1403</v>
      </c>
      <c r="F8" s="310"/>
      <c r="G8" s="310"/>
      <c r="H8" s="337"/>
      <c r="I8" s="312">
        <f>I7*0.1</f>
        <v>77900</v>
      </c>
      <c r="J8" s="307">
        <f t="shared" si="1"/>
        <v>74005</v>
      </c>
    </row>
    <row r="9" spans="1:254" s="336" customFormat="1" ht="20.100000000000001" customHeight="1">
      <c r="A9" s="1427"/>
      <c r="B9" s="1427"/>
      <c r="C9" s="1427"/>
      <c r="D9" s="334"/>
      <c r="E9" s="310" t="s">
        <v>1404</v>
      </c>
      <c r="F9" s="310"/>
      <c r="G9" s="310"/>
      <c r="H9" s="335"/>
      <c r="I9" s="312">
        <f>(I7+I8)*0.05</f>
        <v>42845</v>
      </c>
      <c r="J9" s="307">
        <f t="shared" si="1"/>
        <v>40703</v>
      </c>
    </row>
    <row r="10" spans="1:254" s="331" customFormat="1" ht="20.100000000000001" customHeight="1">
      <c r="A10" s="1427"/>
      <c r="B10" s="1427"/>
      <c r="C10" s="1427"/>
      <c r="D10" s="338"/>
      <c r="E10" s="339" t="s">
        <v>1462</v>
      </c>
      <c r="F10" s="339"/>
      <c r="G10" s="339"/>
      <c r="H10" s="339"/>
      <c r="I10" s="306">
        <f>ROUNDUP(I7+I8+I9,0)</f>
        <v>899745</v>
      </c>
      <c r="J10" s="307">
        <f t="shared" si="1"/>
        <v>854758</v>
      </c>
    </row>
    <row r="11" spans="1:254" s="342" customFormat="1" ht="20.100000000000001" customHeight="1">
      <c r="A11" s="1428">
        <v>2</v>
      </c>
      <c r="B11" s="1428" t="s">
        <v>1463</v>
      </c>
      <c r="C11" s="1428" t="s">
        <v>1112</v>
      </c>
      <c r="D11" s="1429" t="s">
        <v>1464</v>
      </c>
      <c r="E11" s="310" t="s">
        <v>1465</v>
      </c>
      <c r="F11" s="310" t="s">
        <v>1459</v>
      </c>
      <c r="G11" s="310">
        <v>1800</v>
      </c>
      <c r="H11" s="310">
        <v>300</v>
      </c>
      <c r="I11" s="340">
        <f>G11*H11</f>
        <v>540000</v>
      </c>
      <c r="J11" s="307">
        <f t="shared" si="1"/>
        <v>513000</v>
      </c>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1"/>
      <c r="BA11" s="341"/>
      <c r="BB11" s="341"/>
      <c r="BC11" s="341"/>
      <c r="BD11" s="341"/>
      <c r="BE11" s="341"/>
      <c r="BF11" s="341"/>
      <c r="BG11" s="341"/>
      <c r="BH11" s="341"/>
      <c r="BI11" s="341"/>
      <c r="BJ11" s="341"/>
      <c r="BK11" s="341"/>
      <c r="BL11" s="341"/>
      <c r="BM11" s="341"/>
      <c r="BN11" s="341"/>
      <c r="BO11" s="341"/>
      <c r="BP11" s="341"/>
      <c r="BQ11" s="341"/>
      <c r="BR11" s="341"/>
      <c r="BS11" s="341"/>
      <c r="BT11" s="341"/>
      <c r="BU11" s="341"/>
      <c r="BV11" s="341"/>
      <c r="BW11" s="341"/>
      <c r="BX11" s="341"/>
      <c r="BY11" s="341"/>
      <c r="BZ11" s="341"/>
      <c r="CA11" s="341"/>
      <c r="CB11" s="341"/>
      <c r="CC11" s="341"/>
      <c r="CD11" s="341"/>
      <c r="CE11" s="341"/>
      <c r="CF11" s="341"/>
      <c r="CG11" s="341"/>
      <c r="CH11" s="341"/>
      <c r="CI11" s="341"/>
      <c r="CJ11" s="341"/>
      <c r="CK11" s="341"/>
      <c r="CL11" s="341"/>
      <c r="CM11" s="341"/>
      <c r="CN11" s="341"/>
      <c r="CO11" s="341"/>
      <c r="CP11" s="341"/>
      <c r="CQ11" s="341"/>
      <c r="CR11" s="341"/>
      <c r="CS11" s="341"/>
      <c r="CT11" s="341"/>
      <c r="CU11" s="341"/>
      <c r="CV11" s="341"/>
      <c r="CW11" s="341"/>
      <c r="CX11" s="341"/>
      <c r="CY11" s="341"/>
      <c r="CZ11" s="341"/>
      <c r="DA11" s="341"/>
      <c r="DB11" s="341"/>
      <c r="DC11" s="341"/>
      <c r="DD11" s="341"/>
      <c r="DE11" s="341"/>
      <c r="DF11" s="341"/>
      <c r="DG11" s="341"/>
      <c r="DH11" s="341"/>
      <c r="DI11" s="341"/>
      <c r="DJ11" s="341"/>
      <c r="DK11" s="341"/>
      <c r="DL11" s="341"/>
      <c r="DM11" s="341"/>
      <c r="DN11" s="341"/>
      <c r="DO11" s="341"/>
      <c r="DP11" s="341"/>
      <c r="DQ11" s="341"/>
      <c r="DR11" s="341"/>
      <c r="DS11" s="341"/>
      <c r="DT11" s="341"/>
      <c r="DU11" s="341"/>
      <c r="DV11" s="341"/>
      <c r="DW11" s="341"/>
      <c r="DX11" s="341"/>
      <c r="DY11" s="341"/>
      <c r="DZ11" s="341"/>
      <c r="EA11" s="341"/>
      <c r="EB11" s="341"/>
      <c r="EC11" s="341"/>
      <c r="ED11" s="341"/>
      <c r="EE11" s="341"/>
      <c r="EF11" s="341"/>
      <c r="EG11" s="341"/>
      <c r="EH11" s="341"/>
      <c r="EI11" s="341"/>
      <c r="EJ11" s="341"/>
      <c r="EK11" s="341"/>
      <c r="EL11" s="341"/>
      <c r="EM11" s="341"/>
      <c r="EN11" s="341"/>
      <c r="EO11" s="341"/>
      <c r="EP11" s="341"/>
      <c r="EQ11" s="341"/>
      <c r="ER11" s="341"/>
      <c r="ES11" s="341"/>
      <c r="ET11" s="341"/>
      <c r="EU11" s="341"/>
      <c r="EV11" s="341"/>
      <c r="EW11" s="341"/>
      <c r="EX11" s="341"/>
      <c r="EY11" s="341"/>
      <c r="EZ11" s="341"/>
      <c r="FA11" s="341"/>
      <c r="FB11" s="341"/>
      <c r="FC11" s="341"/>
      <c r="FD11" s="341"/>
      <c r="FE11" s="341"/>
      <c r="FF11" s="341"/>
      <c r="FG11" s="341"/>
      <c r="FH11" s="341"/>
      <c r="FI11" s="341"/>
      <c r="FJ11" s="341"/>
      <c r="FK11" s="341"/>
      <c r="FL11" s="341"/>
      <c r="FM11" s="341"/>
      <c r="FN11" s="341"/>
      <c r="FO11" s="341"/>
      <c r="FP11" s="341"/>
      <c r="FQ11" s="341"/>
      <c r="FR11" s="341"/>
      <c r="FS11" s="341"/>
      <c r="FT11" s="341"/>
      <c r="FU11" s="341"/>
      <c r="FV11" s="341"/>
      <c r="FW11" s="341"/>
      <c r="FX11" s="341"/>
      <c r="FY11" s="341"/>
      <c r="FZ11" s="341"/>
      <c r="GA11" s="341"/>
      <c r="GB11" s="341"/>
      <c r="GC11" s="341"/>
      <c r="GD11" s="341"/>
      <c r="GE11" s="341"/>
      <c r="GF11" s="341"/>
      <c r="GG11" s="341"/>
      <c r="GH11" s="341"/>
      <c r="GI11" s="341"/>
      <c r="GJ11" s="341"/>
      <c r="GK11" s="341"/>
      <c r="GL11" s="341"/>
      <c r="GM11" s="341"/>
      <c r="GN11" s="341"/>
      <c r="GO11" s="341"/>
      <c r="GP11" s="341"/>
      <c r="GQ11" s="341"/>
      <c r="GR11" s="341"/>
      <c r="GS11" s="341"/>
      <c r="GT11" s="341"/>
      <c r="GU11" s="341"/>
      <c r="GV11" s="341"/>
      <c r="GW11" s="341"/>
      <c r="GX11" s="341"/>
      <c r="GY11" s="341"/>
      <c r="GZ11" s="341"/>
      <c r="HA11" s="341"/>
      <c r="HB11" s="341"/>
      <c r="HC11" s="341"/>
      <c r="HD11" s="341"/>
      <c r="HE11" s="341"/>
      <c r="HF11" s="341"/>
      <c r="HG11" s="341"/>
      <c r="HH11" s="341"/>
      <c r="HI11" s="341"/>
      <c r="HJ11" s="341"/>
      <c r="HK11" s="341"/>
      <c r="HL11" s="341"/>
      <c r="HM11" s="341"/>
      <c r="HN11" s="341"/>
      <c r="HO11" s="341"/>
      <c r="HP11" s="341"/>
      <c r="HQ11" s="341"/>
      <c r="HR11" s="341"/>
      <c r="HS11" s="341"/>
      <c r="HT11" s="341"/>
      <c r="HU11" s="341"/>
      <c r="HV11" s="341"/>
      <c r="HW11" s="341"/>
      <c r="HX11" s="341"/>
      <c r="HY11" s="341"/>
      <c r="HZ11" s="341"/>
      <c r="IA11" s="341"/>
      <c r="IB11" s="341"/>
      <c r="IC11" s="341"/>
      <c r="ID11" s="341"/>
      <c r="IE11" s="341"/>
      <c r="IF11" s="341"/>
      <c r="IG11" s="341"/>
      <c r="IH11" s="341"/>
      <c r="II11" s="341"/>
      <c r="IJ11" s="341"/>
      <c r="IK11" s="341"/>
      <c r="IL11" s="341"/>
      <c r="IM11" s="341"/>
      <c r="IN11" s="341"/>
      <c r="IO11" s="341"/>
      <c r="IP11" s="341"/>
      <c r="IQ11" s="341"/>
      <c r="IR11" s="341"/>
      <c r="IS11" s="341"/>
      <c r="IT11" s="341"/>
    </row>
    <row r="12" spans="1:254" s="333" customFormat="1" ht="20.100000000000001" customHeight="1">
      <c r="A12" s="1428"/>
      <c r="B12" s="1428"/>
      <c r="C12" s="1428"/>
      <c r="D12" s="1429"/>
      <c r="E12" s="310" t="s">
        <v>1102</v>
      </c>
      <c r="F12" s="310" t="s">
        <v>1459</v>
      </c>
      <c r="G12" s="310">
        <f>G29+G11</f>
        <v>1800</v>
      </c>
      <c r="H12" s="310">
        <v>30</v>
      </c>
      <c r="I12" s="311">
        <f>G12*H12</f>
        <v>54000</v>
      </c>
      <c r="J12" s="307">
        <f t="shared" si="1"/>
        <v>51300</v>
      </c>
    </row>
    <row r="13" spans="1:254" s="342" customFormat="1" ht="20.100000000000001" customHeight="1">
      <c r="A13" s="1428"/>
      <c r="B13" s="1428"/>
      <c r="C13" s="1428"/>
      <c r="D13" s="310" t="s">
        <v>1114</v>
      </c>
      <c r="E13" s="310" t="s">
        <v>1115</v>
      </c>
      <c r="F13" s="310" t="s">
        <v>1459</v>
      </c>
      <c r="G13" s="310">
        <v>100</v>
      </c>
      <c r="H13" s="310">
        <v>200</v>
      </c>
      <c r="I13" s="340">
        <f t="shared" ref="I13:I14" si="2">G13*H13</f>
        <v>20000</v>
      </c>
      <c r="J13" s="307">
        <f t="shared" si="1"/>
        <v>19000</v>
      </c>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1"/>
      <c r="AL13" s="341"/>
      <c r="AM13" s="341"/>
      <c r="AN13" s="341"/>
      <c r="AO13" s="341"/>
      <c r="AP13" s="341"/>
      <c r="AQ13" s="341"/>
      <c r="AR13" s="341"/>
      <c r="AS13" s="341"/>
      <c r="AT13" s="341"/>
      <c r="AU13" s="341"/>
      <c r="AV13" s="341"/>
      <c r="AW13" s="341"/>
      <c r="AX13" s="341"/>
      <c r="AY13" s="341"/>
      <c r="AZ13" s="341"/>
      <c r="BA13" s="341"/>
      <c r="BB13" s="341"/>
      <c r="BC13" s="341"/>
      <c r="BD13" s="341"/>
      <c r="BE13" s="341"/>
      <c r="BF13" s="341"/>
      <c r="BG13" s="341"/>
      <c r="BH13" s="341"/>
      <c r="BI13" s="341"/>
      <c r="BJ13" s="341"/>
      <c r="BK13" s="341"/>
      <c r="BL13" s="341"/>
      <c r="BM13" s="341"/>
      <c r="BN13" s="341"/>
      <c r="BO13" s="341"/>
      <c r="BP13" s="341"/>
      <c r="BQ13" s="341"/>
      <c r="BR13" s="341"/>
      <c r="BS13" s="341"/>
      <c r="BT13" s="341"/>
      <c r="BU13" s="341"/>
      <c r="BV13" s="341"/>
      <c r="BW13" s="341"/>
      <c r="BX13" s="341"/>
      <c r="BY13" s="341"/>
      <c r="BZ13" s="341"/>
      <c r="CA13" s="341"/>
      <c r="CB13" s="341"/>
      <c r="CC13" s="341"/>
      <c r="CD13" s="341"/>
      <c r="CE13" s="341"/>
      <c r="CF13" s="341"/>
      <c r="CG13" s="341"/>
      <c r="CH13" s="341"/>
      <c r="CI13" s="341"/>
      <c r="CJ13" s="341"/>
      <c r="CK13" s="341"/>
      <c r="CL13" s="341"/>
      <c r="CM13" s="341"/>
      <c r="CN13" s="341"/>
      <c r="CO13" s="341"/>
      <c r="CP13" s="341"/>
      <c r="CQ13" s="341"/>
      <c r="CR13" s="341"/>
      <c r="CS13" s="341"/>
      <c r="CT13" s="341"/>
      <c r="CU13" s="341"/>
      <c r="CV13" s="341"/>
      <c r="CW13" s="341"/>
      <c r="CX13" s="341"/>
      <c r="CY13" s="341"/>
      <c r="CZ13" s="341"/>
      <c r="DA13" s="341"/>
      <c r="DB13" s="341"/>
      <c r="DC13" s="341"/>
      <c r="DD13" s="341"/>
      <c r="DE13" s="341"/>
      <c r="DF13" s="341"/>
      <c r="DG13" s="341"/>
      <c r="DH13" s="341"/>
      <c r="DI13" s="341"/>
      <c r="DJ13" s="341"/>
      <c r="DK13" s="341"/>
      <c r="DL13" s="341"/>
      <c r="DM13" s="341"/>
      <c r="DN13" s="341"/>
      <c r="DO13" s="341"/>
      <c r="DP13" s="341"/>
      <c r="DQ13" s="341"/>
      <c r="DR13" s="341"/>
      <c r="DS13" s="341"/>
      <c r="DT13" s="341"/>
      <c r="DU13" s="341"/>
      <c r="DV13" s="341"/>
      <c r="DW13" s="341"/>
      <c r="DX13" s="341"/>
      <c r="DY13" s="341"/>
      <c r="DZ13" s="341"/>
      <c r="EA13" s="341"/>
      <c r="EB13" s="341"/>
      <c r="EC13" s="341"/>
      <c r="ED13" s="341"/>
      <c r="EE13" s="341"/>
      <c r="EF13" s="341"/>
      <c r="EG13" s="341"/>
      <c r="EH13" s="341"/>
      <c r="EI13" s="341"/>
      <c r="EJ13" s="341"/>
      <c r="EK13" s="341"/>
      <c r="EL13" s="341"/>
      <c r="EM13" s="341"/>
      <c r="EN13" s="341"/>
      <c r="EO13" s="341"/>
      <c r="EP13" s="341"/>
      <c r="EQ13" s="341"/>
      <c r="ER13" s="341"/>
      <c r="ES13" s="341"/>
      <c r="ET13" s="341"/>
      <c r="EU13" s="341"/>
      <c r="EV13" s="341"/>
      <c r="EW13" s="341"/>
      <c r="EX13" s="341"/>
      <c r="EY13" s="341"/>
      <c r="EZ13" s="341"/>
      <c r="FA13" s="341"/>
      <c r="FB13" s="341"/>
      <c r="FC13" s="341"/>
      <c r="FD13" s="341"/>
      <c r="FE13" s="341"/>
      <c r="FF13" s="341"/>
      <c r="FG13" s="341"/>
      <c r="FH13" s="341"/>
      <c r="FI13" s="341"/>
      <c r="FJ13" s="341"/>
      <c r="FK13" s="341"/>
      <c r="FL13" s="341"/>
      <c r="FM13" s="341"/>
      <c r="FN13" s="341"/>
      <c r="FO13" s="341"/>
      <c r="FP13" s="341"/>
      <c r="FQ13" s="341"/>
      <c r="FR13" s="341"/>
      <c r="FS13" s="341"/>
      <c r="FT13" s="341"/>
      <c r="FU13" s="341"/>
      <c r="FV13" s="341"/>
      <c r="FW13" s="341"/>
      <c r="FX13" s="341"/>
      <c r="FY13" s="341"/>
      <c r="FZ13" s="341"/>
      <c r="GA13" s="341"/>
      <c r="GB13" s="341"/>
      <c r="GC13" s="341"/>
      <c r="GD13" s="341"/>
      <c r="GE13" s="341"/>
      <c r="GF13" s="341"/>
      <c r="GG13" s="341"/>
      <c r="GH13" s="341"/>
      <c r="GI13" s="341"/>
      <c r="GJ13" s="341"/>
      <c r="GK13" s="341"/>
      <c r="GL13" s="341"/>
      <c r="GM13" s="341"/>
      <c r="GN13" s="341"/>
      <c r="GO13" s="341"/>
      <c r="GP13" s="341"/>
      <c r="GQ13" s="341"/>
      <c r="GR13" s="341"/>
      <c r="GS13" s="341"/>
      <c r="GT13" s="341"/>
      <c r="GU13" s="341"/>
      <c r="GV13" s="341"/>
      <c r="GW13" s="341"/>
      <c r="GX13" s="341"/>
      <c r="GY13" s="341"/>
      <c r="GZ13" s="341"/>
      <c r="HA13" s="341"/>
      <c r="HB13" s="341"/>
      <c r="HC13" s="341"/>
      <c r="HD13" s="341"/>
      <c r="HE13" s="341"/>
      <c r="HF13" s="341"/>
      <c r="HG13" s="341"/>
      <c r="HH13" s="341"/>
      <c r="HI13" s="341"/>
      <c r="HJ13" s="341"/>
      <c r="HK13" s="341"/>
      <c r="HL13" s="341"/>
      <c r="HM13" s="341"/>
      <c r="HN13" s="341"/>
      <c r="HO13" s="341"/>
      <c r="HP13" s="341"/>
      <c r="HQ13" s="341"/>
      <c r="HR13" s="341"/>
      <c r="HS13" s="341"/>
      <c r="HT13" s="341"/>
      <c r="HU13" s="341"/>
      <c r="HV13" s="341"/>
      <c r="HW13" s="341"/>
      <c r="HX13" s="341"/>
      <c r="HY13" s="341"/>
      <c r="HZ13" s="341"/>
      <c r="IA13" s="341"/>
      <c r="IB13" s="341"/>
      <c r="IC13" s="341"/>
      <c r="ID13" s="341"/>
      <c r="IE13" s="341"/>
      <c r="IF13" s="341"/>
      <c r="IG13" s="341"/>
      <c r="IH13" s="341"/>
      <c r="II13" s="341"/>
      <c r="IJ13" s="341"/>
      <c r="IK13" s="341"/>
      <c r="IL13" s="341"/>
      <c r="IM13" s="341"/>
      <c r="IN13" s="341"/>
      <c r="IO13" s="341"/>
      <c r="IP13" s="341"/>
      <c r="IQ13" s="341"/>
      <c r="IR13" s="341"/>
      <c r="IS13" s="341"/>
      <c r="IT13" s="341"/>
    </row>
    <row r="14" spans="1:254" s="342" customFormat="1" ht="20.100000000000001" customHeight="1">
      <c r="A14" s="1428"/>
      <c r="B14" s="1428"/>
      <c r="C14" s="1428"/>
      <c r="D14" s="310" t="s">
        <v>1116</v>
      </c>
      <c r="E14" s="310" t="s">
        <v>1117</v>
      </c>
      <c r="F14" s="310" t="s">
        <v>1459</v>
      </c>
      <c r="G14" s="310">
        <v>100</v>
      </c>
      <c r="H14" s="310">
        <v>320</v>
      </c>
      <c r="I14" s="340">
        <f t="shared" si="2"/>
        <v>32000</v>
      </c>
      <c r="J14" s="307">
        <f t="shared" si="1"/>
        <v>30400</v>
      </c>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1"/>
      <c r="AL14" s="341"/>
      <c r="AM14" s="341"/>
      <c r="AN14" s="341"/>
      <c r="AO14" s="341"/>
      <c r="AP14" s="341"/>
      <c r="AQ14" s="341"/>
      <c r="AR14" s="341"/>
      <c r="AS14" s="341"/>
      <c r="AT14" s="341"/>
      <c r="AU14" s="341"/>
      <c r="AV14" s="341"/>
      <c r="AW14" s="341"/>
      <c r="AX14" s="341"/>
      <c r="AY14" s="341"/>
      <c r="AZ14" s="341"/>
      <c r="BA14" s="341"/>
      <c r="BB14" s="341"/>
      <c r="BC14" s="341"/>
      <c r="BD14" s="341"/>
      <c r="BE14" s="341"/>
      <c r="BF14" s="341"/>
      <c r="BG14" s="341"/>
      <c r="BH14" s="341"/>
      <c r="BI14" s="341"/>
      <c r="BJ14" s="341"/>
      <c r="BK14" s="341"/>
      <c r="BL14" s="341"/>
      <c r="BM14" s="341"/>
      <c r="BN14" s="341"/>
      <c r="BO14" s="341"/>
      <c r="BP14" s="341"/>
      <c r="BQ14" s="341"/>
      <c r="BR14" s="341"/>
      <c r="BS14" s="341"/>
      <c r="BT14" s="341"/>
      <c r="BU14" s="341"/>
      <c r="BV14" s="341"/>
      <c r="BW14" s="341"/>
      <c r="BX14" s="341"/>
      <c r="BY14" s="341"/>
      <c r="BZ14" s="341"/>
      <c r="CA14" s="341"/>
      <c r="CB14" s="341"/>
      <c r="CC14" s="341"/>
      <c r="CD14" s="341"/>
      <c r="CE14" s="341"/>
      <c r="CF14" s="341"/>
      <c r="CG14" s="341"/>
      <c r="CH14" s="341"/>
      <c r="CI14" s="341"/>
      <c r="CJ14" s="341"/>
      <c r="CK14" s="341"/>
      <c r="CL14" s="341"/>
      <c r="CM14" s="341"/>
      <c r="CN14" s="341"/>
      <c r="CO14" s="341"/>
      <c r="CP14" s="341"/>
      <c r="CQ14" s="341"/>
      <c r="CR14" s="341"/>
      <c r="CS14" s="341"/>
      <c r="CT14" s="341"/>
      <c r="CU14" s="341"/>
      <c r="CV14" s="341"/>
      <c r="CW14" s="341"/>
      <c r="CX14" s="341"/>
      <c r="CY14" s="341"/>
      <c r="CZ14" s="341"/>
      <c r="DA14" s="341"/>
      <c r="DB14" s="341"/>
      <c r="DC14" s="341"/>
      <c r="DD14" s="341"/>
      <c r="DE14" s="341"/>
      <c r="DF14" s="341"/>
      <c r="DG14" s="341"/>
      <c r="DH14" s="341"/>
      <c r="DI14" s="341"/>
      <c r="DJ14" s="341"/>
      <c r="DK14" s="341"/>
      <c r="DL14" s="341"/>
      <c r="DM14" s="341"/>
      <c r="DN14" s="341"/>
      <c r="DO14" s="341"/>
      <c r="DP14" s="341"/>
      <c r="DQ14" s="341"/>
      <c r="DR14" s="341"/>
      <c r="DS14" s="341"/>
      <c r="DT14" s="341"/>
      <c r="DU14" s="341"/>
      <c r="DV14" s="341"/>
      <c r="DW14" s="341"/>
      <c r="DX14" s="341"/>
      <c r="DY14" s="341"/>
      <c r="DZ14" s="341"/>
      <c r="EA14" s="341"/>
      <c r="EB14" s="341"/>
      <c r="EC14" s="341"/>
      <c r="ED14" s="341"/>
      <c r="EE14" s="341"/>
      <c r="EF14" s="341"/>
      <c r="EG14" s="341"/>
      <c r="EH14" s="341"/>
      <c r="EI14" s="341"/>
      <c r="EJ14" s="341"/>
      <c r="EK14" s="341"/>
      <c r="EL14" s="341"/>
      <c r="EM14" s="341"/>
      <c r="EN14" s="341"/>
      <c r="EO14" s="341"/>
      <c r="EP14" s="341"/>
      <c r="EQ14" s="341"/>
      <c r="ER14" s="341"/>
      <c r="ES14" s="341"/>
      <c r="ET14" s="341"/>
      <c r="EU14" s="341"/>
      <c r="EV14" s="341"/>
      <c r="EW14" s="341"/>
      <c r="EX14" s="341"/>
      <c r="EY14" s="341"/>
      <c r="EZ14" s="341"/>
      <c r="FA14" s="341"/>
      <c r="FB14" s="341"/>
      <c r="FC14" s="341"/>
      <c r="FD14" s="341"/>
      <c r="FE14" s="341"/>
      <c r="FF14" s="341"/>
      <c r="FG14" s="341"/>
      <c r="FH14" s="341"/>
      <c r="FI14" s="341"/>
      <c r="FJ14" s="341"/>
      <c r="FK14" s="341"/>
      <c r="FL14" s="341"/>
      <c r="FM14" s="341"/>
      <c r="FN14" s="341"/>
      <c r="FO14" s="341"/>
      <c r="FP14" s="341"/>
      <c r="FQ14" s="341"/>
      <c r="FR14" s="341"/>
      <c r="FS14" s="341"/>
      <c r="FT14" s="341"/>
      <c r="FU14" s="341"/>
      <c r="FV14" s="341"/>
      <c r="FW14" s="341"/>
      <c r="FX14" s="341"/>
      <c r="FY14" s="341"/>
      <c r="FZ14" s="341"/>
      <c r="GA14" s="341"/>
      <c r="GB14" s="341"/>
      <c r="GC14" s="341"/>
      <c r="GD14" s="341"/>
      <c r="GE14" s="341"/>
      <c r="GF14" s="341"/>
      <c r="GG14" s="341"/>
      <c r="GH14" s="341"/>
      <c r="GI14" s="341"/>
      <c r="GJ14" s="341"/>
      <c r="GK14" s="341"/>
      <c r="GL14" s="341"/>
      <c r="GM14" s="341"/>
      <c r="GN14" s="341"/>
      <c r="GO14" s="341"/>
      <c r="GP14" s="341"/>
      <c r="GQ14" s="341"/>
      <c r="GR14" s="341"/>
      <c r="GS14" s="341"/>
      <c r="GT14" s="341"/>
      <c r="GU14" s="341"/>
      <c r="GV14" s="341"/>
      <c r="GW14" s="341"/>
      <c r="GX14" s="341"/>
      <c r="GY14" s="341"/>
      <c r="GZ14" s="341"/>
      <c r="HA14" s="341"/>
      <c r="HB14" s="341"/>
      <c r="HC14" s="341"/>
      <c r="HD14" s="341"/>
      <c r="HE14" s="341"/>
      <c r="HF14" s="341"/>
      <c r="HG14" s="341"/>
      <c r="HH14" s="341"/>
      <c r="HI14" s="341"/>
      <c r="HJ14" s="341"/>
      <c r="HK14" s="341"/>
      <c r="HL14" s="341"/>
      <c r="HM14" s="341"/>
      <c r="HN14" s="341"/>
      <c r="HO14" s="341"/>
      <c r="HP14" s="341"/>
      <c r="HQ14" s="341"/>
      <c r="HR14" s="341"/>
      <c r="HS14" s="341"/>
      <c r="HT14" s="341"/>
      <c r="HU14" s="341"/>
      <c r="HV14" s="341"/>
      <c r="HW14" s="341"/>
      <c r="HX14" s="341"/>
      <c r="HY14" s="341"/>
      <c r="HZ14" s="341"/>
      <c r="IA14" s="341"/>
      <c r="IB14" s="341"/>
      <c r="IC14" s="341"/>
      <c r="ID14" s="341"/>
      <c r="IE14" s="341"/>
      <c r="IF14" s="341"/>
      <c r="IG14" s="341"/>
      <c r="IH14" s="341"/>
      <c r="II14" s="341"/>
      <c r="IJ14" s="341"/>
      <c r="IK14" s="341"/>
      <c r="IL14" s="341"/>
      <c r="IM14" s="341"/>
      <c r="IN14" s="341"/>
      <c r="IO14" s="341"/>
      <c r="IP14" s="341"/>
      <c r="IQ14" s="341"/>
      <c r="IR14" s="341"/>
      <c r="IS14" s="341"/>
      <c r="IT14" s="341"/>
    </row>
    <row r="15" spans="1:254" s="342" customFormat="1" ht="20.100000000000001" customHeight="1">
      <c r="A15" s="1428"/>
      <c r="B15" s="1428"/>
      <c r="C15" s="1428"/>
      <c r="D15" s="310" t="s">
        <v>1118</v>
      </c>
      <c r="E15" s="310" t="s">
        <v>1119</v>
      </c>
      <c r="F15" s="310" t="s">
        <v>1096</v>
      </c>
      <c r="G15" s="310">
        <v>15</v>
      </c>
      <c r="H15" s="310">
        <v>10000</v>
      </c>
      <c r="I15" s="332">
        <f>G15*H15</f>
        <v>150000</v>
      </c>
      <c r="J15" s="307">
        <f t="shared" si="1"/>
        <v>142500</v>
      </c>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41"/>
      <c r="AO15" s="341"/>
      <c r="AP15" s="341"/>
      <c r="AQ15" s="341"/>
      <c r="AR15" s="341"/>
      <c r="AS15" s="341"/>
      <c r="AT15" s="341"/>
      <c r="AU15" s="341"/>
      <c r="AV15" s="341"/>
      <c r="AW15" s="341"/>
      <c r="AX15" s="341"/>
      <c r="AY15" s="341"/>
      <c r="AZ15" s="341"/>
      <c r="BA15" s="341"/>
      <c r="BB15" s="341"/>
      <c r="BC15" s="341"/>
      <c r="BD15" s="341"/>
      <c r="BE15" s="341"/>
      <c r="BF15" s="341"/>
      <c r="BG15" s="341"/>
      <c r="BH15" s="341"/>
      <c r="BI15" s="341"/>
      <c r="BJ15" s="341"/>
      <c r="BK15" s="341"/>
      <c r="BL15" s="341"/>
      <c r="BM15" s="341"/>
      <c r="BN15" s="341"/>
      <c r="BO15" s="341"/>
      <c r="BP15" s="341"/>
      <c r="BQ15" s="341"/>
      <c r="BR15" s="341"/>
      <c r="BS15" s="341"/>
      <c r="BT15" s="341"/>
      <c r="BU15" s="341"/>
      <c r="BV15" s="341"/>
      <c r="BW15" s="341"/>
      <c r="BX15" s="341"/>
      <c r="BY15" s="341"/>
      <c r="BZ15" s="341"/>
      <c r="CA15" s="341"/>
      <c r="CB15" s="341"/>
      <c r="CC15" s="341"/>
      <c r="CD15" s="341"/>
      <c r="CE15" s="341"/>
      <c r="CF15" s="341"/>
      <c r="CG15" s="341"/>
      <c r="CH15" s="341"/>
      <c r="CI15" s="341"/>
      <c r="CJ15" s="341"/>
      <c r="CK15" s="341"/>
      <c r="CL15" s="341"/>
      <c r="CM15" s="341"/>
      <c r="CN15" s="341"/>
      <c r="CO15" s="341"/>
      <c r="CP15" s="341"/>
      <c r="CQ15" s="341"/>
      <c r="CR15" s="341"/>
      <c r="CS15" s="341"/>
      <c r="CT15" s="341"/>
      <c r="CU15" s="341"/>
      <c r="CV15" s="341"/>
      <c r="CW15" s="341"/>
      <c r="CX15" s="341"/>
      <c r="CY15" s="341"/>
      <c r="CZ15" s="341"/>
      <c r="DA15" s="341"/>
      <c r="DB15" s="341"/>
      <c r="DC15" s="341"/>
      <c r="DD15" s="341"/>
      <c r="DE15" s="341"/>
      <c r="DF15" s="341"/>
      <c r="DG15" s="341"/>
      <c r="DH15" s="341"/>
      <c r="DI15" s="341"/>
      <c r="DJ15" s="341"/>
      <c r="DK15" s="341"/>
      <c r="DL15" s="341"/>
      <c r="DM15" s="341"/>
      <c r="DN15" s="341"/>
      <c r="DO15" s="341"/>
      <c r="DP15" s="341"/>
      <c r="DQ15" s="341"/>
      <c r="DR15" s="341"/>
      <c r="DS15" s="341"/>
      <c r="DT15" s="341"/>
      <c r="DU15" s="341"/>
      <c r="DV15" s="341"/>
      <c r="DW15" s="341"/>
      <c r="DX15" s="341"/>
      <c r="DY15" s="341"/>
      <c r="DZ15" s="341"/>
      <c r="EA15" s="341"/>
      <c r="EB15" s="341"/>
      <c r="EC15" s="341"/>
      <c r="ED15" s="341"/>
      <c r="EE15" s="341"/>
      <c r="EF15" s="341"/>
      <c r="EG15" s="341"/>
      <c r="EH15" s="341"/>
      <c r="EI15" s="341"/>
      <c r="EJ15" s="341"/>
      <c r="EK15" s="341"/>
      <c r="EL15" s="341"/>
      <c r="EM15" s="341"/>
      <c r="EN15" s="341"/>
      <c r="EO15" s="341"/>
      <c r="EP15" s="341"/>
      <c r="EQ15" s="341"/>
      <c r="ER15" s="341"/>
      <c r="ES15" s="341"/>
      <c r="ET15" s="341"/>
      <c r="EU15" s="341"/>
      <c r="EV15" s="341"/>
      <c r="EW15" s="341"/>
      <c r="EX15" s="341"/>
      <c r="EY15" s="341"/>
      <c r="EZ15" s="341"/>
      <c r="FA15" s="341"/>
      <c r="FB15" s="341"/>
      <c r="FC15" s="341"/>
      <c r="FD15" s="341"/>
      <c r="FE15" s="341"/>
      <c r="FF15" s="341"/>
      <c r="FG15" s="341"/>
      <c r="FH15" s="341"/>
      <c r="FI15" s="341"/>
      <c r="FJ15" s="341"/>
      <c r="FK15" s="341"/>
      <c r="FL15" s="341"/>
      <c r="FM15" s="341"/>
      <c r="FN15" s="341"/>
      <c r="FO15" s="341"/>
      <c r="FP15" s="341"/>
      <c r="FQ15" s="341"/>
      <c r="FR15" s="341"/>
      <c r="FS15" s="341"/>
      <c r="FT15" s="341"/>
      <c r="FU15" s="341"/>
      <c r="FV15" s="341"/>
      <c r="FW15" s="341"/>
      <c r="FX15" s="341"/>
      <c r="FY15" s="341"/>
      <c r="FZ15" s="341"/>
      <c r="GA15" s="341"/>
      <c r="GB15" s="341"/>
      <c r="GC15" s="341"/>
      <c r="GD15" s="341"/>
      <c r="GE15" s="341"/>
      <c r="GF15" s="341"/>
      <c r="GG15" s="341"/>
      <c r="GH15" s="341"/>
      <c r="GI15" s="341"/>
      <c r="GJ15" s="341"/>
      <c r="GK15" s="341"/>
      <c r="GL15" s="341"/>
      <c r="GM15" s="341"/>
      <c r="GN15" s="341"/>
      <c r="GO15" s="341"/>
      <c r="GP15" s="341"/>
      <c r="GQ15" s="341"/>
      <c r="GR15" s="341"/>
      <c r="GS15" s="341"/>
      <c r="GT15" s="341"/>
      <c r="GU15" s="341"/>
      <c r="GV15" s="341"/>
      <c r="GW15" s="341"/>
      <c r="GX15" s="341"/>
      <c r="GY15" s="341"/>
      <c r="GZ15" s="341"/>
      <c r="HA15" s="341"/>
      <c r="HB15" s="341"/>
      <c r="HC15" s="341"/>
      <c r="HD15" s="341"/>
      <c r="HE15" s="341"/>
      <c r="HF15" s="341"/>
      <c r="HG15" s="341"/>
      <c r="HH15" s="341"/>
      <c r="HI15" s="341"/>
      <c r="HJ15" s="341"/>
      <c r="HK15" s="341"/>
      <c r="HL15" s="341"/>
      <c r="HM15" s="341"/>
      <c r="HN15" s="341"/>
      <c r="HO15" s="341"/>
      <c r="HP15" s="341"/>
      <c r="HQ15" s="341"/>
      <c r="HR15" s="341"/>
      <c r="HS15" s="341"/>
      <c r="HT15" s="341"/>
      <c r="HU15" s="341"/>
      <c r="HV15" s="341"/>
      <c r="HW15" s="341"/>
      <c r="HX15" s="341"/>
      <c r="HY15" s="341"/>
      <c r="HZ15" s="341"/>
      <c r="IA15" s="341"/>
      <c r="IB15" s="341"/>
      <c r="IC15" s="341"/>
      <c r="ID15" s="341"/>
      <c r="IE15" s="341"/>
      <c r="IF15" s="341"/>
      <c r="IG15" s="341"/>
      <c r="IH15" s="341"/>
      <c r="II15" s="341"/>
      <c r="IJ15" s="341"/>
      <c r="IK15" s="341"/>
      <c r="IL15" s="341"/>
      <c r="IM15" s="341"/>
      <c r="IN15" s="341"/>
      <c r="IO15" s="341"/>
      <c r="IP15" s="341"/>
      <c r="IQ15" s="341"/>
      <c r="IR15" s="341"/>
      <c r="IS15" s="341"/>
      <c r="IT15" s="341"/>
    </row>
    <row r="16" spans="1:254" s="336" customFormat="1" ht="20.100000000000001" customHeight="1">
      <c r="A16" s="1428"/>
      <c r="B16" s="1428"/>
      <c r="C16" s="1428"/>
      <c r="D16" s="334"/>
      <c r="E16" s="310" t="s">
        <v>1097</v>
      </c>
      <c r="F16" s="310"/>
      <c r="G16" s="310"/>
      <c r="H16" s="335"/>
      <c r="I16" s="312">
        <f>SUM(I11:I15)</f>
        <v>796000</v>
      </c>
      <c r="J16" s="307">
        <f t="shared" si="1"/>
        <v>756200</v>
      </c>
    </row>
    <row r="17" spans="1:254" s="336" customFormat="1" ht="20.100000000000001" customHeight="1">
      <c r="A17" s="1428"/>
      <c r="B17" s="1428"/>
      <c r="C17" s="1428"/>
      <c r="D17" s="334"/>
      <c r="E17" s="310" t="s">
        <v>1403</v>
      </c>
      <c r="F17" s="310"/>
      <c r="G17" s="310"/>
      <c r="H17" s="337"/>
      <c r="I17" s="312">
        <f>I16*0.1</f>
        <v>79600</v>
      </c>
      <c r="J17" s="307">
        <f t="shared" si="1"/>
        <v>75620</v>
      </c>
    </row>
    <row r="18" spans="1:254" s="336" customFormat="1" ht="20.100000000000001" customHeight="1">
      <c r="A18" s="1428"/>
      <c r="B18" s="1428"/>
      <c r="C18" s="1428"/>
      <c r="D18" s="334"/>
      <c r="E18" s="310" t="s">
        <v>1404</v>
      </c>
      <c r="F18" s="310"/>
      <c r="G18" s="310"/>
      <c r="H18" s="335"/>
      <c r="I18" s="312">
        <f>(I16+I17)*0.05</f>
        <v>43780</v>
      </c>
      <c r="J18" s="307">
        <f t="shared" si="1"/>
        <v>41591</v>
      </c>
    </row>
    <row r="19" spans="1:254" s="336" customFormat="1" ht="20.100000000000001" customHeight="1">
      <c r="A19" s="1428"/>
      <c r="B19" s="1428"/>
      <c r="C19" s="1428"/>
      <c r="D19" s="334"/>
      <c r="E19" s="304" t="s">
        <v>1445</v>
      </c>
      <c r="F19" s="310" t="s">
        <v>1448</v>
      </c>
      <c r="G19" s="310">
        <v>1</v>
      </c>
      <c r="H19" s="332">
        <v>30000</v>
      </c>
      <c r="I19" s="332">
        <f>G19*H19</f>
        <v>30000</v>
      </c>
      <c r="J19" s="307">
        <f t="shared" si="1"/>
        <v>28500</v>
      </c>
    </row>
    <row r="20" spans="1:254" s="342" customFormat="1" ht="20.100000000000001" customHeight="1">
      <c r="A20" s="1428"/>
      <c r="B20" s="1428"/>
      <c r="C20" s="1428"/>
      <c r="D20" s="343"/>
      <c r="E20" s="310" t="s">
        <v>25</v>
      </c>
      <c r="F20" s="310"/>
      <c r="G20" s="310"/>
      <c r="H20" s="310"/>
      <c r="I20" s="306">
        <f>ROUNDUP(I16+I17+I18+I19,0)</f>
        <v>949380</v>
      </c>
      <c r="J20" s="307">
        <f t="shared" si="1"/>
        <v>901911</v>
      </c>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341"/>
      <c r="AZ20" s="341"/>
      <c r="BA20" s="341"/>
      <c r="BB20" s="341"/>
      <c r="BC20" s="341"/>
      <c r="BD20" s="341"/>
      <c r="BE20" s="341"/>
      <c r="BF20" s="341"/>
      <c r="BG20" s="341"/>
      <c r="BH20" s="341"/>
      <c r="BI20" s="341"/>
      <c r="BJ20" s="341"/>
      <c r="BK20" s="341"/>
      <c r="BL20" s="341"/>
      <c r="BM20" s="341"/>
      <c r="BN20" s="341"/>
      <c r="BO20" s="341"/>
      <c r="BP20" s="341"/>
      <c r="BQ20" s="341"/>
      <c r="BR20" s="341"/>
      <c r="BS20" s="341"/>
      <c r="BT20" s="341"/>
      <c r="BU20" s="341"/>
      <c r="BV20" s="341"/>
      <c r="BW20" s="341"/>
      <c r="BX20" s="341"/>
      <c r="BY20" s="341"/>
      <c r="BZ20" s="341"/>
      <c r="CA20" s="341"/>
      <c r="CB20" s="341"/>
      <c r="CC20" s="341"/>
      <c r="CD20" s="341"/>
      <c r="CE20" s="341"/>
      <c r="CF20" s="341"/>
      <c r="CG20" s="341"/>
      <c r="CH20" s="341"/>
      <c r="CI20" s="341"/>
      <c r="CJ20" s="341"/>
      <c r="CK20" s="341"/>
      <c r="CL20" s="341"/>
      <c r="CM20" s="341"/>
      <c r="CN20" s="341"/>
      <c r="CO20" s="341"/>
      <c r="CP20" s="341"/>
      <c r="CQ20" s="341"/>
      <c r="CR20" s="341"/>
      <c r="CS20" s="341"/>
      <c r="CT20" s="341"/>
      <c r="CU20" s="341"/>
      <c r="CV20" s="341"/>
      <c r="CW20" s="341"/>
      <c r="CX20" s="341"/>
      <c r="CY20" s="341"/>
      <c r="CZ20" s="341"/>
      <c r="DA20" s="341"/>
      <c r="DB20" s="341"/>
      <c r="DC20" s="341"/>
      <c r="DD20" s="341"/>
      <c r="DE20" s="341"/>
      <c r="DF20" s="341"/>
      <c r="DG20" s="341"/>
      <c r="DH20" s="341"/>
      <c r="DI20" s="341"/>
      <c r="DJ20" s="341"/>
      <c r="DK20" s="341"/>
      <c r="DL20" s="341"/>
      <c r="DM20" s="341"/>
      <c r="DN20" s="341"/>
      <c r="DO20" s="341"/>
      <c r="DP20" s="341"/>
      <c r="DQ20" s="341"/>
      <c r="DR20" s="341"/>
      <c r="DS20" s="341"/>
      <c r="DT20" s="341"/>
      <c r="DU20" s="341"/>
      <c r="DV20" s="341"/>
      <c r="DW20" s="341"/>
      <c r="DX20" s="341"/>
      <c r="DY20" s="341"/>
      <c r="DZ20" s="341"/>
      <c r="EA20" s="341"/>
      <c r="EB20" s="341"/>
      <c r="EC20" s="341"/>
      <c r="ED20" s="341"/>
      <c r="EE20" s="341"/>
      <c r="EF20" s="341"/>
      <c r="EG20" s="341"/>
      <c r="EH20" s="341"/>
      <c r="EI20" s="341"/>
      <c r="EJ20" s="341"/>
      <c r="EK20" s="341"/>
      <c r="EL20" s="341"/>
      <c r="EM20" s="341"/>
      <c r="EN20" s="341"/>
      <c r="EO20" s="341"/>
      <c r="EP20" s="341"/>
      <c r="EQ20" s="341"/>
      <c r="ER20" s="341"/>
      <c r="ES20" s="341"/>
      <c r="ET20" s="341"/>
      <c r="EU20" s="341"/>
      <c r="EV20" s="341"/>
      <c r="EW20" s="341"/>
      <c r="EX20" s="341"/>
      <c r="EY20" s="341"/>
      <c r="EZ20" s="341"/>
      <c r="FA20" s="341"/>
      <c r="FB20" s="341"/>
      <c r="FC20" s="341"/>
      <c r="FD20" s="341"/>
      <c r="FE20" s="341"/>
      <c r="FF20" s="341"/>
      <c r="FG20" s="341"/>
      <c r="FH20" s="341"/>
      <c r="FI20" s="341"/>
      <c r="FJ20" s="341"/>
      <c r="FK20" s="341"/>
      <c r="FL20" s="341"/>
      <c r="FM20" s="341"/>
      <c r="FN20" s="341"/>
      <c r="FO20" s="341"/>
      <c r="FP20" s="341"/>
      <c r="FQ20" s="341"/>
      <c r="FR20" s="341"/>
      <c r="FS20" s="341"/>
      <c r="FT20" s="341"/>
      <c r="FU20" s="341"/>
      <c r="FV20" s="341"/>
      <c r="FW20" s="341"/>
      <c r="FX20" s="341"/>
      <c r="FY20" s="341"/>
      <c r="FZ20" s="341"/>
      <c r="GA20" s="341"/>
      <c r="GB20" s="341"/>
      <c r="GC20" s="341"/>
      <c r="GD20" s="341"/>
      <c r="GE20" s="341"/>
      <c r="GF20" s="341"/>
      <c r="GG20" s="341"/>
      <c r="GH20" s="341"/>
      <c r="GI20" s="341"/>
      <c r="GJ20" s="341"/>
      <c r="GK20" s="341"/>
      <c r="GL20" s="341"/>
      <c r="GM20" s="341"/>
      <c r="GN20" s="341"/>
      <c r="GO20" s="341"/>
      <c r="GP20" s="341"/>
      <c r="GQ20" s="341"/>
      <c r="GR20" s="341"/>
      <c r="GS20" s="341"/>
      <c r="GT20" s="341"/>
      <c r="GU20" s="341"/>
      <c r="GV20" s="341"/>
      <c r="GW20" s="341"/>
      <c r="GX20" s="341"/>
      <c r="GY20" s="341"/>
      <c r="GZ20" s="341"/>
      <c r="HA20" s="341"/>
      <c r="HB20" s="341"/>
      <c r="HC20" s="341"/>
      <c r="HD20" s="341"/>
      <c r="HE20" s="341"/>
      <c r="HF20" s="341"/>
      <c r="HG20" s="341"/>
      <c r="HH20" s="341"/>
      <c r="HI20" s="341"/>
      <c r="HJ20" s="341"/>
      <c r="HK20" s="341"/>
      <c r="HL20" s="341"/>
      <c r="HM20" s="341"/>
      <c r="HN20" s="341"/>
      <c r="HO20" s="341"/>
      <c r="HP20" s="341"/>
      <c r="HQ20" s="341"/>
      <c r="HR20" s="341"/>
      <c r="HS20" s="341"/>
      <c r="HT20" s="341"/>
      <c r="HU20" s="341"/>
      <c r="HV20" s="341"/>
      <c r="HW20" s="341"/>
      <c r="HX20" s="341"/>
      <c r="HY20" s="341"/>
      <c r="HZ20" s="341"/>
      <c r="IA20" s="341"/>
      <c r="IB20" s="341"/>
      <c r="IC20" s="341"/>
      <c r="ID20" s="341"/>
      <c r="IE20" s="341"/>
      <c r="IF20" s="341"/>
      <c r="IG20" s="341"/>
      <c r="IH20" s="341"/>
      <c r="II20" s="341"/>
      <c r="IJ20" s="341"/>
      <c r="IK20" s="341"/>
      <c r="IL20" s="341"/>
      <c r="IM20" s="341"/>
      <c r="IN20" s="341"/>
      <c r="IO20" s="341"/>
      <c r="IP20" s="341"/>
      <c r="IQ20" s="341"/>
      <c r="IR20" s="341"/>
      <c r="IS20" s="341"/>
      <c r="IT20" s="341"/>
    </row>
    <row r="21" spans="1:254" s="331" customFormat="1" ht="20.100000000000001" customHeight="1">
      <c r="A21" s="1427">
        <v>3</v>
      </c>
      <c r="B21" s="1427" t="s">
        <v>1466</v>
      </c>
      <c r="C21" s="1427" t="s">
        <v>1120</v>
      </c>
      <c r="D21" s="1427" t="s">
        <v>1467</v>
      </c>
      <c r="E21" s="339" t="s">
        <v>1468</v>
      </c>
      <c r="F21" s="310" t="s">
        <v>1111</v>
      </c>
      <c r="G21" s="339">
        <v>1280</v>
      </c>
      <c r="H21" s="339">
        <v>300</v>
      </c>
      <c r="I21" s="344">
        <f>SUM(G21*H21)</f>
        <v>384000</v>
      </c>
      <c r="J21" s="307">
        <f t="shared" si="1"/>
        <v>364800</v>
      </c>
    </row>
    <row r="22" spans="1:254" s="331" customFormat="1" ht="20.100000000000001" customHeight="1">
      <c r="A22" s="1427"/>
      <c r="B22" s="1427"/>
      <c r="C22" s="1427"/>
      <c r="D22" s="1427"/>
      <c r="E22" s="339" t="s">
        <v>1469</v>
      </c>
      <c r="F22" s="310" t="s">
        <v>1111</v>
      </c>
      <c r="G22" s="339">
        <v>752</v>
      </c>
      <c r="H22" s="339">
        <v>300</v>
      </c>
      <c r="I22" s="330">
        <f>SUM(G22*H22)</f>
        <v>225600</v>
      </c>
      <c r="J22" s="307">
        <f t="shared" si="1"/>
        <v>214320</v>
      </c>
    </row>
    <row r="23" spans="1:254" s="333" customFormat="1" ht="20.100000000000001" customHeight="1">
      <c r="A23" s="1427"/>
      <c r="B23" s="1427"/>
      <c r="C23" s="1427"/>
      <c r="D23" s="1427"/>
      <c r="E23" s="310" t="s">
        <v>1102</v>
      </c>
      <c r="F23" s="310" t="s">
        <v>1111</v>
      </c>
      <c r="G23" s="310">
        <f>G21+G22</f>
        <v>2032</v>
      </c>
      <c r="H23" s="310">
        <v>30</v>
      </c>
      <c r="I23" s="344">
        <f>SUM(G23*H23)</f>
        <v>60960</v>
      </c>
      <c r="J23" s="307">
        <f t="shared" si="1"/>
        <v>57912</v>
      </c>
    </row>
    <row r="24" spans="1:254" s="331" customFormat="1" ht="20.100000000000001" customHeight="1">
      <c r="A24" s="1427"/>
      <c r="B24" s="1427"/>
      <c r="C24" s="1427"/>
      <c r="D24" s="339" t="s">
        <v>1470</v>
      </c>
      <c r="E24" s="339" t="s">
        <v>1471</v>
      </c>
      <c r="F24" s="310" t="s">
        <v>1111</v>
      </c>
      <c r="G24" s="339">
        <v>4200</v>
      </c>
      <c r="H24" s="339">
        <v>130</v>
      </c>
      <c r="I24" s="330">
        <f>SUM(G24*H24)</f>
        <v>546000</v>
      </c>
      <c r="J24" s="307">
        <f t="shared" si="1"/>
        <v>518700</v>
      </c>
    </row>
    <row r="25" spans="1:254" s="336" customFormat="1" ht="20.100000000000001" customHeight="1">
      <c r="A25" s="1427"/>
      <c r="B25" s="1427"/>
      <c r="C25" s="1427"/>
      <c r="D25" s="334"/>
      <c r="E25" s="310" t="s">
        <v>1097</v>
      </c>
      <c r="F25" s="310"/>
      <c r="G25" s="310"/>
      <c r="H25" s="335"/>
      <c r="I25" s="312">
        <f>SUM(I21:I24)</f>
        <v>1216560</v>
      </c>
      <c r="J25" s="307">
        <f t="shared" si="1"/>
        <v>1155732</v>
      </c>
    </row>
    <row r="26" spans="1:254" s="336" customFormat="1" ht="20.100000000000001" customHeight="1">
      <c r="A26" s="1427"/>
      <c r="B26" s="1427"/>
      <c r="C26" s="1427"/>
      <c r="D26" s="334"/>
      <c r="E26" s="310" t="s">
        <v>1403</v>
      </c>
      <c r="F26" s="310"/>
      <c r="G26" s="310"/>
      <c r="H26" s="337"/>
      <c r="I26" s="312">
        <f>I25*0.1</f>
        <v>121656</v>
      </c>
      <c r="J26" s="307">
        <f t="shared" si="1"/>
        <v>115573</v>
      </c>
    </row>
    <row r="27" spans="1:254" s="336" customFormat="1" ht="20.100000000000001" customHeight="1">
      <c r="A27" s="1427"/>
      <c r="B27" s="1427"/>
      <c r="C27" s="1427"/>
      <c r="D27" s="334"/>
      <c r="E27" s="310" t="s">
        <v>1404</v>
      </c>
      <c r="F27" s="310"/>
      <c r="G27" s="310"/>
      <c r="H27" s="335"/>
      <c r="I27" s="312">
        <f>(I25+I26)*0.05</f>
        <v>66910.8</v>
      </c>
      <c r="J27" s="307">
        <f t="shared" si="1"/>
        <v>63565</v>
      </c>
    </row>
    <row r="28" spans="1:254" s="336" customFormat="1" ht="20.100000000000001" customHeight="1">
      <c r="A28" s="1427"/>
      <c r="B28" s="1427"/>
      <c r="C28" s="1427"/>
      <c r="D28" s="334"/>
      <c r="E28" s="304" t="s">
        <v>1445</v>
      </c>
      <c r="F28" s="310" t="s">
        <v>1448</v>
      </c>
      <c r="G28" s="310">
        <v>1</v>
      </c>
      <c r="H28" s="332">
        <v>30000</v>
      </c>
      <c r="I28" s="332">
        <f>G28*H28</f>
        <v>30000</v>
      </c>
      <c r="J28" s="307">
        <f t="shared" si="1"/>
        <v>28500</v>
      </c>
    </row>
    <row r="29" spans="1:254" s="331" customFormat="1" ht="20.100000000000001" customHeight="1">
      <c r="A29" s="1427"/>
      <c r="B29" s="1427"/>
      <c r="C29" s="1427"/>
      <c r="D29" s="338"/>
      <c r="E29" s="345" t="s">
        <v>25</v>
      </c>
      <c r="F29" s="339"/>
      <c r="G29" s="339"/>
      <c r="H29" s="339"/>
      <c r="I29" s="306">
        <f>ROUNDUP(I25+I26+I27+I28,0)</f>
        <v>1435127</v>
      </c>
      <c r="J29" s="307">
        <v>1363370</v>
      </c>
    </row>
    <row r="30" spans="1:254" s="331" customFormat="1" ht="20.100000000000001" customHeight="1">
      <c r="A30" s="1427">
        <v>4</v>
      </c>
      <c r="B30" s="1427" t="s">
        <v>1472</v>
      </c>
      <c r="C30" s="1427" t="s">
        <v>1473</v>
      </c>
      <c r="D30" s="1427" t="s">
        <v>1121</v>
      </c>
      <c r="E30" s="339" t="s">
        <v>1122</v>
      </c>
      <c r="F30" s="310" t="s">
        <v>1459</v>
      </c>
      <c r="G30" s="339">
        <v>230</v>
      </c>
      <c r="H30" s="339">
        <v>400</v>
      </c>
      <c r="I30" s="344">
        <f t="shared" ref="I30:I46" si="3">SUM(G30*H30)</f>
        <v>92000</v>
      </c>
      <c r="J30" s="307">
        <f t="shared" si="1"/>
        <v>87400</v>
      </c>
    </row>
    <row r="31" spans="1:254" s="331" customFormat="1" ht="20.100000000000001" customHeight="1">
      <c r="A31" s="1427"/>
      <c r="B31" s="1427"/>
      <c r="C31" s="1427"/>
      <c r="D31" s="1427"/>
      <c r="E31" s="339" t="s">
        <v>1123</v>
      </c>
      <c r="F31" s="310" t="s">
        <v>1459</v>
      </c>
      <c r="G31" s="339">
        <v>230</v>
      </c>
      <c r="H31" s="339">
        <v>200</v>
      </c>
      <c r="I31" s="344">
        <f t="shared" si="3"/>
        <v>46000</v>
      </c>
      <c r="J31" s="307">
        <f t="shared" si="1"/>
        <v>43700</v>
      </c>
    </row>
    <row r="32" spans="1:254" s="331" customFormat="1" ht="20.100000000000001" customHeight="1">
      <c r="A32" s="1427"/>
      <c r="B32" s="1427"/>
      <c r="C32" s="1427"/>
      <c r="D32" s="1427"/>
      <c r="E32" s="339" t="s">
        <v>1124</v>
      </c>
      <c r="F32" s="310" t="s">
        <v>1459</v>
      </c>
      <c r="G32" s="339">
        <v>50</v>
      </c>
      <c r="H32" s="339">
        <v>500</v>
      </c>
      <c r="I32" s="330">
        <f t="shared" si="3"/>
        <v>25000</v>
      </c>
      <c r="J32" s="307">
        <f t="shared" si="1"/>
        <v>23750</v>
      </c>
    </row>
    <row r="33" spans="1:10" s="331" customFormat="1" ht="20.100000000000001" customHeight="1">
      <c r="A33" s="1427"/>
      <c r="B33" s="1427"/>
      <c r="C33" s="1427"/>
      <c r="D33" s="1427"/>
      <c r="E33" s="339" t="s">
        <v>1474</v>
      </c>
      <c r="F33" s="310" t="s">
        <v>1459</v>
      </c>
      <c r="G33" s="339">
        <v>180</v>
      </c>
      <c r="H33" s="339">
        <v>200</v>
      </c>
      <c r="I33" s="344">
        <f t="shared" si="3"/>
        <v>36000</v>
      </c>
      <c r="J33" s="307">
        <f t="shared" si="1"/>
        <v>34200</v>
      </c>
    </row>
    <row r="34" spans="1:10" s="331" customFormat="1" ht="20.100000000000001" customHeight="1">
      <c r="A34" s="1427"/>
      <c r="B34" s="1427"/>
      <c r="C34" s="1427"/>
      <c r="D34" s="1427"/>
      <c r="E34" s="339" t="s">
        <v>1125</v>
      </c>
      <c r="F34" s="310" t="s">
        <v>1459</v>
      </c>
      <c r="G34" s="339">
        <v>600</v>
      </c>
      <c r="H34" s="339">
        <v>45</v>
      </c>
      <c r="I34" s="344">
        <f t="shared" si="3"/>
        <v>27000</v>
      </c>
      <c r="J34" s="307">
        <f t="shared" si="1"/>
        <v>25650</v>
      </c>
    </row>
    <row r="35" spans="1:10" s="331" customFormat="1" ht="20.100000000000001" customHeight="1">
      <c r="A35" s="1427"/>
      <c r="B35" s="1427"/>
      <c r="C35" s="1427"/>
      <c r="D35" s="1427"/>
      <c r="E35" s="339" t="s">
        <v>1126</v>
      </c>
      <c r="F35" s="310" t="s">
        <v>1459</v>
      </c>
      <c r="G35" s="339">
        <v>180</v>
      </c>
      <c r="H35" s="339">
        <v>400</v>
      </c>
      <c r="I35" s="344">
        <f t="shared" si="3"/>
        <v>72000</v>
      </c>
      <c r="J35" s="307">
        <f t="shared" si="1"/>
        <v>68400</v>
      </c>
    </row>
    <row r="36" spans="1:10" s="331" customFormat="1" ht="20.100000000000001" customHeight="1">
      <c r="A36" s="1427"/>
      <c r="B36" s="1427"/>
      <c r="C36" s="1427"/>
      <c r="D36" s="1427"/>
      <c r="E36" s="339" t="s">
        <v>1127</v>
      </c>
      <c r="F36" s="339" t="s">
        <v>582</v>
      </c>
      <c r="G36" s="339">
        <v>1</v>
      </c>
      <c r="H36" s="339">
        <v>60000</v>
      </c>
      <c r="I36" s="330">
        <f t="shared" si="3"/>
        <v>60000</v>
      </c>
      <c r="J36" s="307">
        <f t="shared" si="1"/>
        <v>57000</v>
      </c>
    </row>
    <row r="37" spans="1:10" s="331" customFormat="1" ht="20.100000000000001" customHeight="1">
      <c r="A37" s="1427"/>
      <c r="B37" s="1427"/>
      <c r="C37" s="1427"/>
      <c r="D37" s="1427"/>
      <c r="E37" s="339" t="s">
        <v>1128</v>
      </c>
      <c r="F37" s="310" t="s">
        <v>1459</v>
      </c>
      <c r="G37" s="339">
        <v>80</v>
      </c>
      <c r="H37" s="339">
        <v>650</v>
      </c>
      <c r="I37" s="344">
        <f t="shared" si="3"/>
        <v>52000</v>
      </c>
      <c r="J37" s="307">
        <f t="shared" si="1"/>
        <v>49400</v>
      </c>
    </row>
    <row r="38" spans="1:10" s="331" customFormat="1" ht="20.100000000000001" customHeight="1">
      <c r="A38" s="1427"/>
      <c r="B38" s="1427"/>
      <c r="C38" s="1427"/>
      <c r="D38" s="1427" t="s">
        <v>1129</v>
      </c>
      <c r="E38" s="339" t="s">
        <v>1130</v>
      </c>
      <c r="F38" s="310" t="s">
        <v>1459</v>
      </c>
      <c r="G38" s="339">
        <v>100</v>
      </c>
      <c r="H38" s="339">
        <v>400</v>
      </c>
      <c r="I38" s="344">
        <f t="shared" si="3"/>
        <v>40000</v>
      </c>
      <c r="J38" s="307">
        <f t="shared" si="1"/>
        <v>38000</v>
      </c>
    </row>
    <row r="39" spans="1:10" s="331" customFormat="1" ht="20.100000000000001" customHeight="1">
      <c r="A39" s="1427"/>
      <c r="B39" s="1427"/>
      <c r="C39" s="1427"/>
      <c r="D39" s="1427"/>
      <c r="E39" s="339" t="s">
        <v>1123</v>
      </c>
      <c r="F39" s="310" t="s">
        <v>1459</v>
      </c>
      <c r="G39" s="339">
        <v>100</v>
      </c>
      <c r="H39" s="339">
        <v>200</v>
      </c>
      <c r="I39" s="344">
        <f t="shared" si="3"/>
        <v>20000</v>
      </c>
      <c r="J39" s="307">
        <f t="shared" si="1"/>
        <v>19000</v>
      </c>
    </row>
    <row r="40" spans="1:10" s="331" customFormat="1" ht="20.100000000000001" customHeight="1">
      <c r="A40" s="1427"/>
      <c r="B40" s="1427"/>
      <c r="C40" s="1427"/>
      <c r="D40" s="1427"/>
      <c r="E40" s="339" t="s">
        <v>1131</v>
      </c>
      <c r="F40" s="310" t="s">
        <v>1459</v>
      </c>
      <c r="G40" s="339">
        <v>120</v>
      </c>
      <c r="H40" s="339">
        <v>400</v>
      </c>
      <c r="I40" s="330">
        <f t="shared" si="3"/>
        <v>48000</v>
      </c>
      <c r="J40" s="307">
        <f t="shared" si="1"/>
        <v>45600</v>
      </c>
    </row>
    <row r="41" spans="1:10" s="331" customFormat="1" ht="20.100000000000001" customHeight="1">
      <c r="A41" s="1427"/>
      <c r="B41" s="1427"/>
      <c r="C41" s="1427"/>
      <c r="D41" s="1427"/>
      <c r="E41" s="339" t="s">
        <v>1132</v>
      </c>
      <c r="F41" s="310" t="s">
        <v>1459</v>
      </c>
      <c r="G41" s="339">
        <v>60</v>
      </c>
      <c r="H41" s="339">
        <v>650</v>
      </c>
      <c r="I41" s="344">
        <f t="shared" si="3"/>
        <v>39000</v>
      </c>
      <c r="J41" s="307">
        <f t="shared" si="1"/>
        <v>37050</v>
      </c>
    </row>
    <row r="42" spans="1:10" s="331" customFormat="1" ht="20.100000000000001" customHeight="1">
      <c r="A42" s="1427"/>
      <c r="B42" s="1427"/>
      <c r="C42" s="1427"/>
      <c r="D42" s="1427"/>
      <c r="E42" s="339" t="s">
        <v>1474</v>
      </c>
      <c r="F42" s="310" t="s">
        <v>1459</v>
      </c>
      <c r="G42" s="339">
        <v>200</v>
      </c>
      <c r="H42" s="339">
        <v>200</v>
      </c>
      <c r="I42" s="344">
        <f t="shared" si="3"/>
        <v>40000</v>
      </c>
      <c r="J42" s="307">
        <f t="shared" si="1"/>
        <v>38000</v>
      </c>
    </row>
    <row r="43" spans="1:10" s="331" customFormat="1" ht="20.100000000000001" customHeight="1">
      <c r="A43" s="1427"/>
      <c r="B43" s="1427"/>
      <c r="C43" s="1427"/>
      <c r="D43" s="1427"/>
      <c r="E43" s="339" t="s">
        <v>1125</v>
      </c>
      <c r="F43" s="310" t="s">
        <v>1459</v>
      </c>
      <c r="G43" s="339">
        <v>480</v>
      </c>
      <c r="H43" s="339">
        <v>45</v>
      </c>
      <c r="I43" s="344">
        <f t="shared" si="3"/>
        <v>21600</v>
      </c>
      <c r="J43" s="307">
        <f t="shared" si="1"/>
        <v>20520</v>
      </c>
    </row>
    <row r="44" spans="1:10" s="331" customFormat="1" ht="20.100000000000001" customHeight="1">
      <c r="A44" s="1427"/>
      <c r="B44" s="1427"/>
      <c r="C44" s="1427"/>
      <c r="D44" s="1427"/>
      <c r="E44" s="339" t="s">
        <v>1133</v>
      </c>
      <c r="F44" s="310" t="s">
        <v>1459</v>
      </c>
      <c r="G44" s="339">
        <v>180</v>
      </c>
      <c r="H44" s="339">
        <v>400</v>
      </c>
      <c r="I44" s="330">
        <f t="shared" si="3"/>
        <v>72000</v>
      </c>
      <c r="J44" s="307">
        <f t="shared" si="1"/>
        <v>68400</v>
      </c>
    </row>
    <row r="45" spans="1:10" s="331" customFormat="1" ht="20.100000000000001" customHeight="1">
      <c r="A45" s="1427"/>
      <c r="B45" s="1427"/>
      <c r="C45" s="1427"/>
      <c r="D45" s="1427"/>
      <c r="E45" s="339" t="s">
        <v>1134</v>
      </c>
      <c r="F45" s="310" t="s">
        <v>1459</v>
      </c>
      <c r="G45" s="339">
        <v>180</v>
      </c>
      <c r="H45" s="339">
        <v>200</v>
      </c>
      <c r="I45" s="344">
        <f t="shared" si="3"/>
        <v>36000</v>
      </c>
      <c r="J45" s="307">
        <f t="shared" si="1"/>
        <v>34200</v>
      </c>
    </row>
    <row r="46" spans="1:10" s="331" customFormat="1" ht="20.100000000000001" customHeight="1">
      <c r="A46" s="1427"/>
      <c r="B46" s="1427"/>
      <c r="C46" s="1427"/>
      <c r="D46" s="1427"/>
      <c r="E46" s="339" t="s">
        <v>1135</v>
      </c>
      <c r="F46" s="310" t="s">
        <v>1459</v>
      </c>
      <c r="G46" s="339">
        <v>120</v>
      </c>
      <c r="H46" s="339">
        <v>400</v>
      </c>
      <c r="I46" s="344">
        <f t="shared" si="3"/>
        <v>48000</v>
      </c>
      <c r="J46" s="307">
        <f t="shared" si="1"/>
        <v>45600</v>
      </c>
    </row>
    <row r="47" spans="1:10" s="336" customFormat="1" ht="20.100000000000001" customHeight="1">
      <c r="A47" s="1427"/>
      <c r="B47" s="1427"/>
      <c r="C47" s="1427"/>
      <c r="D47" s="334"/>
      <c r="E47" s="310" t="s">
        <v>1097</v>
      </c>
      <c r="F47" s="310"/>
      <c r="G47" s="310"/>
      <c r="H47" s="335"/>
      <c r="I47" s="312">
        <f>SUM(I30:I46)</f>
        <v>774600</v>
      </c>
      <c r="J47" s="307">
        <f t="shared" si="1"/>
        <v>735870</v>
      </c>
    </row>
    <row r="48" spans="1:10" s="336" customFormat="1" ht="20.100000000000001" customHeight="1">
      <c r="A48" s="1427"/>
      <c r="B48" s="1427"/>
      <c r="C48" s="1427"/>
      <c r="D48" s="334"/>
      <c r="E48" s="310" t="s">
        <v>1403</v>
      </c>
      <c r="F48" s="310"/>
      <c r="G48" s="310"/>
      <c r="H48" s="337"/>
      <c r="I48" s="312">
        <f>I47*0.1</f>
        <v>77460</v>
      </c>
      <c r="J48" s="307">
        <f t="shared" si="1"/>
        <v>73587</v>
      </c>
    </row>
    <row r="49" spans="1:10" s="336" customFormat="1" ht="20.100000000000001" customHeight="1">
      <c r="A49" s="1427"/>
      <c r="B49" s="1427"/>
      <c r="C49" s="1427"/>
      <c r="D49" s="334"/>
      <c r="E49" s="310" t="s">
        <v>1404</v>
      </c>
      <c r="F49" s="310"/>
      <c r="G49" s="310"/>
      <c r="H49" s="335"/>
      <c r="I49" s="312">
        <f>(I47+I48)*0.05</f>
        <v>42603</v>
      </c>
      <c r="J49" s="307">
        <f t="shared" si="1"/>
        <v>40473</v>
      </c>
    </row>
    <row r="50" spans="1:10" s="331" customFormat="1" ht="20.100000000000001" customHeight="1">
      <c r="A50" s="1427"/>
      <c r="B50" s="1427"/>
      <c r="C50" s="1427"/>
      <c r="D50" s="338"/>
      <c r="E50" s="345" t="s">
        <v>25</v>
      </c>
      <c r="F50" s="339"/>
      <c r="G50" s="339"/>
      <c r="H50" s="339"/>
      <c r="I50" s="306">
        <f>ROUNDUP(I47+I48+I49,0)</f>
        <v>894663</v>
      </c>
      <c r="J50" s="307">
        <f t="shared" si="1"/>
        <v>849930</v>
      </c>
    </row>
    <row r="51" spans="1:10" s="346" customFormat="1" ht="20.100000000000001" customHeight="1">
      <c r="A51" s="310"/>
      <c r="B51" s="310"/>
      <c r="C51" s="310"/>
      <c r="D51" s="338"/>
      <c r="E51" s="310" t="s">
        <v>1136</v>
      </c>
      <c r="F51" s="310"/>
      <c r="G51" s="310"/>
      <c r="H51" s="310"/>
      <c r="I51" s="340">
        <f>I10+I29+I20+I50</f>
        <v>4178915</v>
      </c>
      <c r="J51" s="307">
        <f t="shared" si="1"/>
        <v>3969969</v>
      </c>
    </row>
    <row r="52" spans="1:10" s="331" customFormat="1" ht="11.25">
      <c r="C52" s="347"/>
      <c r="D52" s="348"/>
      <c r="E52" s="347"/>
      <c r="F52" s="347"/>
      <c r="G52" s="347"/>
      <c r="H52" s="347"/>
      <c r="I52" s="349"/>
      <c r="J52" s="348"/>
    </row>
    <row r="53" spans="1:10" s="331" customFormat="1" ht="11.25">
      <c r="E53" s="350"/>
      <c r="I53" s="351"/>
      <c r="J53" s="350"/>
    </row>
    <row r="54" spans="1:10" s="331" customFormat="1" ht="11.25">
      <c r="B54" s="1426"/>
      <c r="C54" s="1426"/>
      <c r="D54" s="1426"/>
      <c r="E54" s="1426"/>
      <c r="F54" s="1426"/>
      <c r="G54" s="1426"/>
      <c r="H54" s="1426"/>
      <c r="I54" s="1426"/>
      <c r="J54" s="1426"/>
    </row>
    <row r="55" spans="1:10" s="331" customFormat="1" ht="11.25">
      <c r="E55" s="350"/>
      <c r="I55" s="352"/>
      <c r="J55" s="350"/>
    </row>
  </sheetData>
  <mergeCells count="19">
    <mergeCell ref="A11:A20"/>
    <mergeCell ref="B11:B20"/>
    <mergeCell ref="C11:C20"/>
    <mergeCell ref="D11:D12"/>
    <mergeCell ref="A1:J1"/>
    <mergeCell ref="A3:A10"/>
    <mergeCell ref="B3:B10"/>
    <mergeCell ref="C3:C10"/>
    <mergeCell ref="D3:D5"/>
    <mergeCell ref="B54:J54"/>
    <mergeCell ref="A21:A29"/>
    <mergeCell ref="B21:B29"/>
    <mergeCell ref="C21:C29"/>
    <mergeCell ref="D21:D23"/>
    <mergeCell ref="A30:A50"/>
    <mergeCell ref="B30:B50"/>
    <mergeCell ref="C30:C50"/>
    <mergeCell ref="D30:D37"/>
    <mergeCell ref="D38:D46"/>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opLeftCell="A30" workbookViewId="0">
      <selection activeCell="J48" activeCellId="5" sqref="J12 J21 J28 J34 J41 J48"/>
    </sheetView>
  </sheetViews>
  <sheetFormatPr defaultRowHeight="13.5"/>
  <cols>
    <col min="1" max="1" width="5.25" style="303" customWidth="1"/>
    <col min="2" max="3" width="9" style="303"/>
    <col min="4" max="4" width="11.625" style="303" customWidth="1"/>
    <col min="5" max="5" width="21.25" style="303" customWidth="1"/>
    <col min="6" max="6" width="10.125" style="303" customWidth="1"/>
    <col min="7" max="7" width="8.5" style="303" customWidth="1"/>
    <col min="8" max="8" width="11.5" style="303" customWidth="1"/>
    <col min="9" max="9" width="10.75" style="303" customWidth="1"/>
    <col min="10" max="10" width="11.25" style="303" customWidth="1"/>
    <col min="11" max="11" width="41.875" style="303" hidden="1" customWidth="1"/>
    <col min="12" max="16384" width="9" style="303"/>
  </cols>
  <sheetData>
    <row r="1" spans="1:11" ht="35.1" customHeight="1">
      <c r="A1" s="1422" t="s">
        <v>1137</v>
      </c>
      <c r="B1" s="1422"/>
      <c r="C1" s="1422"/>
      <c r="D1" s="1422"/>
      <c r="E1" s="1422"/>
      <c r="F1" s="1422"/>
      <c r="G1" s="1422"/>
      <c r="H1" s="1422"/>
      <c r="I1" s="1422"/>
      <c r="J1" s="1422"/>
    </row>
    <row r="2" spans="1:11" s="357" customFormat="1" ht="20.100000000000001" customHeight="1">
      <c r="A2" s="355" t="s">
        <v>0</v>
      </c>
      <c r="B2" s="356" t="s">
        <v>1085</v>
      </c>
      <c r="C2" s="355" t="s">
        <v>1086</v>
      </c>
      <c r="D2" s="355" t="s">
        <v>1087</v>
      </c>
      <c r="E2" s="313" t="s">
        <v>1088</v>
      </c>
      <c r="F2" s="355" t="s">
        <v>129</v>
      </c>
      <c r="G2" s="355" t="s">
        <v>1089</v>
      </c>
      <c r="H2" s="355" t="s">
        <v>1090</v>
      </c>
      <c r="I2" s="306" t="s">
        <v>1091</v>
      </c>
      <c r="J2" s="307" t="s">
        <v>1395</v>
      </c>
      <c r="K2" s="304" t="s">
        <v>1396</v>
      </c>
    </row>
    <row r="3" spans="1:11" s="309" customFormat="1" ht="20.100000000000001" customHeight="1">
      <c r="A3" s="1428">
        <v>1</v>
      </c>
      <c r="B3" s="1428" t="s">
        <v>1484</v>
      </c>
      <c r="C3" s="1428" t="s">
        <v>1485</v>
      </c>
      <c r="D3" s="1428" t="s">
        <v>1413</v>
      </c>
      <c r="E3" s="310" t="s">
        <v>1138</v>
      </c>
      <c r="F3" s="310" t="s">
        <v>1486</v>
      </c>
      <c r="G3" s="310">
        <v>350</v>
      </c>
      <c r="H3" s="310">
        <v>400</v>
      </c>
      <c r="I3" s="311">
        <f>G3*H3</f>
        <v>140000</v>
      </c>
      <c r="J3" s="305">
        <f>ROUND(I3*0.95,0)</f>
        <v>133000</v>
      </c>
      <c r="K3" s="316" t="s">
        <v>1487</v>
      </c>
    </row>
    <row r="4" spans="1:11" s="309" customFormat="1" ht="20.100000000000001" customHeight="1">
      <c r="A4" s="1428"/>
      <c r="B4" s="1428"/>
      <c r="C4" s="1428"/>
      <c r="D4" s="1428"/>
      <c r="E4" s="310" t="s">
        <v>1488</v>
      </c>
      <c r="F4" s="310" t="s">
        <v>1093</v>
      </c>
      <c r="G4" s="310">
        <v>1520</v>
      </c>
      <c r="H4" s="310">
        <v>270</v>
      </c>
      <c r="I4" s="311">
        <f>G4*H4</f>
        <v>410400</v>
      </c>
      <c r="J4" s="305">
        <f t="shared" ref="J4:J49" si="0">ROUND(I4*0.95,0)</f>
        <v>389880</v>
      </c>
      <c r="K4" s="316" t="s">
        <v>1489</v>
      </c>
    </row>
    <row r="5" spans="1:11" s="309" customFormat="1" ht="20.100000000000001" customHeight="1">
      <c r="A5" s="1428"/>
      <c r="B5" s="1428"/>
      <c r="C5" s="1428"/>
      <c r="D5" s="1428"/>
      <c r="E5" s="310" t="s">
        <v>1102</v>
      </c>
      <c r="F5" s="310" t="s">
        <v>1093</v>
      </c>
      <c r="G5" s="310">
        <f>G4</f>
        <v>1520</v>
      </c>
      <c r="H5" s="310">
        <v>30</v>
      </c>
      <c r="I5" s="311">
        <f>G5*H5</f>
        <v>45600</v>
      </c>
      <c r="J5" s="305">
        <f t="shared" si="0"/>
        <v>43320</v>
      </c>
      <c r="K5" s="308"/>
    </row>
    <row r="6" spans="1:11" s="309" customFormat="1" ht="20.100000000000001" customHeight="1">
      <c r="A6" s="1428"/>
      <c r="B6" s="1428"/>
      <c r="C6" s="1428"/>
      <c r="D6" s="1428"/>
      <c r="E6" s="310" t="s">
        <v>1490</v>
      </c>
      <c r="F6" s="310" t="s">
        <v>1093</v>
      </c>
      <c r="G6" s="310">
        <v>2800</v>
      </c>
      <c r="H6" s="310">
        <v>150</v>
      </c>
      <c r="I6" s="311">
        <f>G6*H6</f>
        <v>420000</v>
      </c>
      <c r="J6" s="305">
        <f t="shared" si="0"/>
        <v>399000</v>
      </c>
      <c r="K6" s="316" t="s">
        <v>1491</v>
      </c>
    </row>
    <row r="7" spans="1:11" s="309" customFormat="1" ht="20.100000000000001" customHeight="1">
      <c r="A7" s="1428"/>
      <c r="B7" s="1428"/>
      <c r="C7" s="1428"/>
      <c r="D7" s="1428"/>
      <c r="E7" s="310" t="s">
        <v>1102</v>
      </c>
      <c r="F7" s="310" t="s">
        <v>1093</v>
      </c>
      <c r="G7" s="310">
        <v>2800</v>
      </c>
      <c r="H7" s="310">
        <v>20</v>
      </c>
      <c r="I7" s="311">
        <f>G7*H7</f>
        <v>56000</v>
      </c>
      <c r="J7" s="305">
        <f t="shared" si="0"/>
        <v>53200</v>
      </c>
      <c r="K7" s="308"/>
    </row>
    <row r="8" spans="1:11" s="314" customFormat="1" ht="20.100000000000001" customHeight="1">
      <c r="A8" s="1428"/>
      <c r="B8" s="1428"/>
      <c r="C8" s="1428"/>
      <c r="D8" s="310"/>
      <c r="E8" s="310" t="s">
        <v>1097</v>
      </c>
      <c r="F8" s="310"/>
      <c r="G8" s="310"/>
      <c r="H8" s="311"/>
      <c r="I8" s="312">
        <f>SUM(I3:I7)</f>
        <v>1072000</v>
      </c>
      <c r="J8" s="305">
        <f t="shared" si="0"/>
        <v>1018400</v>
      </c>
      <c r="K8" s="313"/>
    </row>
    <row r="9" spans="1:11" s="314" customFormat="1" ht="20.100000000000001" customHeight="1">
      <c r="A9" s="1428"/>
      <c r="B9" s="1428"/>
      <c r="C9" s="1428"/>
      <c r="D9" s="310"/>
      <c r="E9" s="310" t="s">
        <v>1408</v>
      </c>
      <c r="F9" s="310"/>
      <c r="G9" s="310"/>
      <c r="H9" s="315"/>
      <c r="I9" s="312">
        <f>I8*0.1</f>
        <v>107200</v>
      </c>
      <c r="J9" s="305">
        <f t="shared" si="0"/>
        <v>101840</v>
      </c>
      <c r="K9" s="313"/>
    </row>
    <row r="10" spans="1:11" s="314" customFormat="1" ht="20.100000000000001" customHeight="1">
      <c r="A10" s="1428"/>
      <c r="B10" s="1428"/>
      <c r="C10" s="1428"/>
      <c r="D10" s="310"/>
      <c r="E10" s="310" t="s">
        <v>1409</v>
      </c>
      <c r="F10" s="310"/>
      <c r="G10" s="310"/>
      <c r="H10" s="311"/>
      <c r="I10" s="312">
        <f>(I8+I9)*0.05</f>
        <v>58960</v>
      </c>
      <c r="J10" s="305">
        <f t="shared" si="0"/>
        <v>56012</v>
      </c>
      <c r="K10" s="313"/>
    </row>
    <row r="11" spans="1:11" s="350" customFormat="1" ht="20.100000000000001" customHeight="1">
      <c r="A11" s="1428"/>
      <c r="B11" s="1428"/>
      <c r="C11" s="1428"/>
      <c r="D11" s="358"/>
      <c r="E11" s="304" t="s">
        <v>1415</v>
      </c>
      <c r="F11" s="310" t="s">
        <v>1416</v>
      </c>
      <c r="G11" s="310">
        <v>1</v>
      </c>
      <c r="H11" s="310">
        <v>60000</v>
      </c>
      <c r="I11" s="310">
        <f>H11</f>
        <v>60000</v>
      </c>
      <c r="J11" s="305">
        <f t="shared" si="0"/>
        <v>57000</v>
      </c>
      <c r="K11" s="359"/>
    </row>
    <row r="12" spans="1:11" s="309" customFormat="1" ht="20.100000000000001" customHeight="1">
      <c r="A12" s="1428"/>
      <c r="B12" s="1428"/>
      <c r="C12" s="1428"/>
      <c r="D12" s="310"/>
      <c r="E12" s="310" t="s">
        <v>1418</v>
      </c>
      <c r="F12" s="310"/>
      <c r="G12" s="310"/>
      <c r="H12" s="310"/>
      <c r="I12" s="306">
        <f>ROUNDUP(I8+I9+I10+I11,0)</f>
        <v>1298160</v>
      </c>
      <c r="J12" s="305">
        <f t="shared" si="0"/>
        <v>1233252</v>
      </c>
      <c r="K12" s="316"/>
    </row>
    <row r="13" spans="1:11" s="309" customFormat="1" ht="20.100000000000001" customHeight="1">
      <c r="A13" s="1428">
        <v>2</v>
      </c>
      <c r="B13" s="1428" t="s">
        <v>1139</v>
      </c>
      <c r="C13" s="1428" t="s">
        <v>1492</v>
      </c>
      <c r="D13" s="1428" t="s">
        <v>1140</v>
      </c>
      <c r="E13" s="310" t="s">
        <v>1493</v>
      </c>
      <c r="F13" s="310" t="s">
        <v>1093</v>
      </c>
      <c r="G13" s="310">
        <v>455</v>
      </c>
      <c r="H13" s="310">
        <v>500</v>
      </c>
      <c r="I13" s="311">
        <f t="shared" ref="I13:I16" si="1">G13*H13</f>
        <v>227500</v>
      </c>
      <c r="J13" s="305">
        <f t="shared" si="0"/>
        <v>216125</v>
      </c>
      <c r="K13" s="316" t="s">
        <v>1494</v>
      </c>
    </row>
    <row r="14" spans="1:11" s="309" customFormat="1" ht="20.100000000000001" customHeight="1">
      <c r="A14" s="1428"/>
      <c r="B14" s="1428"/>
      <c r="C14" s="1428"/>
      <c r="D14" s="1428"/>
      <c r="E14" s="310" t="s">
        <v>1495</v>
      </c>
      <c r="F14" s="310" t="s">
        <v>1093</v>
      </c>
      <c r="G14" s="310">
        <v>2522</v>
      </c>
      <c r="H14" s="310">
        <v>270</v>
      </c>
      <c r="I14" s="311">
        <f t="shared" si="1"/>
        <v>680940</v>
      </c>
      <c r="J14" s="305">
        <f t="shared" si="0"/>
        <v>646893</v>
      </c>
      <c r="K14" s="316" t="s">
        <v>1141</v>
      </c>
    </row>
    <row r="15" spans="1:11" s="309" customFormat="1" ht="20.100000000000001" customHeight="1">
      <c r="A15" s="1428"/>
      <c r="B15" s="1428"/>
      <c r="C15" s="1428"/>
      <c r="D15" s="1428"/>
      <c r="E15" s="310" t="s">
        <v>1102</v>
      </c>
      <c r="F15" s="310" t="s">
        <v>1093</v>
      </c>
      <c r="G15" s="310">
        <f>SUM(G14:G14)</f>
        <v>2522</v>
      </c>
      <c r="H15" s="310">
        <v>30</v>
      </c>
      <c r="I15" s="311">
        <f>G15*H15</f>
        <v>75660</v>
      </c>
      <c r="J15" s="305">
        <f t="shared" si="0"/>
        <v>71877</v>
      </c>
      <c r="K15" s="308"/>
    </row>
    <row r="16" spans="1:11" s="309" customFormat="1" ht="20.100000000000001" customHeight="1">
      <c r="A16" s="1428"/>
      <c r="B16" s="1428"/>
      <c r="C16" s="1428"/>
      <c r="D16" s="310" t="s">
        <v>1142</v>
      </c>
      <c r="E16" s="310" t="s">
        <v>1496</v>
      </c>
      <c r="F16" s="310" t="s">
        <v>1414</v>
      </c>
      <c r="G16" s="310">
        <v>75</v>
      </c>
      <c r="H16" s="310">
        <v>570</v>
      </c>
      <c r="I16" s="311">
        <f t="shared" si="1"/>
        <v>42750</v>
      </c>
      <c r="J16" s="305">
        <f t="shared" si="0"/>
        <v>40613</v>
      </c>
      <c r="K16" s="316" t="s">
        <v>1497</v>
      </c>
    </row>
    <row r="17" spans="1:11" s="314" customFormat="1" ht="20.100000000000001" customHeight="1">
      <c r="A17" s="1428"/>
      <c r="B17" s="1428"/>
      <c r="C17" s="1428"/>
      <c r="D17" s="310"/>
      <c r="E17" s="310" t="s">
        <v>1097</v>
      </c>
      <c r="F17" s="310"/>
      <c r="G17" s="310"/>
      <c r="H17" s="311"/>
      <c r="I17" s="312">
        <f>SUM(I13:I16)</f>
        <v>1026850</v>
      </c>
      <c r="J17" s="305">
        <f t="shared" si="0"/>
        <v>975508</v>
      </c>
      <c r="K17" s="313"/>
    </row>
    <row r="18" spans="1:11" s="314" customFormat="1" ht="20.100000000000001" customHeight="1">
      <c r="A18" s="1428"/>
      <c r="B18" s="1428"/>
      <c r="C18" s="1428"/>
      <c r="D18" s="310"/>
      <c r="E18" s="310" t="s">
        <v>1408</v>
      </c>
      <c r="F18" s="310"/>
      <c r="G18" s="310"/>
      <c r="H18" s="315"/>
      <c r="I18" s="312">
        <f>I17*0.1</f>
        <v>102685</v>
      </c>
      <c r="J18" s="305">
        <f t="shared" si="0"/>
        <v>97551</v>
      </c>
      <c r="K18" s="313"/>
    </row>
    <row r="19" spans="1:11" s="314" customFormat="1" ht="20.100000000000001" customHeight="1">
      <c r="A19" s="1428"/>
      <c r="B19" s="1428"/>
      <c r="C19" s="1428"/>
      <c r="D19" s="310"/>
      <c r="E19" s="310" t="s">
        <v>1409</v>
      </c>
      <c r="F19" s="310"/>
      <c r="G19" s="310"/>
      <c r="H19" s="311"/>
      <c r="I19" s="312">
        <f>(I17+I18)*0.05</f>
        <v>56476.75</v>
      </c>
      <c r="J19" s="305">
        <f t="shared" si="0"/>
        <v>53653</v>
      </c>
      <c r="K19" s="313"/>
    </row>
    <row r="20" spans="1:11" s="350" customFormat="1" ht="20.100000000000001" customHeight="1">
      <c r="A20" s="1428"/>
      <c r="B20" s="1428"/>
      <c r="C20" s="1428"/>
      <c r="D20" s="358"/>
      <c r="E20" s="304" t="s">
        <v>1415</v>
      </c>
      <c r="F20" s="310" t="s">
        <v>1416</v>
      </c>
      <c r="G20" s="310">
        <v>1</v>
      </c>
      <c r="H20" s="310">
        <v>30000</v>
      </c>
      <c r="I20" s="310">
        <f>G20*H20</f>
        <v>30000</v>
      </c>
      <c r="J20" s="305">
        <f t="shared" si="0"/>
        <v>28500</v>
      </c>
      <c r="K20" s="359"/>
    </row>
    <row r="21" spans="1:11" s="309" customFormat="1" ht="20.100000000000001" customHeight="1">
      <c r="A21" s="1428"/>
      <c r="B21" s="1428"/>
      <c r="C21" s="1428"/>
      <c r="D21" s="310"/>
      <c r="E21" s="310" t="s">
        <v>1418</v>
      </c>
      <c r="F21" s="310"/>
      <c r="G21" s="310"/>
      <c r="H21" s="310"/>
      <c r="I21" s="306">
        <f>ROUNDUP(I17+I18+I19+I20,0)</f>
        <v>1216012</v>
      </c>
      <c r="J21" s="305">
        <f t="shared" si="0"/>
        <v>1155211</v>
      </c>
      <c r="K21" s="316"/>
    </row>
    <row r="22" spans="1:11" s="309" customFormat="1" ht="20.100000000000001" customHeight="1">
      <c r="A22" s="1428">
        <v>3</v>
      </c>
      <c r="B22" s="1428" t="s">
        <v>428</v>
      </c>
      <c r="C22" s="1428" t="s">
        <v>1498</v>
      </c>
      <c r="D22" s="1428" t="s">
        <v>1143</v>
      </c>
      <c r="E22" s="316" t="s">
        <v>1144</v>
      </c>
      <c r="F22" s="339" t="s">
        <v>1093</v>
      </c>
      <c r="G22" s="316">
        <v>2400</v>
      </c>
      <c r="H22" s="316">
        <v>60</v>
      </c>
      <c r="I22" s="316">
        <f>G22*H22</f>
        <v>144000</v>
      </c>
      <c r="J22" s="305">
        <f t="shared" si="0"/>
        <v>136800</v>
      </c>
      <c r="K22" s="316" t="s">
        <v>1499</v>
      </c>
    </row>
    <row r="23" spans="1:11" s="309" customFormat="1" ht="20.100000000000001" customHeight="1">
      <c r="A23" s="1428"/>
      <c r="B23" s="1428"/>
      <c r="C23" s="1428"/>
      <c r="D23" s="1428"/>
      <c r="E23" s="316" t="s">
        <v>1500</v>
      </c>
      <c r="F23" s="339" t="s">
        <v>1093</v>
      </c>
      <c r="G23" s="316">
        <v>9025</v>
      </c>
      <c r="H23" s="316">
        <v>45</v>
      </c>
      <c r="I23" s="316">
        <f t="shared" ref="I23:I24" si="2">G23*H23</f>
        <v>406125</v>
      </c>
      <c r="J23" s="305">
        <f t="shared" si="0"/>
        <v>385819</v>
      </c>
      <c r="K23" s="316" t="s">
        <v>1501</v>
      </c>
    </row>
    <row r="24" spans="1:11" s="309" customFormat="1" ht="20.100000000000001" customHeight="1">
      <c r="A24" s="1428"/>
      <c r="B24" s="1428"/>
      <c r="C24" s="1428"/>
      <c r="D24" s="1428"/>
      <c r="E24" s="316" t="s">
        <v>1145</v>
      </c>
      <c r="F24" s="339" t="s">
        <v>1093</v>
      </c>
      <c r="G24" s="316">
        <v>1800</v>
      </c>
      <c r="H24" s="316">
        <v>220</v>
      </c>
      <c r="I24" s="316">
        <f t="shared" si="2"/>
        <v>396000</v>
      </c>
      <c r="J24" s="305">
        <f t="shared" si="0"/>
        <v>376200</v>
      </c>
      <c r="K24" s="316" t="s">
        <v>1502</v>
      </c>
    </row>
    <row r="25" spans="1:11" s="314" customFormat="1" ht="20.100000000000001" customHeight="1">
      <c r="A25" s="1428"/>
      <c r="B25" s="1428"/>
      <c r="C25" s="1428"/>
      <c r="D25" s="1428"/>
      <c r="E25" s="339" t="s">
        <v>1097</v>
      </c>
      <c r="F25" s="339"/>
      <c r="G25" s="339"/>
      <c r="H25" s="360"/>
      <c r="I25" s="361">
        <f>SUM(I22:I24)</f>
        <v>946125</v>
      </c>
      <c r="J25" s="305">
        <f t="shared" si="0"/>
        <v>898819</v>
      </c>
      <c r="K25" s="313"/>
    </row>
    <row r="26" spans="1:11" s="314" customFormat="1" ht="20.100000000000001" customHeight="1">
      <c r="A26" s="1428"/>
      <c r="B26" s="1428"/>
      <c r="C26" s="1428"/>
      <c r="D26" s="1428"/>
      <c r="E26" s="339" t="s">
        <v>1408</v>
      </c>
      <c r="F26" s="339"/>
      <c r="G26" s="339"/>
      <c r="H26" s="315"/>
      <c r="I26" s="361">
        <f>I25*0.1</f>
        <v>94612.5</v>
      </c>
      <c r="J26" s="305">
        <f t="shared" si="0"/>
        <v>89882</v>
      </c>
      <c r="K26" s="313"/>
    </row>
    <row r="27" spans="1:11" s="314" customFormat="1" ht="20.100000000000001" customHeight="1">
      <c r="A27" s="1428"/>
      <c r="B27" s="1428"/>
      <c r="C27" s="1428"/>
      <c r="D27" s="1428"/>
      <c r="E27" s="339" t="s">
        <v>1409</v>
      </c>
      <c r="F27" s="339"/>
      <c r="G27" s="339"/>
      <c r="H27" s="360"/>
      <c r="I27" s="361">
        <f>(I25+I26)*0.05</f>
        <v>52036.875</v>
      </c>
      <c r="J27" s="305">
        <f t="shared" si="0"/>
        <v>49435</v>
      </c>
      <c r="K27" s="313"/>
    </row>
    <row r="28" spans="1:11" s="309" customFormat="1" ht="20.100000000000001" customHeight="1">
      <c r="A28" s="1428"/>
      <c r="B28" s="1428"/>
      <c r="C28" s="1428"/>
      <c r="D28" s="1428"/>
      <c r="E28" s="310" t="s">
        <v>1418</v>
      </c>
      <c r="F28" s="310"/>
      <c r="G28" s="310"/>
      <c r="H28" s="310"/>
      <c r="I28" s="306">
        <f>ROUNDUP(I25+I26+I27,0)</f>
        <v>1092775</v>
      </c>
      <c r="J28" s="305">
        <f t="shared" si="0"/>
        <v>1038136</v>
      </c>
      <c r="K28" s="316"/>
    </row>
    <row r="29" spans="1:11" s="309" customFormat="1" ht="20.100000000000001" customHeight="1">
      <c r="A29" s="1428">
        <v>4</v>
      </c>
      <c r="B29" s="1428" t="s">
        <v>50</v>
      </c>
      <c r="C29" s="1428" t="s">
        <v>1503</v>
      </c>
      <c r="D29" s="310" t="s">
        <v>1146</v>
      </c>
      <c r="E29" s="310" t="s">
        <v>1147</v>
      </c>
      <c r="F29" s="310" t="s">
        <v>1093</v>
      </c>
      <c r="G29" s="310">
        <v>100</v>
      </c>
      <c r="H29" s="310">
        <v>1200</v>
      </c>
      <c r="I29" s="311">
        <f>G29*H29</f>
        <v>120000</v>
      </c>
      <c r="J29" s="305">
        <f t="shared" si="0"/>
        <v>114000</v>
      </c>
      <c r="K29" s="316" t="s">
        <v>1504</v>
      </c>
    </row>
    <row r="30" spans="1:11" s="309" customFormat="1" ht="20.100000000000001" customHeight="1">
      <c r="A30" s="1428"/>
      <c r="B30" s="1428"/>
      <c r="C30" s="1428"/>
      <c r="D30" s="310" t="s">
        <v>1148</v>
      </c>
      <c r="E30" s="310" t="s">
        <v>1505</v>
      </c>
      <c r="F30" s="310" t="s">
        <v>1149</v>
      </c>
      <c r="G30" s="310">
        <v>220</v>
      </c>
      <c r="H30" s="310">
        <v>1000</v>
      </c>
      <c r="I30" s="311">
        <f>G30*H30</f>
        <v>220000</v>
      </c>
      <c r="J30" s="305">
        <f t="shared" si="0"/>
        <v>209000</v>
      </c>
      <c r="K30" s="316" t="s">
        <v>1506</v>
      </c>
    </row>
    <row r="31" spans="1:11" s="314" customFormat="1" ht="20.100000000000001" customHeight="1">
      <c r="A31" s="1428"/>
      <c r="B31" s="1428"/>
      <c r="C31" s="1428"/>
      <c r="D31" s="310"/>
      <c r="E31" s="310" t="s">
        <v>1097</v>
      </c>
      <c r="F31" s="310"/>
      <c r="G31" s="310"/>
      <c r="H31" s="311"/>
      <c r="I31" s="312">
        <f>SUM(I29:I30)</f>
        <v>340000</v>
      </c>
      <c r="J31" s="305">
        <f t="shared" si="0"/>
        <v>323000</v>
      </c>
      <c r="K31" s="313"/>
    </row>
    <row r="32" spans="1:11" s="314" customFormat="1" ht="20.100000000000001" customHeight="1">
      <c r="A32" s="1428"/>
      <c r="B32" s="1428"/>
      <c r="C32" s="1428"/>
      <c r="D32" s="310"/>
      <c r="E32" s="310" t="s">
        <v>1408</v>
      </c>
      <c r="F32" s="310"/>
      <c r="G32" s="310"/>
      <c r="H32" s="315"/>
      <c r="I32" s="312">
        <f>I31*0.1</f>
        <v>34000</v>
      </c>
      <c r="J32" s="305">
        <f t="shared" si="0"/>
        <v>32300</v>
      </c>
      <c r="K32" s="313"/>
    </row>
    <row r="33" spans="1:11" s="314" customFormat="1" ht="20.100000000000001" customHeight="1">
      <c r="A33" s="1428"/>
      <c r="B33" s="1428"/>
      <c r="C33" s="1428"/>
      <c r="D33" s="310"/>
      <c r="E33" s="310" t="s">
        <v>1409</v>
      </c>
      <c r="F33" s="310"/>
      <c r="G33" s="310"/>
      <c r="H33" s="311"/>
      <c r="I33" s="312">
        <f>(I31+I32)*0.05</f>
        <v>18700</v>
      </c>
      <c r="J33" s="305">
        <f t="shared" si="0"/>
        <v>17765</v>
      </c>
      <c r="K33" s="313"/>
    </row>
    <row r="34" spans="1:11" s="309" customFormat="1" ht="20.100000000000001" customHeight="1">
      <c r="A34" s="1428"/>
      <c r="B34" s="1428"/>
      <c r="C34" s="1428"/>
      <c r="D34" s="310"/>
      <c r="E34" s="310" t="s">
        <v>1418</v>
      </c>
      <c r="F34" s="310"/>
      <c r="G34" s="310"/>
      <c r="H34" s="310"/>
      <c r="I34" s="306">
        <f>ROUNDUP(I31+I32+I33,0)</f>
        <v>392700</v>
      </c>
      <c r="J34" s="305">
        <f t="shared" si="0"/>
        <v>373065</v>
      </c>
      <c r="K34" s="316"/>
    </row>
    <row r="35" spans="1:11" s="309" customFormat="1" ht="20.100000000000001" customHeight="1">
      <c r="A35" s="1428">
        <v>5</v>
      </c>
      <c r="B35" s="1428" t="s">
        <v>47</v>
      </c>
      <c r="C35" s="1416" t="s">
        <v>1507</v>
      </c>
      <c r="D35" s="1428" t="s">
        <v>1150</v>
      </c>
      <c r="E35" s="310" t="s">
        <v>1508</v>
      </c>
      <c r="F35" s="310" t="s">
        <v>1093</v>
      </c>
      <c r="G35" s="310">
        <v>1414.5</v>
      </c>
      <c r="H35" s="310">
        <v>270</v>
      </c>
      <c r="I35" s="311">
        <f t="shared" ref="I35" si="3">G35*H35</f>
        <v>381915</v>
      </c>
      <c r="J35" s="305">
        <f t="shared" si="0"/>
        <v>362819</v>
      </c>
      <c r="K35" s="316" t="s">
        <v>1509</v>
      </c>
    </row>
    <row r="36" spans="1:11" s="309" customFormat="1" ht="20.100000000000001" customHeight="1">
      <c r="A36" s="1428"/>
      <c r="B36" s="1428"/>
      <c r="C36" s="1432"/>
      <c r="D36" s="1428"/>
      <c r="E36" s="310" t="s">
        <v>1102</v>
      </c>
      <c r="F36" s="310" t="s">
        <v>1093</v>
      </c>
      <c r="G36" s="310">
        <f>G35</f>
        <v>1414.5</v>
      </c>
      <c r="H36" s="310">
        <v>30</v>
      </c>
      <c r="I36" s="311">
        <f>G36*H36</f>
        <v>42435</v>
      </c>
      <c r="J36" s="305">
        <f t="shared" si="0"/>
        <v>40313</v>
      </c>
      <c r="K36" s="316" t="s">
        <v>1510</v>
      </c>
    </row>
    <row r="37" spans="1:11" s="314" customFormat="1" ht="20.100000000000001" customHeight="1">
      <c r="A37" s="1428"/>
      <c r="B37" s="1428"/>
      <c r="C37" s="1432"/>
      <c r="D37" s="310"/>
      <c r="E37" s="310" t="s">
        <v>1097</v>
      </c>
      <c r="F37" s="310"/>
      <c r="G37" s="310"/>
      <c r="H37" s="311"/>
      <c r="I37" s="312">
        <f>SUM(I35:I36)</f>
        <v>424350</v>
      </c>
      <c r="J37" s="305">
        <f t="shared" si="0"/>
        <v>403133</v>
      </c>
      <c r="K37" s="313"/>
    </row>
    <row r="38" spans="1:11" s="314" customFormat="1" ht="20.100000000000001" customHeight="1">
      <c r="A38" s="1428"/>
      <c r="B38" s="1428"/>
      <c r="C38" s="1432"/>
      <c r="D38" s="310"/>
      <c r="E38" s="310" t="s">
        <v>1408</v>
      </c>
      <c r="F38" s="310"/>
      <c r="G38" s="310"/>
      <c r="H38" s="315"/>
      <c r="I38" s="312">
        <f>I37*0.1</f>
        <v>42435</v>
      </c>
      <c r="J38" s="305">
        <f t="shared" si="0"/>
        <v>40313</v>
      </c>
      <c r="K38" s="313"/>
    </row>
    <row r="39" spans="1:11" s="314" customFormat="1" ht="20.100000000000001" customHeight="1">
      <c r="A39" s="1428"/>
      <c r="B39" s="1428"/>
      <c r="C39" s="1432"/>
      <c r="D39" s="310"/>
      <c r="E39" s="310" t="s">
        <v>1409</v>
      </c>
      <c r="F39" s="310"/>
      <c r="G39" s="310"/>
      <c r="H39" s="311"/>
      <c r="I39" s="312">
        <f>(I37+I38)*0.05</f>
        <v>23339.25</v>
      </c>
      <c r="J39" s="305">
        <f t="shared" si="0"/>
        <v>22172</v>
      </c>
      <c r="K39" s="313"/>
    </row>
    <row r="40" spans="1:11" s="350" customFormat="1" ht="20.100000000000001" customHeight="1">
      <c r="A40" s="1428"/>
      <c r="B40" s="1428"/>
      <c r="C40" s="1432"/>
      <c r="D40" s="358"/>
      <c r="E40" s="304" t="s">
        <v>1415</v>
      </c>
      <c r="F40" s="310" t="s">
        <v>1416</v>
      </c>
      <c r="G40" s="310">
        <v>1</v>
      </c>
      <c r="H40" s="310">
        <v>30000</v>
      </c>
      <c r="I40" s="310">
        <f>G40*H40</f>
        <v>30000</v>
      </c>
      <c r="J40" s="305">
        <f t="shared" si="0"/>
        <v>28500</v>
      </c>
      <c r="K40" s="359"/>
    </row>
    <row r="41" spans="1:11" s="309" customFormat="1" ht="20.100000000000001" customHeight="1">
      <c r="A41" s="1428"/>
      <c r="B41" s="1428"/>
      <c r="C41" s="1432"/>
      <c r="D41" s="310"/>
      <c r="E41" s="310" t="s">
        <v>1418</v>
      </c>
      <c r="F41" s="310"/>
      <c r="G41" s="310"/>
      <c r="H41" s="310"/>
      <c r="I41" s="306">
        <f>ROUNDUP(I37+I38+I39+I40,0)</f>
        <v>520125</v>
      </c>
      <c r="J41" s="305">
        <f t="shared" si="0"/>
        <v>494119</v>
      </c>
      <c r="K41" s="316"/>
    </row>
    <row r="42" spans="1:11" s="309" customFormat="1" ht="20.100000000000001" customHeight="1">
      <c r="A42" s="1428">
        <v>6</v>
      </c>
      <c r="B42" s="1428" t="s">
        <v>1511</v>
      </c>
      <c r="C42" s="1428" t="s">
        <v>1512</v>
      </c>
      <c r="D42" s="1428" t="s">
        <v>1413</v>
      </c>
      <c r="E42" s="310" t="s">
        <v>1151</v>
      </c>
      <c r="F42" s="310" t="s">
        <v>1093</v>
      </c>
      <c r="G42" s="310">
        <v>215</v>
      </c>
      <c r="H42" s="310">
        <v>200</v>
      </c>
      <c r="I42" s="311">
        <f>G42*H42</f>
        <v>43000</v>
      </c>
      <c r="J42" s="305">
        <f t="shared" si="0"/>
        <v>40850</v>
      </c>
      <c r="K42" s="1420" t="s">
        <v>1513</v>
      </c>
    </row>
    <row r="43" spans="1:11" s="309" customFormat="1" ht="20.100000000000001" customHeight="1">
      <c r="A43" s="1428"/>
      <c r="B43" s="1428"/>
      <c r="C43" s="1428"/>
      <c r="D43" s="1428"/>
      <c r="E43" s="310" t="s">
        <v>1514</v>
      </c>
      <c r="F43" s="310" t="s">
        <v>1417</v>
      </c>
      <c r="G43" s="310">
        <v>100</v>
      </c>
      <c r="H43" s="310">
        <v>570</v>
      </c>
      <c r="I43" s="311">
        <f>G43*H43</f>
        <v>57000</v>
      </c>
      <c r="J43" s="305">
        <f t="shared" si="0"/>
        <v>54150</v>
      </c>
      <c r="K43" s="1407"/>
    </row>
    <row r="44" spans="1:11" s="309" customFormat="1" ht="20.100000000000001" customHeight="1">
      <c r="A44" s="1428"/>
      <c r="B44" s="1428"/>
      <c r="C44" s="1428"/>
      <c r="D44" s="310" t="s">
        <v>1515</v>
      </c>
      <c r="E44" s="310" t="s">
        <v>1516</v>
      </c>
      <c r="F44" s="310" t="s">
        <v>1093</v>
      </c>
      <c r="G44" s="310">
        <v>210</v>
      </c>
      <c r="H44" s="310">
        <v>1200</v>
      </c>
      <c r="I44" s="311">
        <f>G44*H44</f>
        <v>252000</v>
      </c>
      <c r="J44" s="305">
        <f t="shared" si="0"/>
        <v>239400</v>
      </c>
      <c r="K44" s="316" t="s">
        <v>1517</v>
      </c>
    </row>
    <row r="45" spans="1:11" s="314" customFormat="1" ht="20.100000000000001" customHeight="1">
      <c r="A45" s="1428"/>
      <c r="B45" s="1428"/>
      <c r="C45" s="1428"/>
      <c r="D45" s="310"/>
      <c r="E45" s="310" t="s">
        <v>1097</v>
      </c>
      <c r="F45" s="310"/>
      <c r="G45" s="310"/>
      <c r="H45" s="311"/>
      <c r="I45" s="312">
        <f>SUM(I42:I44)</f>
        <v>352000</v>
      </c>
      <c r="J45" s="305">
        <f t="shared" si="0"/>
        <v>334400</v>
      </c>
      <c r="K45" s="313"/>
    </row>
    <row r="46" spans="1:11" s="314" customFormat="1" ht="20.100000000000001" customHeight="1">
      <c r="A46" s="1428"/>
      <c r="B46" s="1428"/>
      <c r="C46" s="1428"/>
      <c r="D46" s="310"/>
      <c r="E46" s="310" t="s">
        <v>1408</v>
      </c>
      <c r="F46" s="310"/>
      <c r="G46" s="310"/>
      <c r="H46" s="315"/>
      <c r="I46" s="312">
        <f>I45*0.1</f>
        <v>35200</v>
      </c>
      <c r="J46" s="305">
        <f t="shared" si="0"/>
        <v>33440</v>
      </c>
      <c r="K46" s="313"/>
    </row>
    <row r="47" spans="1:11" s="314" customFormat="1" ht="20.100000000000001" customHeight="1">
      <c r="A47" s="1428"/>
      <c r="B47" s="1428"/>
      <c r="C47" s="1428"/>
      <c r="D47" s="310"/>
      <c r="E47" s="310" t="s">
        <v>1409</v>
      </c>
      <c r="F47" s="310"/>
      <c r="G47" s="310"/>
      <c r="H47" s="311"/>
      <c r="I47" s="312">
        <f>(I45+I46)*0.05</f>
        <v>19360</v>
      </c>
      <c r="J47" s="305">
        <f t="shared" si="0"/>
        <v>18392</v>
      </c>
      <c r="K47" s="313"/>
    </row>
    <row r="48" spans="1:11" s="309" customFormat="1" ht="20.100000000000001" customHeight="1">
      <c r="A48" s="1428"/>
      <c r="B48" s="1428"/>
      <c r="C48" s="1428"/>
      <c r="D48" s="310"/>
      <c r="E48" s="310" t="s">
        <v>1418</v>
      </c>
      <c r="F48" s="310"/>
      <c r="G48" s="310"/>
      <c r="H48" s="310"/>
      <c r="I48" s="306">
        <f>ROUNDUP(I45+I46+I47,0)</f>
        <v>406560</v>
      </c>
      <c r="J48" s="305">
        <f t="shared" si="0"/>
        <v>386232</v>
      </c>
      <c r="K48" s="316"/>
    </row>
    <row r="49" spans="1:10" s="362" customFormat="1" ht="20.100000000000001" customHeight="1">
      <c r="A49" s="310"/>
      <c r="B49" s="1428"/>
      <c r="C49" s="1428"/>
      <c r="D49" s="1428"/>
      <c r="E49" s="310" t="s">
        <v>1477</v>
      </c>
      <c r="F49" s="310"/>
      <c r="G49" s="310"/>
      <c r="H49" s="310"/>
      <c r="I49" s="306">
        <f>I12+I41+I21+I28+I34+I48</f>
        <v>4926332</v>
      </c>
      <c r="J49" s="305">
        <f t="shared" si="0"/>
        <v>4680015</v>
      </c>
    </row>
    <row r="50" spans="1:10" s="363" customFormat="1" ht="12"/>
  </sheetData>
  <mergeCells count="26">
    <mergeCell ref="A13:A21"/>
    <mergeCell ref="B13:B21"/>
    <mergeCell ref="C13:C21"/>
    <mergeCell ref="D13:D15"/>
    <mergeCell ref="A1:J1"/>
    <mergeCell ref="A3:A12"/>
    <mergeCell ref="B3:B12"/>
    <mergeCell ref="C3:C12"/>
    <mergeCell ref="D3:D7"/>
    <mergeCell ref="A22:A28"/>
    <mergeCell ref="B22:B28"/>
    <mergeCell ref="C22:C28"/>
    <mergeCell ref="D22:D28"/>
    <mergeCell ref="A29:A34"/>
    <mergeCell ref="B29:B34"/>
    <mergeCell ref="C29:C34"/>
    <mergeCell ref="K42:K43"/>
    <mergeCell ref="B49:D49"/>
    <mergeCell ref="A35:A41"/>
    <mergeCell ref="B35:B41"/>
    <mergeCell ref="C35:C41"/>
    <mergeCell ref="D35:D36"/>
    <mergeCell ref="A42:A48"/>
    <mergeCell ref="B42:B48"/>
    <mergeCell ref="C42:C48"/>
    <mergeCell ref="D42:D43"/>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topLeftCell="A71" workbookViewId="0">
      <selection activeCell="J89" activeCellId="9" sqref="J13 J23 J32 J39 J45 J51 J60 J68 J73 J89"/>
    </sheetView>
  </sheetViews>
  <sheetFormatPr defaultRowHeight="20.100000000000001" customHeight="1"/>
  <cols>
    <col min="1" max="1" width="5.75" style="364" customWidth="1"/>
    <col min="2" max="3" width="7.25" style="364" customWidth="1"/>
    <col min="4" max="4" width="10.875" style="364" customWidth="1"/>
    <col min="5" max="5" width="23.875" style="364" customWidth="1"/>
    <col min="6" max="6" width="7.25" style="364" customWidth="1"/>
    <col min="7" max="7" width="11.375" style="364" customWidth="1"/>
    <col min="8" max="8" width="10.375" style="364" customWidth="1"/>
    <col min="9" max="9" width="11.75" style="364" customWidth="1"/>
    <col min="10" max="10" width="10.875" style="369" customWidth="1"/>
    <col min="11" max="11" width="15" style="364" hidden="1" customWidth="1"/>
    <col min="12" max="255" width="9" style="364"/>
    <col min="256" max="257" width="7.25" style="364" customWidth="1"/>
    <col min="258" max="258" width="8" style="364" customWidth="1"/>
    <col min="259" max="259" width="7.625" style="364" customWidth="1"/>
    <col min="260" max="260" width="15.5" style="364" customWidth="1"/>
    <col min="261" max="261" width="30.375" style="364" customWidth="1"/>
    <col min="262" max="262" width="9" style="364" customWidth="1"/>
    <col min="263" max="263" width="7.5" style="364" customWidth="1"/>
    <col min="264" max="264" width="9.25" style="364" customWidth="1"/>
    <col min="265" max="265" width="13.875" style="364" customWidth="1"/>
    <col min="266" max="266" width="16.5" style="364" customWidth="1"/>
    <col min="267" max="511" width="9" style="364"/>
    <col min="512" max="513" width="7.25" style="364" customWidth="1"/>
    <col min="514" max="514" width="8" style="364" customWidth="1"/>
    <col min="515" max="515" width="7.625" style="364" customWidth="1"/>
    <col min="516" max="516" width="15.5" style="364" customWidth="1"/>
    <col min="517" max="517" width="30.375" style="364" customWidth="1"/>
    <col min="518" max="518" width="9" style="364" customWidth="1"/>
    <col min="519" max="519" width="7.5" style="364" customWidth="1"/>
    <col min="520" max="520" width="9.25" style="364" customWidth="1"/>
    <col min="521" max="521" width="13.875" style="364" customWidth="1"/>
    <col min="522" max="522" width="16.5" style="364" customWidth="1"/>
    <col min="523" max="767" width="9" style="364"/>
    <col min="768" max="769" width="7.25" style="364" customWidth="1"/>
    <col min="770" max="770" width="8" style="364" customWidth="1"/>
    <col min="771" max="771" width="7.625" style="364" customWidth="1"/>
    <col min="772" max="772" width="15.5" style="364" customWidth="1"/>
    <col min="773" max="773" width="30.375" style="364" customWidth="1"/>
    <col min="774" max="774" width="9" style="364" customWidth="1"/>
    <col min="775" max="775" width="7.5" style="364" customWidth="1"/>
    <col min="776" max="776" width="9.25" style="364" customWidth="1"/>
    <col min="777" max="777" width="13.875" style="364" customWidth="1"/>
    <col min="778" max="778" width="16.5" style="364" customWidth="1"/>
    <col min="779" max="1023" width="9" style="364"/>
    <col min="1024" max="1025" width="7.25" style="364" customWidth="1"/>
    <col min="1026" max="1026" width="8" style="364" customWidth="1"/>
    <col min="1027" max="1027" width="7.625" style="364" customWidth="1"/>
    <col min="1028" max="1028" width="15.5" style="364" customWidth="1"/>
    <col min="1029" max="1029" width="30.375" style="364" customWidth="1"/>
    <col min="1030" max="1030" width="9" style="364" customWidth="1"/>
    <col min="1031" max="1031" width="7.5" style="364" customWidth="1"/>
    <col min="1032" max="1032" width="9.25" style="364" customWidth="1"/>
    <col min="1033" max="1033" width="13.875" style="364" customWidth="1"/>
    <col min="1034" max="1034" width="16.5" style="364" customWidth="1"/>
    <col min="1035" max="1279" width="9" style="364"/>
    <col min="1280" max="1281" width="7.25" style="364" customWidth="1"/>
    <col min="1282" max="1282" width="8" style="364" customWidth="1"/>
    <col min="1283" max="1283" width="7.625" style="364" customWidth="1"/>
    <col min="1284" max="1284" width="15.5" style="364" customWidth="1"/>
    <col min="1285" max="1285" width="30.375" style="364" customWidth="1"/>
    <col min="1286" max="1286" width="9" style="364" customWidth="1"/>
    <col min="1287" max="1287" width="7.5" style="364" customWidth="1"/>
    <col min="1288" max="1288" width="9.25" style="364" customWidth="1"/>
    <col min="1289" max="1289" width="13.875" style="364" customWidth="1"/>
    <col min="1290" max="1290" width="16.5" style="364" customWidth="1"/>
    <col min="1291" max="1535" width="9" style="364"/>
    <col min="1536" max="1537" width="7.25" style="364" customWidth="1"/>
    <col min="1538" max="1538" width="8" style="364" customWidth="1"/>
    <col min="1539" max="1539" width="7.625" style="364" customWidth="1"/>
    <col min="1540" max="1540" width="15.5" style="364" customWidth="1"/>
    <col min="1541" max="1541" width="30.375" style="364" customWidth="1"/>
    <col min="1542" max="1542" width="9" style="364" customWidth="1"/>
    <col min="1543" max="1543" width="7.5" style="364" customWidth="1"/>
    <col min="1544" max="1544" width="9.25" style="364" customWidth="1"/>
    <col min="1545" max="1545" width="13.875" style="364" customWidth="1"/>
    <col min="1546" max="1546" width="16.5" style="364" customWidth="1"/>
    <col min="1547" max="1791" width="9" style="364"/>
    <col min="1792" max="1793" width="7.25" style="364" customWidth="1"/>
    <col min="1794" max="1794" width="8" style="364" customWidth="1"/>
    <col min="1795" max="1795" width="7.625" style="364" customWidth="1"/>
    <col min="1796" max="1796" width="15.5" style="364" customWidth="1"/>
    <col min="1797" max="1797" width="30.375" style="364" customWidth="1"/>
    <col min="1798" max="1798" width="9" style="364" customWidth="1"/>
    <col min="1799" max="1799" width="7.5" style="364" customWidth="1"/>
    <col min="1800" max="1800" width="9.25" style="364" customWidth="1"/>
    <col min="1801" max="1801" width="13.875" style="364" customWidth="1"/>
    <col min="1802" max="1802" width="16.5" style="364" customWidth="1"/>
    <col min="1803" max="2047" width="9" style="364"/>
    <col min="2048" max="2049" width="7.25" style="364" customWidth="1"/>
    <col min="2050" max="2050" width="8" style="364" customWidth="1"/>
    <col min="2051" max="2051" width="7.625" style="364" customWidth="1"/>
    <col min="2052" max="2052" width="15.5" style="364" customWidth="1"/>
    <col min="2053" max="2053" width="30.375" style="364" customWidth="1"/>
    <col min="2054" max="2054" width="9" style="364" customWidth="1"/>
    <col min="2055" max="2055" width="7.5" style="364" customWidth="1"/>
    <col min="2056" max="2056" width="9.25" style="364" customWidth="1"/>
    <col min="2057" max="2057" width="13.875" style="364" customWidth="1"/>
    <col min="2058" max="2058" width="16.5" style="364" customWidth="1"/>
    <col min="2059" max="2303" width="9" style="364"/>
    <col min="2304" max="2305" width="7.25" style="364" customWidth="1"/>
    <col min="2306" max="2306" width="8" style="364" customWidth="1"/>
    <col min="2307" max="2307" width="7.625" style="364" customWidth="1"/>
    <col min="2308" max="2308" width="15.5" style="364" customWidth="1"/>
    <col min="2309" max="2309" width="30.375" style="364" customWidth="1"/>
    <col min="2310" max="2310" width="9" style="364" customWidth="1"/>
    <col min="2311" max="2311" width="7.5" style="364" customWidth="1"/>
    <col min="2312" max="2312" width="9.25" style="364" customWidth="1"/>
    <col min="2313" max="2313" width="13.875" style="364" customWidth="1"/>
    <col min="2314" max="2314" width="16.5" style="364" customWidth="1"/>
    <col min="2315" max="2559" width="9" style="364"/>
    <col min="2560" max="2561" width="7.25" style="364" customWidth="1"/>
    <col min="2562" max="2562" width="8" style="364" customWidth="1"/>
    <col min="2563" max="2563" width="7.625" style="364" customWidth="1"/>
    <col min="2564" max="2564" width="15.5" style="364" customWidth="1"/>
    <col min="2565" max="2565" width="30.375" style="364" customWidth="1"/>
    <col min="2566" max="2566" width="9" style="364" customWidth="1"/>
    <col min="2567" max="2567" width="7.5" style="364" customWidth="1"/>
    <col min="2568" max="2568" width="9.25" style="364" customWidth="1"/>
    <col min="2569" max="2569" width="13.875" style="364" customWidth="1"/>
    <col min="2570" max="2570" width="16.5" style="364" customWidth="1"/>
    <col min="2571" max="2815" width="9" style="364"/>
    <col min="2816" max="2817" width="7.25" style="364" customWidth="1"/>
    <col min="2818" max="2818" width="8" style="364" customWidth="1"/>
    <col min="2819" max="2819" width="7.625" style="364" customWidth="1"/>
    <col min="2820" max="2820" width="15.5" style="364" customWidth="1"/>
    <col min="2821" max="2821" width="30.375" style="364" customWidth="1"/>
    <col min="2822" max="2822" width="9" style="364" customWidth="1"/>
    <col min="2823" max="2823" width="7.5" style="364" customWidth="1"/>
    <col min="2824" max="2824" width="9.25" style="364" customWidth="1"/>
    <col min="2825" max="2825" width="13.875" style="364" customWidth="1"/>
    <col min="2826" max="2826" width="16.5" style="364" customWidth="1"/>
    <col min="2827" max="3071" width="9" style="364"/>
    <col min="3072" max="3073" width="7.25" style="364" customWidth="1"/>
    <col min="3074" max="3074" width="8" style="364" customWidth="1"/>
    <col min="3075" max="3075" width="7.625" style="364" customWidth="1"/>
    <col min="3076" max="3076" width="15.5" style="364" customWidth="1"/>
    <col min="3077" max="3077" width="30.375" style="364" customWidth="1"/>
    <col min="3078" max="3078" width="9" style="364" customWidth="1"/>
    <col min="3079" max="3079" width="7.5" style="364" customWidth="1"/>
    <col min="3080" max="3080" width="9.25" style="364" customWidth="1"/>
    <col min="3081" max="3081" width="13.875" style="364" customWidth="1"/>
    <col min="3082" max="3082" width="16.5" style="364" customWidth="1"/>
    <col min="3083" max="3327" width="9" style="364"/>
    <col min="3328" max="3329" width="7.25" style="364" customWidth="1"/>
    <col min="3330" max="3330" width="8" style="364" customWidth="1"/>
    <col min="3331" max="3331" width="7.625" style="364" customWidth="1"/>
    <col min="3332" max="3332" width="15.5" style="364" customWidth="1"/>
    <col min="3333" max="3333" width="30.375" style="364" customWidth="1"/>
    <col min="3334" max="3334" width="9" style="364" customWidth="1"/>
    <col min="3335" max="3335" width="7.5" style="364" customWidth="1"/>
    <col min="3336" max="3336" width="9.25" style="364" customWidth="1"/>
    <col min="3337" max="3337" width="13.875" style="364" customWidth="1"/>
    <col min="3338" max="3338" width="16.5" style="364" customWidth="1"/>
    <col min="3339" max="3583" width="9" style="364"/>
    <col min="3584" max="3585" width="7.25" style="364" customWidth="1"/>
    <col min="3586" max="3586" width="8" style="364" customWidth="1"/>
    <col min="3587" max="3587" width="7.625" style="364" customWidth="1"/>
    <col min="3588" max="3588" width="15.5" style="364" customWidth="1"/>
    <col min="3589" max="3589" width="30.375" style="364" customWidth="1"/>
    <col min="3590" max="3590" width="9" style="364" customWidth="1"/>
    <col min="3591" max="3591" width="7.5" style="364" customWidth="1"/>
    <col min="3592" max="3592" width="9.25" style="364" customWidth="1"/>
    <col min="3593" max="3593" width="13.875" style="364" customWidth="1"/>
    <col min="3594" max="3594" width="16.5" style="364" customWidth="1"/>
    <col min="3595" max="3839" width="9" style="364"/>
    <col min="3840" max="3841" width="7.25" style="364" customWidth="1"/>
    <col min="3842" max="3842" width="8" style="364" customWidth="1"/>
    <col min="3843" max="3843" width="7.625" style="364" customWidth="1"/>
    <col min="3844" max="3844" width="15.5" style="364" customWidth="1"/>
    <col min="3845" max="3845" width="30.375" style="364" customWidth="1"/>
    <col min="3846" max="3846" width="9" style="364" customWidth="1"/>
    <col min="3847" max="3847" width="7.5" style="364" customWidth="1"/>
    <col min="3848" max="3848" width="9.25" style="364" customWidth="1"/>
    <col min="3849" max="3849" width="13.875" style="364" customWidth="1"/>
    <col min="3850" max="3850" width="16.5" style="364" customWidth="1"/>
    <col min="3851" max="4095" width="9" style="364"/>
    <col min="4096" max="4097" width="7.25" style="364" customWidth="1"/>
    <col min="4098" max="4098" width="8" style="364" customWidth="1"/>
    <col min="4099" max="4099" width="7.625" style="364" customWidth="1"/>
    <col min="4100" max="4100" width="15.5" style="364" customWidth="1"/>
    <col min="4101" max="4101" width="30.375" style="364" customWidth="1"/>
    <col min="4102" max="4102" width="9" style="364" customWidth="1"/>
    <col min="4103" max="4103" width="7.5" style="364" customWidth="1"/>
    <col min="4104" max="4104" width="9.25" style="364" customWidth="1"/>
    <col min="4105" max="4105" width="13.875" style="364" customWidth="1"/>
    <col min="4106" max="4106" width="16.5" style="364" customWidth="1"/>
    <col min="4107" max="4351" width="9" style="364"/>
    <col min="4352" max="4353" width="7.25" style="364" customWidth="1"/>
    <col min="4354" max="4354" width="8" style="364" customWidth="1"/>
    <col min="4355" max="4355" width="7.625" style="364" customWidth="1"/>
    <col min="4356" max="4356" width="15.5" style="364" customWidth="1"/>
    <col min="4357" max="4357" width="30.375" style="364" customWidth="1"/>
    <col min="4358" max="4358" width="9" style="364" customWidth="1"/>
    <col min="4359" max="4359" width="7.5" style="364" customWidth="1"/>
    <col min="4360" max="4360" width="9.25" style="364" customWidth="1"/>
    <col min="4361" max="4361" width="13.875" style="364" customWidth="1"/>
    <col min="4362" max="4362" width="16.5" style="364" customWidth="1"/>
    <col min="4363" max="4607" width="9" style="364"/>
    <col min="4608" max="4609" width="7.25" style="364" customWidth="1"/>
    <col min="4610" max="4610" width="8" style="364" customWidth="1"/>
    <col min="4611" max="4611" width="7.625" style="364" customWidth="1"/>
    <col min="4612" max="4612" width="15.5" style="364" customWidth="1"/>
    <col min="4613" max="4613" width="30.375" style="364" customWidth="1"/>
    <col min="4614" max="4614" width="9" style="364" customWidth="1"/>
    <col min="4615" max="4615" width="7.5" style="364" customWidth="1"/>
    <col min="4616" max="4616" width="9.25" style="364" customWidth="1"/>
    <col min="4617" max="4617" width="13.875" style="364" customWidth="1"/>
    <col min="4618" max="4618" width="16.5" style="364" customWidth="1"/>
    <col min="4619" max="4863" width="9" style="364"/>
    <col min="4864" max="4865" width="7.25" style="364" customWidth="1"/>
    <col min="4866" max="4866" width="8" style="364" customWidth="1"/>
    <col min="4867" max="4867" width="7.625" style="364" customWidth="1"/>
    <col min="4868" max="4868" width="15.5" style="364" customWidth="1"/>
    <col min="4869" max="4869" width="30.375" style="364" customWidth="1"/>
    <col min="4870" max="4870" width="9" style="364" customWidth="1"/>
    <col min="4871" max="4871" width="7.5" style="364" customWidth="1"/>
    <col min="4872" max="4872" width="9.25" style="364" customWidth="1"/>
    <col min="4873" max="4873" width="13.875" style="364" customWidth="1"/>
    <col min="4874" max="4874" width="16.5" style="364" customWidth="1"/>
    <col min="4875" max="5119" width="9" style="364"/>
    <col min="5120" max="5121" width="7.25" style="364" customWidth="1"/>
    <col min="5122" max="5122" width="8" style="364" customWidth="1"/>
    <col min="5123" max="5123" width="7.625" style="364" customWidth="1"/>
    <col min="5124" max="5124" width="15.5" style="364" customWidth="1"/>
    <col min="5125" max="5125" width="30.375" style="364" customWidth="1"/>
    <col min="5126" max="5126" width="9" style="364" customWidth="1"/>
    <col min="5127" max="5127" width="7.5" style="364" customWidth="1"/>
    <col min="5128" max="5128" width="9.25" style="364" customWidth="1"/>
    <col min="5129" max="5129" width="13.875" style="364" customWidth="1"/>
    <col min="5130" max="5130" width="16.5" style="364" customWidth="1"/>
    <col min="5131" max="5375" width="9" style="364"/>
    <col min="5376" max="5377" width="7.25" style="364" customWidth="1"/>
    <col min="5378" max="5378" width="8" style="364" customWidth="1"/>
    <col min="5379" max="5379" width="7.625" style="364" customWidth="1"/>
    <col min="5380" max="5380" width="15.5" style="364" customWidth="1"/>
    <col min="5381" max="5381" width="30.375" style="364" customWidth="1"/>
    <col min="5382" max="5382" width="9" style="364" customWidth="1"/>
    <col min="5383" max="5383" width="7.5" style="364" customWidth="1"/>
    <col min="5384" max="5384" width="9.25" style="364" customWidth="1"/>
    <col min="5385" max="5385" width="13.875" style="364" customWidth="1"/>
    <col min="5386" max="5386" width="16.5" style="364" customWidth="1"/>
    <col min="5387" max="5631" width="9" style="364"/>
    <col min="5632" max="5633" width="7.25" style="364" customWidth="1"/>
    <col min="5634" max="5634" width="8" style="364" customWidth="1"/>
    <col min="5635" max="5635" width="7.625" style="364" customWidth="1"/>
    <col min="5636" max="5636" width="15.5" style="364" customWidth="1"/>
    <col min="5637" max="5637" width="30.375" style="364" customWidth="1"/>
    <col min="5638" max="5638" width="9" style="364" customWidth="1"/>
    <col min="5639" max="5639" width="7.5" style="364" customWidth="1"/>
    <col min="5640" max="5640" width="9.25" style="364" customWidth="1"/>
    <col min="5641" max="5641" width="13.875" style="364" customWidth="1"/>
    <col min="5642" max="5642" width="16.5" style="364" customWidth="1"/>
    <col min="5643" max="5887" width="9" style="364"/>
    <col min="5888" max="5889" width="7.25" style="364" customWidth="1"/>
    <col min="5890" max="5890" width="8" style="364" customWidth="1"/>
    <col min="5891" max="5891" width="7.625" style="364" customWidth="1"/>
    <col min="5892" max="5892" width="15.5" style="364" customWidth="1"/>
    <col min="5893" max="5893" width="30.375" style="364" customWidth="1"/>
    <col min="5894" max="5894" width="9" style="364" customWidth="1"/>
    <col min="5895" max="5895" width="7.5" style="364" customWidth="1"/>
    <col min="5896" max="5896" width="9.25" style="364" customWidth="1"/>
    <col min="5897" max="5897" width="13.875" style="364" customWidth="1"/>
    <col min="5898" max="5898" width="16.5" style="364" customWidth="1"/>
    <col min="5899" max="6143" width="9" style="364"/>
    <col min="6144" max="6145" width="7.25" style="364" customWidth="1"/>
    <col min="6146" max="6146" width="8" style="364" customWidth="1"/>
    <col min="6147" max="6147" width="7.625" style="364" customWidth="1"/>
    <col min="6148" max="6148" width="15.5" style="364" customWidth="1"/>
    <col min="6149" max="6149" width="30.375" style="364" customWidth="1"/>
    <col min="6150" max="6150" width="9" style="364" customWidth="1"/>
    <col min="6151" max="6151" width="7.5" style="364" customWidth="1"/>
    <col min="6152" max="6152" width="9.25" style="364" customWidth="1"/>
    <col min="6153" max="6153" width="13.875" style="364" customWidth="1"/>
    <col min="6154" max="6154" width="16.5" style="364" customWidth="1"/>
    <col min="6155" max="6399" width="9" style="364"/>
    <col min="6400" max="6401" width="7.25" style="364" customWidth="1"/>
    <col min="6402" max="6402" width="8" style="364" customWidth="1"/>
    <col min="6403" max="6403" width="7.625" style="364" customWidth="1"/>
    <col min="6404" max="6404" width="15.5" style="364" customWidth="1"/>
    <col min="6405" max="6405" width="30.375" style="364" customWidth="1"/>
    <col min="6406" max="6406" width="9" style="364" customWidth="1"/>
    <col min="6407" max="6407" width="7.5" style="364" customWidth="1"/>
    <col min="6408" max="6408" width="9.25" style="364" customWidth="1"/>
    <col min="6409" max="6409" width="13.875" style="364" customWidth="1"/>
    <col min="6410" max="6410" width="16.5" style="364" customWidth="1"/>
    <col min="6411" max="6655" width="9" style="364"/>
    <col min="6656" max="6657" width="7.25" style="364" customWidth="1"/>
    <col min="6658" max="6658" width="8" style="364" customWidth="1"/>
    <col min="6659" max="6659" width="7.625" style="364" customWidth="1"/>
    <col min="6660" max="6660" width="15.5" style="364" customWidth="1"/>
    <col min="6661" max="6661" width="30.375" style="364" customWidth="1"/>
    <col min="6662" max="6662" width="9" style="364" customWidth="1"/>
    <col min="6663" max="6663" width="7.5" style="364" customWidth="1"/>
    <col min="6664" max="6664" width="9.25" style="364" customWidth="1"/>
    <col min="6665" max="6665" width="13.875" style="364" customWidth="1"/>
    <col min="6666" max="6666" width="16.5" style="364" customWidth="1"/>
    <col min="6667" max="6911" width="9" style="364"/>
    <col min="6912" max="6913" width="7.25" style="364" customWidth="1"/>
    <col min="6914" max="6914" width="8" style="364" customWidth="1"/>
    <col min="6915" max="6915" width="7.625" style="364" customWidth="1"/>
    <col min="6916" max="6916" width="15.5" style="364" customWidth="1"/>
    <col min="6917" max="6917" width="30.375" style="364" customWidth="1"/>
    <col min="6918" max="6918" width="9" style="364" customWidth="1"/>
    <col min="6919" max="6919" width="7.5" style="364" customWidth="1"/>
    <col min="6920" max="6920" width="9.25" style="364" customWidth="1"/>
    <col min="6921" max="6921" width="13.875" style="364" customWidth="1"/>
    <col min="6922" max="6922" width="16.5" style="364" customWidth="1"/>
    <col min="6923" max="7167" width="9" style="364"/>
    <col min="7168" max="7169" width="7.25" style="364" customWidth="1"/>
    <col min="7170" max="7170" width="8" style="364" customWidth="1"/>
    <col min="7171" max="7171" width="7.625" style="364" customWidth="1"/>
    <col min="7172" max="7172" width="15.5" style="364" customWidth="1"/>
    <col min="7173" max="7173" width="30.375" style="364" customWidth="1"/>
    <col min="7174" max="7174" width="9" style="364" customWidth="1"/>
    <col min="7175" max="7175" width="7.5" style="364" customWidth="1"/>
    <col min="7176" max="7176" width="9.25" style="364" customWidth="1"/>
    <col min="7177" max="7177" width="13.875" style="364" customWidth="1"/>
    <col min="7178" max="7178" width="16.5" style="364" customWidth="1"/>
    <col min="7179" max="7423" width="9" style="364"/>
    <col min="7424" max="7425" width="7.25" style="364" customWidth="1"/>
    <col min="7426" max="7426" width="8" style="364" customWidth="1"/>
    <col min="7427" max="7427" width="7.625" style="364" customWidth="1"/>
    <col min="7428" max="7428" width="15.5" style="364" customWidth="1"/>
    <col min="7429" max="7429" width="30.375" style="364" customWidth="1"/>
    <col min="7430" max="7430" width="9" style="364" customWidth="1"/>
    <col min="7431" max="7431" width="7.5" style="364" customWidth="1"/>
    <col min="7432" max="7432" width="9.25" style="364" customWidth="1"/>
    <col min="7433" max="7433" width="13.875" style="364" customWidth="1"/>
    <col min="7434" max="7434" width="16.5" style="364" customWidth="1"/>
    <col min="7435" max="7679" width="9" style="364"/>
    <col min="7680" max="7681" width="7.25" style="364" customWidth="1"/>
    <col min="7682" max="7682" width="8" style="364" customWidth="1"/>
    <col min="7683" max="7683" width="7.625" style="364" customWidth="1"/>
    <col min="7684" max="7684" width="15.5" style="364" customWidth="1"/>
    <col min="7685" max="7685" width="30.375" style="364" customWidth="1"/>
    <col min="7686" max="7686" width="9" style="364" customWidth="1"/>
    <col min="7687" max="7687" width="7.5" style="364" customWidth="1"/>
    <col min="7688" max="7688" width="9.25" style="364" customWidth="1"/>
    <col min="7689" max="7689" width="13.875" style="364" customWidth="1"/>
    <col min="7690" max="7690" width="16.5" style="364" customWidth="1"/>
    <col min="7691" max="7935" width="9" style="364"/>
    <col min="7936" max="7937" width="7.25" style="364" customWidth="1"/>
    <col min="7938" max="7938" width="8" style="364" customWidth="1"/>
    <col min="7939" max="7939" width="7.625" style="364" customWidth="1"/>
    <col min="7940" max="7940" width="15.5" style="364" customWidth="1"/>
    <col min="7941" max="7941" width="30.375" style="364" customWidth="1"/>
    <col min="7942" max="7942" width="9" style="364" customWidth="1"/>
    <col min="7943" max="7943" width="7.5" style="364" customWidth="1"/>
    <col min="7944" max="7944" width="9.25" style="364" customWidth="1"/>
    <col min="7945" max="7945" width="13.875" style="364" customWidth="1"/>
    <col min="7946" max="7946" width="16.5" style="364" customWidth="1"/>
    <col min="7947" max="8191" width="9" style="364"/>
    <col min="8192" max="8193" width="7.25" style="364" customWidth="1"/>
    <col min="8194" max="8194" width="8" style="364" customWidth="1"/>
    <col min="8195" max="8195" width="7.625" style="364" customWidth="1"/>
    <col min="8196" max="8196" width="15.5" style="364" customWidth="1"/>
    <col min="8197" max="8197" width="30.375" style="364" customWidth="1"/>
    <col min="8198" max="8198" width="9" style="364" customWidth="1"/>
    <col min="8199" max="8199" width="7.5" style="364" customWidth="1"/>
    <col min="8200" max="8200" width="9.25" style="364" customWidth="1"/>
    <col min="8201" max="8201" width="13.875" style="364" customWidth="1"/>
    <col min="8202" max="8202" width="16.5" style="364" customWidth="1"/>
    <col min="8203" max="8447" width="9" style="364"/>
    <col min="8448" max="8449" width="7.25" style="364" customWidth="1"/>
    <col min="8450" max="8450" width="8" style="364" customWidth="1"/>
    <col min="8451" max="8451" width="7.625" style="364" customWidth="1"/>
    <col min="8452" max="8452" width="15.5" style="364" customWidth="1"/>
    <col min="8453" max="8453" width="30.375" style="364" customWidth="1"/>
    <col min="8454" max="8454" width="9" style="364" customWidth="1"/>
    <col min="8455" max="8455" width="7.5" style="364" customWidth="1"/>
    <col min="8456" max="8456" width="9.25" style="364" customWidth="1"/>
    <col min="8457" max="8457" width="13.875" style="364" customWidth="1"/>
    <col min="8458" max="8458" width="16.5" style="364" customWidth="1"/>
    <col min="8459" max="8703" width="9" style="364"/>
    <col min="8704" max="8705" width="7.25" style="364" customWidth="1"/>
    <col min="8706" max="8706" width="8" style="364" customWidth="1"/>
    <col min="8707" max="8707" width="7.625" style="364" customWidth="1"/>
    <col min="8708" max="8708" width="15.5" style="364" customWidth="1"/>
    <col min="8709" max="8709" width="30.375" style="364" customWidth="1"/>
    <col min="8710" max="8710" width="9" style="364" customWidth="1"/>
    <col min="8711" max="8711" width="7.5" style="364" customWidth="1"/>
    <col min="8712" max="8712" width="9.25" style="364" customWidth="1"/>
    <col min="8713" max="8713" width="13.875" style="364" customWidth="1"/>
    <col min="8714" max="8714" width="16.5" style="364" customWidth="1"/>
    <col min="8715" max="8959" width="9" style="364"/>
    <col min="8960" max="8961" width="7.25" style="364" customWidth="1"/>
    <col min="8962" max="8962" width="8" style="364" customWidth="1"/>
    <col min="8963" max="8963" width="7.625" style="364" customWidth="1"/>
    <col min="8964" max="8964" width="15.5" style="364" customWidth="1"/>
    <col min="8965" max="8965" width="30.375" style="364" customWidth="1"/>
    <col min="8966" max="8966" width="9" style="364" customWidth="1"/>
    <col min="8967" max="8967" width="7.5" style="364" customWidth="1"/>
    <col min="8968" max="8968" width="9.25" style="364" customWidth="1"/>
    <col min="8969" max="8969" width="13.875" style="364" customWidth="1"/>
    <col min="8970" max="8970" width="16.5" style="364" customWidth="1"/>
    <col min="8971" max="9215" width="9" style="364"/>
    <col min="9216" max="9217" width="7.25" style="364" customWidth="1"/>
    <col min="9218" max="9218" width="8" style="364" customWidth="1"/>
    <col min="9219" max="9219" width="7.625" style="364" customWidth="1"/>
    <col min="9220" max="9220" width="15.5" style="364" customWidth="1"/>
    <col min="9221" max="9221" width="30.375" style="364" customWidth="1"/>
    <col min="9222" max="9222" width="9" style="364" customWidth="1"/>
    <col min="9223" max="9223" width="7.5" style="364" customWidth="1"/>
    <col min="9224" max="9224" width="9.25" style="364" customWidth="1"/>
    <col min="9225" max="9225" width="13.875" style="364" customWidth="1"/>
    <col min="9226" max="9226" width="16.5" style="364" customWidth="1"/>
    <col min="9227" max="9471" width="9" style="364"/>
    <col min="9472" max="9473" width="7.25" style="364" customWidth="1"/>
    <col min="9474" max="9474" width="8" style="364" customWidth="1"/>
    <col min="9475" max="9475" width="7.625" style="364" customWidth="1"/>
    <col min="9476" max="9476" width="15.5" style="364" customWidth="1"/>
    <col min="9477" max="9477" width="30.375" style="364" customWidth="1"/>
    <col min="9478" max="9478" width="9" style="364" customWidth="1"/>
    <col min="9479" max="9479" width="7.5" style="364" customWidth="1"/>
    <col min="9480" max="9480" width="9.25" style="364" customWidth="1"/>
    <col min="9481" max="9481" width="13.875" style="364" customWidth="1"/>
    <col min="9482" max="9482" width="16.5" style="364" customWidth="1"/>
    <col min="9483" max="9727" width="9" style="364"/>
    <col min="9728" max="9729" width="7.25" style="364" customWidth="1"/>
    <col min="9730" max="9730" width="8" style="364" customWidth="1"/>
    <col min="9731" max="9731" width="7.625" style="364" customWidth="1"/>
    <col min="9732" max="9732" width="15.5" style="364" customWidth="1"/>
    <col min="9733" max="9733" width="30.375" style="364" customWidth="1"/>
    <col min="9734" max="9734" width="9" style="364" customWidth="1"/>
    <col min="9735" max="9735" width="7.5" style="364" customWidth="1"/>
    <col min="9736" max="9736" width="9.25" style="364" customWidth="1"/>
    <col min="9737" max="9737" width="13.875" style="364" customWidth="1"/>
    <col min="9738" max="9738" width="16.5" style="364" customWidth="1"/>
    <col min="9739" max="9983" width="9" style="364"/>
    <col min="9984" max="9985" width="7.25" style="364" customWidth="1"/>
    <col min="9986" max="9986" width="8" style="364" customWidth="1"/>
    <col min="9987" max="9987" width="7.625" style="364" customWidth="1"/>
    <col min="9988" max="9988" width="15.5" style="364" customWidth="1"/>
    <col min="9989" max="9989" width="30.375" style="364" customWidth="1"/>
    <col min="9990" max="9990" width="9" style="364" customWidth="1"/>
    <col min="9991" max="9991" width="7.5" style="364" customWidth="1"/>
    <col min="9992" max="9992" width="9.25" style="364" customWidth="1"/>
    <col min="9993" max="9993" width="13.875" style="364" customWidth="1"/>
    <col min="9994" max="9994" width="16.5" style="364" customWidth="1"/>
    <col min="9995" max="10239" width="9" style="364"/>
    <col min="10240" max="10241" width="7.25" style="364" customWidth="1"/>
    <col min="10242" max="10242" width="8" style="364" customWidth="1"/>
    <col min="10243" max="10243" width="7.625" style="364" customWidth="1"/>
    <col min="10244" max="10244" width="15.5" style="364" customWidth="1"/>
    <col min="10245" max="10245" width="30.375" style="364" customWidth="1"/>
    <col min="10246" max="10246" width="9" style="364" customWidth="1"/>
    <col min="10247" max="10247" width="7.5" style="364" customWidth="1"/>
    <col min="10248" max="10248" width="9.25" style="364" customWidth="1"/>
    <col min="10249" max="10249" width="13.875" style="364" customWidth="1"/>
    <col min="10250" max="10250" width="16.5" style="364" customWidth="1"/>
    <col min="10251" max="10495" width="9" style="364"/>
    <col min="10496" max="10497" width="7.25" style="364" customWidth="1"/>
    <col min="10498" max="10498" width="8" style="364" customWidth="1"/>
    <col min="10499" max="10499" width="7.625" style="364" customWidth="1"/>
    <col min="10500" max="10500" width="15.5" style="364" customWidth="1"/>
    <col min="10501" max="10501" width="30.375" style="364" customWidth="1"/>
    <col min="10502" max="10502" width="9" style="364" customWidth="1"/>
    <col min="10503" max="10503" width="7.5" style="364" customWidth="1"/>
    <col min="10504" max="10504" width="9.25" style="364" customWidth="1"/>
    <col min="10505" max="10505" width="13.875" style="364" customWidth="1"/>
    <col min="10506" max="10506" width="16.5" style="364" customWidth="1"/>
    <col min="10507" max="10751" width="9" style="364"/>
    <col min="10752" max="10753" width="7.25" style="364" customWidth="1"/>
    <col min="10754" max="10754" width="8" style="364" customWidth="1"/>
    <col min="10755" max="10755" width="7.625" style="364" customWidth="1"/>
    <col min="10756" max="10756" width="15.5" style="364" customWidth="1"/>
    <col min="10757" max="10757" width="30.375" style="364" customWidth="1"/>
    <col min="10758" max="10758" width="9" style="364" customWidth="1"/>
    <col min="10759" max="10759" width="7.5" style="364" customWidth="1"/>
    <col min="10760" max="10760" width="9.25" style="364" customWidth="1"/>
    <col min="10761" max="10761" width="13.875" style="364" customWidth="1"/>
    <col min="10762" max="10762" width="16.5" style="364" customWidth="1"/>
    <col min="10763" max="11007" width="9" style="364"/>
    <col min="11008" max="11009" width="7.25" style="364" customWidth="1"/>
    <col min="11010" max="11010" width="8" style="364" customWidth="1"/>
    <col min="11011" max="11011" width="7.625" style="364" customWidth="1"/>
    <col min="11012" max="11012" width="15.5" style="364" customWidth="1"/>
    <col min="11013" max="11013" width="30.375" style="364" customWidth="1"/>
    <col min="11014" max="11014" width="9" style="364" customWidth="1"/>
    <col min="11015" max="11015" width="7.5" style="364" customWidth="1"/>
    <col min="11016" max="11016" width="9.25" style="364" customWidth="1"/>
    <col min="11017" max="11017" width="13.875" style="364" customWidth="1"/>
    <col min="11018" max="11018" width="16.5" style="364" customWidth="1"/>
    <col min="11019" max="11263" width="9" style="364"/>
    <col min="11264" max="11265" width="7.25" style="364" customWidth="1"/>
    <col min="11266" max="11266" width="8" style="364" customWidth="1"/>
    <col min="11267" max="11267" width="7.625" style="364" customWidth="1"/>
    <col min="11268" max="11268" width="15.5" style="364" customWidth="1"/>
    <col min="11269" max="11269" width="30.375" style="364" customWidth="1"/>
    <col min="11270" max="11270" width="9" style="364" customWidth="1"/>
    <col min="11271" max="11271" width="7.5" style="364" customWidth="1"/>
    <col min="11272" max="11272" width="9.25" style="364" customWidth="1"/>
    <col min="11273" max="11273" width="13.875" style="364" customWidth="1"/>
    <col min="11274" max="11274" width="16.5" style="364" customWidth="1"/>
    <col min="11275" max="11519" width="9" style="364"/>
    <col min="11520" max="11521" width="7.25" style="364" customWidth="1"/>
    <col min="11522" max="11522" width="8" style="364" customWidth="1"/>
    <col min="11523" max="11523" width="7.625" style="364" customWidth="1"/>
    <col min="11524" max="11524" width="15.5" style="364" customWidth="1"/>
    <col min="11525" max="11525" width="30.375" style="364" customWidth="1"/>
    <col min="11526" max="11526" width="9" style="364" customWidth="1"/>
    <col min="11527" max="11527" width="7.5" style="364" customWidth="1"/>
    <col min="11528" max="11528" width="9.25" style="364" customWidth="1"/>
    <col min="11529" max="11529" width="13.875" style="364" customWidth="1"/>
    <col min="11530" max="11530" width="16.5" style="364" customWidth="1"/>
    <col min="11531" max="11775" width="9" style="364"/>
    <col min="11776" max="11777" width="7.25" style="364" customWidth="1"/>
    <col min="11778" max="11778" width="8" style="364" customWidth="1"/>
    <col min="11779" max="11779" width="7.625" style="364" customWidth="1"/>
    <col min="11780" max="11780" width="15.5" style="364" customWidth="1"/>
    <col min="11781" max="11781" width="30.375" style="364" customWidth="1"/>
    <col min="11782" max="11782" width="9" style="364" customWidth="1"/>
    <col min="11783" max="11783" width="7.5" style="364" customWidth="1"/>
    <col min="11784" max="11784" width="9.25" style="364" customWidth="1"/>
    <col min="11785" max="11785" width="13.875" style="364" customWidth="1"/>
    <col min="11786" max="11786" width="16.5" style="364" customWidth="1"/>
    <col min="11787" max="12031" width="9" style="364"/>
    <col min="12032" max="12033" width="7.25" style="364" customWidth="1"/>
    <col min="12034" max="12034" width="8" style="364" customWidth="1"/>
    <col min="12035" max="12035" width="7.625" style="364" customWidth="1"/>
    <col min="12036" max="12036" width="15.5" style="364" customWidth="1"/>
    <col min="12037" max="12037" width="30.375" style="364" customWidth="1"/>
    <col min="12038" max="12038" width="9" style="364" customWidth="1"/>
    <col min="12039" max="12039" width="7.5" style="364" customWidth="1"/>
    <col min="12040" max="12040" width="9.25" style="364" customWidth="1"/>
    <col min="12041" max="12041" width="13.875" style="364" customWidth="1"/>
    <col min="12042" max="12042" width="16.5" style="364" customWidth="1"/>
    <col min="12043" max="12287" width="9" style="364"/>
    <col min="12288" max="12289" width="7.25" style="364" customWidth="1"/>
    <col min="12290" max="12290" width="8" style="364" customWidth="1"/>
    <col min="12291" max="12291" width="7.625" style="364" customWidth="1"/>
    <col min="12292" max="12292" width="15.5" style="364" customWidth="1"/>
    <col min="12293" max="12293" width="30.375" style="364" customWidth="1"/>
    <col min="12294" max="12294" width="9" style="364" customWidth="1"/>
    <col min="12295" max="12295" width="7.5" style="364" customWidth="1"/>
    <col min="12296" max="12296" width="9.25" style="364" customWidth="1"/>
    <col min="12297" max="12297" width="13.875" style="364" customWidth="1"/>
    <col min="12298" max="12298" width="16.5" style="364" customWidth="1"/>
    <col min="12299" max="12543" width="9" style="364"/>
    <col min="12544" max="12545" width="7.25" style="364" customWidth="1"/>
    <col min="12546" max="12546" width="8" style="364" customWidth="1"/>
    <col min="12547" max="12547" width="7.625" style="364" customWidth="1"/>
    <col min="12548" max="12548" width="15.5" style="364" customWidth="1"/>
    <col min="12549" max="12549" width="30.375" style="364" customWidth="1"/>
    <col min="12550" max="12550" width="9" style="364" customWidth="1"/>
    <col min="12551" max="12551" width="7.5" style="364" customWidth="1"/>
    <col min="12552" max="12552" width="9.25" style="364" customWidth="1"/>
    <col min="12553" max="12553" width="13.875" style="364" customWidth="1"/>
    <col min="12554" max="12554" width="16.5" style="364" customWidth="1"/>
    <col min="12555" max="12799" width="9" style="364"/>
    <col min="12800" max="12801" width="7.25" style="364" customWidth="1"/>
    <col min="12802" max="12802" width="8" style="364" customWidth="1"/>
    <col min="12803" max="12803" width="7.625" style="364" customWidth="1"/>
    <col min="12804" max="12804" width="15.5" style="364" customWidth="1"/>
    <col min="12805" max="12805" width="30.375" style="364" customWidth="1"/>
    <col min="12806" max="12806" width="9" style="364" customWidth="1"/>
    <col min="12807" max="12807" width="7.5" style="364" customWidth="1"/>
    <col min="12808" max="12808" width="9.25" style="364" customWidth="1"/>
    <col min="12809" max="12809" width="13.875" style="364" customWidth="1"/>
    <col min="12810" max="12810" width="16.5" style="364" customWidth="1"/>
    <col min="12811" max="13055" width="9" style="364"/>
    <col min="13056" max="13057" width="7.25" style="364" customWidth="1"/>
    <col min="13058" max="13058" width="8" style="364" customWidth="1"/>
    <col min="13059" max="13059" width="7.625" style="364" customWidth="1"/>
    <col min="13060" max="13060" width="15.5" style="364" customWidth="1"/>
    <col min="13061" max="13061" width="30.375" style="364" customWidth="1"/>
    <col min="13062" max="13062" width="9" style="364" customWidth="1"/>
    <col min="13063" max="13063" width="7.5" style="364" customWidth="1"/>
    <col min="13064" max="13064" width="9.25" style="364" customWidth="1"/>
    <col min="13065" max="13065" width="13.875" style="364" customWidth="1"/>
    <col min="13066" max="13066" width="16.5" style="364" customWidth="1"/>
    <col min="13067" max="13311" width="9" style="364"/>
    <col min="13312" max="13313" width="7.25" style="364" customWidth="1"/>
    <col min="13314" max="13314" width="8" style="364" customWidth="1"/>
    <col min="13315" max="13315" width="7.625" style="364" customWidth="1"/>
    <col min="13316" max="13316" width="15.5" style="364" customWidth="1"/>
    <col min="13317" max="13317" width="30.375" style="364" customWidth="1"/>
    <col min="13318" max="13318" width="9" style="364" customWidth="1"/>
    <col min="13319" max="13319" width="7.5" style="364" customWidth="1"/>
    <col min="13320" max="13320" width="9.25" style="364" customWidth="1"/>
    <col min="13321" max="13321" width="13.875" style="364" customWidth="1"/>
    <col min="13322" max="13322" width="16.5" style="364" customWidth="1"/>
    <col min="13323" max="13567" width="9" style="364"/>
    <col min="13568" max="13569" width="7.25" style="364" customWidth="1"/>
    <col min="13570" max="13570" width="8" style="364" customWidth="1"/>
    <col min="13571" max="13571" width="7.625" style="364" customWidth="1"/>
    <col min="13572" max="13572" width="15.5" style="364" customWidth="1"/>
    <col min="13573" max="13573" width="30.375" style="364" customWidth="1"/>
    <col min="13574" max="13574" width="9" style="364" customWidth="1"/>
    <col min="13575" max="13575" width="7.5" style="364" customWidth="1"/>
    <col min="13576" max="13576" width="9.25" style="364" customWidth="1"/>
    <col min="13577" max="13577" width="13.875" style="364" customWidth="1"/>
    <col min="13578" max="13578" width="16.5" style="364" customWidth="1"/>
    <col min="13579" max="13823" width="9" style="364"/>
    <col min="13824" max="13825" width="7.25" style="364" customWidth="1"/>
    <col min="13826" max="13826" width="8" style="364" customWidth="1"/>
    <col min="13827" max="13827" width="7.625" style="364" customWidth="1"/>
    <col min="13828" max="13828" width="15.5" style="364" customWidth="1"/>
    <col min="13829" max="13829" width="30.375" style="364" customWidth="1"/>
    <col min="13830" max="13830" width="9" style="364" customWidth="1"/>
    <col min="13831" max="13831" width="7.5" style="364" customWidth="1"/>
    <col min="13832" max="13832" width="9.25" style="364" customWidth="1"/>
    <col min="13833" max="13833" width="13.875" style="364" customWidth="1"/>
    <col min="13834" max="13834" width="16.5" style="364" customWidth="1"/>
    <col min="13835" max="14079" width="9" style="364"/>
    <col min="14080" max="14081" width="7.25" style="364" customWidth="1"/>
    <col min="14082" max="14082" width="8" style="364" customWidth="1"/>
    <col min="14083" max="14083" width="7.625" style="364" customWidth="1"/>
    <col min="14084" max="14084" width="15.5" style="364" customWidth="1"/>
    <col min="14085" max="14085" width="30.375" style="364" customWidth="1"/>
    <col min="14086" max="14086" width="9" style="364" customWidth="1"/>
    <col min="14087" max="14087" width="7.5" style="364" customWidth="1"/>
    <col min="14088" max="14088" width="9.25" style="364" customWidth="1"/>
    <col min="14089" max="14089" width="13.875" style="364" customWidth="1"/>
    <col min="14090" max="14090" width="16.5" style="364" customWidth="1"/>
    <col min="14091" max="14335" width="9" style="364"/>
    <col min="14336" max="14337" width="7.25" style="364" customWidth="1"/>
    <col min="14338" max="14338" width="8" style="364" customWidth="1"/>
    <col min="14339" max="14339" width="7.625" style="364" customWidth="1"/>
    <col min="14340" max="14340" width="15.5" style="364" customWidth="1"/>
    <col min="14341" max="14341" width="30.375" style="364" customWidth="1"/>
    <col min="14342" max="14342" width="9" style="364" customWidth="1"/>
    <col min="14343" max="14343" width="7.5" style="364" customWidth="1"/>
    <col min="14344" max="14344" width="9.25" style="364" customWidth="1"/>
    <col min="14345" max="14345" width="13.875" style="364" customWidth="1"/>
    <col min="14346" max="14346" width="16.5" style="364" customWidth="1"/>
    <col min="14347" max="14591" width="9" style="364"/>
    <col min="14592" max="14593" width="7.25" style="364" customWidth="1"/>
    <col min="14594" max="14594" width="8" style="364" customWidth="1"/>
    <col min="14595" max="14595" width="7.625" style="364" customWidth="1"/>
    <col min="14596" max="14596" width="15.5" style="364" customWidth="1"/>
    <col min="14597" max="14597" width="30.375" style="364" customWidth="1"/>
    <col min="14598" max="14598" width="9" style="364" customWidth="1"/>
    <col min="14599" max="14599" width="7.5" style="364" customWidth="1"/>
    <col min="14600" max="14600" width="9.25" style="364" customWidth="1"/>
    <col min="14601" max="14601" width="13.875" style="364" customWidth="1"/>
    <col min="14602" max="14602" width="16.5" style="364" customWidth="1"/>
    <col min="14603" max="14847" width="9" style="364"/>
    <col min="14848" max="14849" width="7.25" style="364" customWidth="1"/>
    <col min="14850" max="14850" width="8" style="364" customWidth="1"/>
    <col min="14851" max="14851" width="7.625" style="364" customWidth="1"/>
    <col min="14852" max="14852" width="15.5" style="364" customWidth="1"/>
    <col min="14853" max="14853" width="30.375" style="364" customWidth="1"/>
    <col min="14854" max="14854" width="9" style="364" customWidth="1"/>
    <col min="14855" max="14855" width="7.5" style="364" customWidth="1"/>
    <col min="14856" max="14856" width="9.25" style="364" customWidth="1"/>
    <col min="14857" max="14857" width="13.875" style="364" customWidth="1"/>
    <col min="14858" max="14858" width="16.5" style="364" customWidth="1"/>
    <col min="14859" max="15103" width="9" style="364"/>
    <col min="15104" max="15105" width="7.25" style="364" customWidth="1"/>
    <col min="15106" max="15106" width="8" style="364" customWidth="1"/>
    <col min="15107" max="15107" width="7.625" style="364" customWidth="1"/>
    <col min="15108" max="15108" width="15.5" style="364" customWidth="1"/>
    <col min="15109" max="15109" width="30.375" style="364" customWidth="1"/>
    <col min="15110" max="15110" width="9" style="364" customWidth="1"/>
    <col min="15111" max="15111" width="7.5" style="364" customWidth="1"/>
    <col min="15112" max="15112" width="9.25" style="364" customWidth="1"/>
    <col min="15113" max="15113" width="13.875" style="364" customWidth="1"/>
    <col min="15114" max="15114" width="16.5" style="364" customWidth="1"/>
    <col min="15115" max="15359" width="9" style="364"/>
    <col min="15360" max="15361" width="7.25" style="364" customWidth="1"/>
    <col min="15362" max="15362" width="8" style="364" customWidth="1"/>
    <col min="15363" max="15363" width="7.625" style="364" customWidth="1"/>
    <col min="15364" max="15364" width="15.5" style="364" customWidth="1"/>
    <col min="15365" max="15365" width="30.375" style="364" customWidth="1"/>
    <col min="15366" max="15366" width="9" style="364" customWidth="1"/>
    <col min="15367" max="15367" width="7.5" style="364" customWidth="1"/>
    <col min="15368" max="15368" width="9.25" style="364" customWidth="1"/>
    <col min="15369" max="15369" width="13.875" style="364" customWidth="1"/>
    <col min="15370" max="15370" width="16.5" style="364" customWidth="1"/>
    <col min="15371" max="15615" width="9" style="364"/>
    <col min="15616" max="15617" width="7.25" style="364" customWidth="1"/>
    <col min="15618" max="15618" width="8" style="364" customWidth="1"/>
    <col min="15619" max="15619" width="7.625" style="364" customWidth="1"/>
    <col min="15620" max="15620" width="15.5" style="364" customWidth="1"/>
    <col min="15621" max="15621" width="30.375" style="364" customWidth="1"/>
    <col min="15622" max="15622" width="9" style="364" customWidth="1"/>
    <col min="15623" max="15623" width="7.5" style="364" customWidth="1"/>
    <col min="15624" max="15624" width="9.25" style="364" customWidth="1"/>
    <col min="15625" max="15625" width="13.875" style="364" customWidth="1"/>
    <col min="15626" max="15626" width="16.5" style="364" customWidth="1"/>
    <col min="15627" max="15871" width="9" style="364"/>
    <col min="15872" max="15873" width="7.25" style="364" customWidth="1"/>
    <col min="15874" max="15874" width="8" style="364" customWidth="1"/>
    <col min="15875" max="15875" width="7.625" style="364" customWidth="1"/>
    <col min="15876" max="15876" width="15.5" style="364" customWidth="1"/>
    <col min="15877" max="15877" width="30.375" style="364" customWidth="1"/>
    <col min="15878" max="15878" width="9" style="364" customWidth="1"/>
    <col min="15879" max="15879" width="7.5" style="364" customWidth="1"/>
    <col min="15880" max="15880" width="9.25" style="364" customWidth="1"/>
    <col min="15881" max="15881" width="13.875" style="364" customWidth="1"/>
    <col min="15882" max="15882" width="16.5" style="364" customWidth="1"/>
    <col min="15883" max="16127" width="9" style="364"/>
    <col min="16128" max="16129" width="7.25" style="364" customWidth="1"/>
    <col min="16130" max="16130" width="8" style="364" customWidth="1"/>
    <col min="16131" max="16131" width="7.625" style="364" customWidth="1"/>
    <col min="16132" max="16132" width="15.5" style="364" customWidth="1"/>
    <col min="16133" max="16133" width="30.375" style="364" customWidth="1"/>
    <col min="16134" max="16134" width="9" style="364" customWidth="1"/>
    <col min="16135" max="16135" width="7.5" style="364" customWidth="1"/>
    <col min="16136" max="16136" width="9.25" style="364" customWidth="1"/>
    <col min="16137" max="16137" width="13.875" style="364" customWidth="1"/>
    <col min="16138" max="16138" width="16.5" style="364" customWidth="1"/>
    <col min="16139" max="16384" width="9" style="364"/>
  </cols>
  <sheetData>
    <row r="1" spans="1:11" ht="35.1" customHeight="1">
      <c r="B1" s="1436" t="s">
        <v>1152</v>
      </c>
      <c r="C1" s="1436"/>
      <c r="D1" s="1436"/>
      <c r="E1" s="1436"/>
      <c r="F1" s="1436"/>
      <c r="G1" s="1436"/>
      <c r="H1" s="1436"/>
      <c r="I1" s="1436"/>
      <c r="J1" s="1436"/>
    </row>
    <row r="2" spans="1:11" s="359" customFormat="1" ht="18.95" customHeight="1">
      <c r="A2" s="358" t="s">
        <v>1518</v>
      </c>
      <c r="B2" s="365" t="s">
        <v>1085</v>
      </c>
      <c r="C2" s="365" t="s">
        <v>1086</v>
      </c>
      <c r="D2" s="365" t="s">
        <v>1087</v>
      </c>
      <c r="E2" s="365" t="s">
        <v>1088</v>
      </c>
      <c r="F2" s="365" t="s">
        <v>129</v>
      </c>
      <c r="G2" s="365" t="s">
        <v>1089</v>
      </c>
      <c r="H2" s="365" t="s">
        <v>1090</v>
      </c>
      <c r="I2" s="340" t="s">
        <v>1091</v>
      </c>
      <c r="J2" s="307" t="s">
        <v>1395</v>
      </c>
      <c r="K2" s="358" t="s">
        <v>1396</v>
      </c>
    </row>
    <row r="3" spans="1:11" s="359" customFormat="1" ht="18.95" customHeight="1">
      <c r="A3" s="1433">
        <v>1</v>
      </c>
      <c r="B3" s="1428" t="s">
        <v>54</v>
      </c>
      <c r="C3" s="1428" t="s">
        <v>1519</v>
      </c>
      <c r="D3" s="1427" t="s">
        <v>1520</v>
      </c>
      <c r="E3" s="339" t="s">
        <v>1521</v>
      </c>
      <c r="F3" s="310" t="s">
        <v>1111</v>
      </c>
      <c r="G3" s="339">
        <v>1860</v>
      </c>
      <c r="H3" s="339">
        <v>270</v>
      </c>
      <c r="I3" s="344">
        <f>G3*H3</f>
        <v>502200</v>
      </c>
      <c r="J3" s="345">
        <f>ROUND(I3*0.95,0)</f>
        <v>477090</v>
      </c>
      <c r="K3" s="358" t="s">
        <v>1522</v>
      </c>
    </row>
    <row r="4" spans="1:11" s="359" customFormat="1" ht="18.95" customHeight="1">
      <c r="A4" s="1433"/>
      <c r="B4" s="1428"/>
      <c r="C4" s="1428"/>
      <c r="D4" s="1427"/>
      <c r="E4" s="310" t="s">
        <v>1102</v>
      </c>
      <c r="F4" s="310" t="s">
        <v>1111</v>
      </c>
      <c r="G4" s="310">
        <f>SUM(G1:G3)</f>
        <v>1860</v>
      </c>
      <c r="H4" s="310">
        <v>30</v>
      </c>
      <c r="I4" s="311">
        <f>G4*H4</f>
        <v>55800</v>
      </c>
      <c r="J4" s="345">
        <f t="shared" ref="J4:J67" si="0">ROUND(I4*0.95,0)</f>
        <v>53010</v>
      </c>
      <c r="K4" s="358"/>
    </row>
    <row r="5" spans="1:11" s="359" customFormat="1" ht="18.95" customHeight="1">
      <c r="A5" s="1433"/>
      <c r="B5" s="1428"/>
      <c r="C5" s="1428"/>
      <c r="D5" s="1427" t="s">
        <v>1154</v>
      </c>
      <c r="E5" s="307" t="s">
        <v>1523</v>
      </c>
      <c r="F5" s="310" t="s">
        <v>1111</v>
      </c>
      <c r="G5" s="339">
        <v>1500</v>
      </c>
      <c r="H5" s="307">
        <v>350</v>
      </c>
      <c r="I5" s="330">
        <f>G5*H5</f>
        <v>525000</v>
      </c>
      <c r="J5" s="345">
        <f t="shared" si="0"/>
        <v>498750</v>
      </c>
      <c r="K5" s="358" t="s">
        <v>1524</v>
      </c>
    </row>
    <row r="6" spans="1:11" s="309" customFormat="1" ht="18.95" customHeight="1">
      <c r="A6" s="1433"/>
      <c r="B6" s="1428"/>
      <c r="C6" s="1428"/>
      <c r="D6" s="1427"/>
      <c r="E6" s="316" t="s">
        <v>1412</v>
      </c>
      <c r="F6" s="310" t="s">
        <v>1111</v>
      </c>
      <c r="G6" s="310">
        <f>G5</f>
        <v>1500</v>
      </c>
      <c r="H6" s="310">
        <v>50</v>
      </c>
      <c r="I6" s="311">
        <f t="shared" ref="I6" si="1">G6*H6</f>
        <v>75000</v>
      </c>
      <c r="J6" s="345">
        <f t="shared" si="0"/>
        <v>71250</v>
      </c>
      <c r="K6" s="308"/>
    </row>
    <row r="7" spans="1:11" s="359" customFormat="1" ht="18.95" customHeight="1">
      <c r="A7" s="1433"/>
      <c r="B7" s="1428"/>
      <c r="C7" s="1428"/>
      <c r="D7" s="1427" t="s">
        <v>1525</v>
      </c>
      <c r="E7" s="307" t="s">
        <v>1526</v>
      </c>
      <c r="F7" s="310" t="s">
        <v>1111</v>
      </c>
      <c r="G7" s="339">
        <v>2100</v>
      </c>
      <c r="H7" s="307">
        <v>270</v>
      </c>
      <c r="I7" s="330">
        <f>G7*H7</f>
        <v>567000</v>
      </c>
      <c r="J7" s="345">
        <f t="shared" si="0"/>
        <v>538650</v>
      </c>
      <c r="K7" s="358" t="s">
        <v>1527</v>
      </c>
    </row>
    <row r="8" spans="1:11" s="309" customFormat="1" ht="18.95" customHeight="1">
      <c r="A8" s="1433"/>
      <c r="B8" s="1428"/>
      <c r="C8" s="1428"/>
      <c r="D8" s="1427"/>
      <c r="E8" s="310" t="s">
        <v>1102</v>
      </c>
      <c r="F8" s="310" t="s">
        <v>1111</v>
      </c>
      <c r="G8" s="310">
        <f>G7</f>
        <v>2100</v>
      </c>
      <c r="H8" s="310">
        <v>30</v>
      </c>
      <c r="I8" s="311">
        <f>G8*H8</f>
        <v>63000</v>
      </c>
      <c r="J8" s="345">
        <f t="shared" si="0"/>
        <v>59850</v>
      </c>
      <c r="K8" s="308"/>
    </row>
    <row r="9" spans="1:11" s="314" customFormat="1" ht="18.95" customHeight="1">
      <c r="A9" s="1433"/>
      <c r="B9" s="1428"/>
      <c r="C9" s="1428"/>
      <c r="D9" s="310"/>
      <c r="E9" s="310" t="s">
        <v>1097</v>
      </c>
      <c r="F9" s="310"/>
      <c r="G9" s="310"/>
      <c r="H9" s="311"/>
      <c r="I9" s="312">
        <f>SUM(I3:I8)</f>
        <v>1788000</v>
      </c>
      <c r="J9" s="345">
        <f t="shared" si="0"/>
        <v>1698600</v>
      </c>
      <c r="K9" s="313"/>
    </row>
    <row r="10" spans="1:11" s="314" customFormat="1" ht="18.95" customHeight="1">
      <c r="A10" s="1433"/>
      <c r="B10" s="1428"/>
      <c r="C10" s="1428"/>
      <c r="D10" s="310"/>
      <c r="E10" s="310" t="s">
        <v>1408</v>
      </c>
      <c r="F10" s="310"/>
      <c r="G10" s="310"/>
      <c r="H10" s="366"/>
      <c r="I10" s="312">
        <f>I9*0.1</f>
        <v>178800</v>
      </c>
      <c r="J10" s="345">
        <f t="shared" si="0"/>
        <v>169860</v>
      </c>
      <c r="K10" s="313"/>
    </row>
    <row r="11" spans="1:11" s="314" customFormat="1" ht="18.95" customHeight="1">
      <c r="A11" s="1433"/>
      <c r="B11" s="1428"/>
      <c r="C11" s="1428"/>
      <c r="D11" s="310"/>
      <c r="E11" s="310" t="s">
        <v>1409</v>
      </c>
      <c r="F11" s="310"/>
      <c r="G11" s="310"/>
      <c r="H11" s="311"/>
      <c r="I11" s="312">
        <f>(I9+I10)*0.05</f>
        <v>98340</v>
      </c>
      <c r="J11" s="345">
        <f t="shared" si="0"/>
        <v>93423</v>
      </c>
      <c r="K11" s="313"/>
    </row>
    <row r="12" spans="1:11" s="350" customFormat="1" ht="18.95" customHeight="1">
      <c r="A12" s="1433"/>
      <c r="B12" s="1428"/>
      <c r="C12" s="1428"/>
      <c r="D12" s="358"/>
      <c r="E12" s="304" t="s">
        <v>1415</v>
      </c>
      <c r="F12" s="310" t="s">
        <v>1107</v>
      </c>
      <c r="G12" s="310">
        <v>2</v>
      </c>
      <c r="H12" s="332">
        <v>30000</v>
      </c>
      <c r="I12" s="332">
        <f>G12*H12</f>
        <v>60000</v>
      </c>
      <c r="J12" s="345">
        <f t="shared" si="0"/>
        <v>57000</v>
      </c>
      <c r="K12" s="358"/>
    </row>
    <row r="13" spans="1:11" s="359" customFormat="1" ht="18.95" customHeight="1">
      <c r="A13" s="1433"/>
      <c r="B13" s="1428"/>
      <c r="C13" s="1428"/>
      <c r="D13" s="358"/>
      <c r="E13" s="365" t="s">
        <v>25</v>
      </c>
      <c r="F13" s="365"/>
      <c r="G13" s="365"/>
      <c r="H13" s="365"/>
      <c r="I13" s="306">
        <f>ROUNDUP(I9+I10+I11+I12,0)</f>
        <v>2125140</v>
      </c>
      <c r="J13" s="345">
        <f t="shared" si="0"/>
        <v>2018883</v>
      </c>
      <c r="K13" s="358"/>
    </row>
    <row r="14" spans="1:11" s="359" customFormat="1" ht="18.95" customHeight="1">
      <c r="A14" s="1433">
        <v>2</v>
      </c>
      <c r="B14" s="1428" t="s">
        <v>55</v>
      </c>
      <c r="C14" s="1428" t="s">
        <v>1155</v>
      </c>
      <c r="D14" s="1435" t="s">
        <v>1411</v>
      </c>
      <c r="E14" s="310" t="s">
        <v>1528</v>
      </c>
      <c r="F14" s="310" t="s">
        <v>1111</v>
      </c>
      <c r="G14" s="310">
        <v>315</v>
      </c>
      <c r="H14" s="310">
        <v>400</v>
      </c>
      <c r="I14" s="332">
        <f t="shared" ref="I14:I17" si="2">G14*H14</f>
        <v>126000</v>
      </c>
      <c r="J14" s="345">
        <f t="shared" si="0"/>
        <v>119700</v>
      </c>
      <c r="K14" s="358" t="s">
        <v>1541</v>
      </c>
    </row>
    <row r="15" spans="1:11" s="359" customFormat="1" ht="18.95" customHeight="1">
      <c r="A15" s="1433"/>
      <c r="B15" s="1428"/>
      <c r="C15" s="1428"/>
      <c r="D15" s="1435"/>
      <c r="E15" s="310" t="s">
        <v>1542</v>
      </c>
      <c r="F15" s="310" t="s">
        <v>1111</v>
      </c>
      <c r="G15" s="310">
        <v>195</v>
      </c>
      <c r="H15" s="310">
        <v>350</v>
      </c>
      <c r="I15" s="332">
        <f t="shared" si="2"/>
        <v>68250</v>
      </c>
      <c r="J15" s="345">
        <f t="shared" si="0"/>
        <v>64838</v>
      </c>
      <c r="K15" s="358" t="s">
        <v>1524</v>
      </c>
    </row>
    <row r="16" spans="1:11" s="309" customFormat="1" ht="18.95" customHeight="1">
      <c r="A16" s="1433"/>
      <c r="B16" s="1428"/>
      <c r="C16" s="1428"/>
      <c r="D16" s="1435"/>
      <c r="E16" s="316" t="s">
        <v>1412</v>
      </c>
      <c r="F16" s="310" t="s">
        <v>1111</v>
      </c>
      <c r="G16" s="310">
        <v>195</v>
      </c>
      <c r="H16" s="310">
        <v>50</v>
      </c>
      <c r="I16" s="311">
        <f t="shared" si="2"/>
        <v>9750</v>
      </c>
      <c r="J16" s="345">
        <f t="shared" si="0"/>
        <v>9263</v>
      </c>
      <c r="K16" s="308"/>
    </row>
    <row r="17" spans="1:11" s="359" customFormat="1" ht="18.95" customHeight="1">
      <c r="A17" s="1433"/>
      <c r="B17" s="1428"/>
      <c r="C17" s="1428"/>
      <c r="D17" s="1427" t="s">
        <v>1520</v>
      </c>
      <c r="E17" s="339" t="s">
        <v>1521</v>
      </c>
      <c r="F17" s="310" t="s">
        <v>1111</v>
      </c>
      <c r="G17" s="310">
        <v>1350</v>
      </c>
      <c r="H17" s="310">
        <v>270</v>
      </c>
      <c r="I17" s="332">
        <f t="shared" si="2"/>
        <v>364500</v>
      </c>
      <c r="J17" s="345">
        <f t="shared" si="0"/>
        <v>346275</v>
      </c>
      <c r="K17" s="358" t="s">
        <v>1543</v>
      </c>
    </row>
    <row r="18" spans="1:11" s="359" customFormat="1" ht="18.95" customHeight="1">
      <c r="A18" s="1433"/>
      <c r="B18" s="1428"/>
      <c r="C18" s="1428"/>
      <c r="D18" s="1427"/>
      <c r="E18" s="310" t="s">
        <v>1102</v>
      </c>
      <c r="F18" s="310" t="s">
        <v>1111</v>
      </c>
      <c r="G18" s="310">
        <f>G17</f>
        <v>1350</v>
      </c>
      <c r="H18" s="310">
        <v>30</v>
      </c>
      <c r="I18" s="311">
        <f>G18*H18</f>
        <v>40500</v>
      </c>
      <c r="J18" s="345">
        <f t="shared" si="0"/>
        <v>38475</v>
      </c>
      <c r="K18" s="358"/>
    </row>
    <row r="19" spans="1:11" s="314" customFormat="1" ht="18.95" customHeight="1">
      <c r="A19" s="1433"/>
      <c r="B19" s="1428"/>
      <c r="C19" s="1428"/>
      <c r="D19" s="310"/>
      <c r="E19" s="310" t="s">
        <v>1097</v>
      </c>
      <c r="F19" s="310"/>
      <c r="G19" s="310"/>
      <c r="H19" s="311"/>
      <c r="I19" s="312">
        <f>SUM(I14:I18)</f>
        <v>609000</v>
      </c>
      <c r="J19" s="345">
        <f t="shared" si="0"/>
        <v>578550</v>
      </c>
      <c r="K19" s="313"/>
    </row>
    <row r="20" spans="1:11" s="314" customFormat="1" ht="18.95" customHeight="1">
      <c r="A20" s="1433"/>
      <c r="B20" s="1428"/>
      <c r="C20" s="1428"/>
      <c r="D20" s="310"/>
      <c r="E20" s="310" t="s">
        <v>1408</v>
      </c>
      <c r="F20" s="310"/>
      <c r="G20" s="310"/>
      <c r="H20" s="366"/>
      <c r="I20" s="312">
        <f>I19*0.1</f>
        <v>60900</v>
      </c>
      <c r="J20" s="345">
        <f t="shared" si="0"/>
        <v>57855</v>
      </c>
      <c r="K20" s="313"/>
    </row>
    <row r="21" spans="1:11" s="314" customFormat="1" ht="18.95" customHeight="1">
      <c r="A21" s="1433"/>
      <c r="B21" s="1428"/>
      <c r="C21" s="1428"/>
      <c r="D21" s="310"/>
      <c r="E21" s="310" t="s">
        <v>1409</v>
      </c>
      <c r="F21" s="310"/>
      <c r="G21" s="310"/>
      <c r="H21" s="311"/>
      <c r="I21" s="312">
        <f>(I19+I20)*0.05</f>
        <v>33495</v>
      </c>
      <c r="J21" s="345">
        <f t="shared" si="0"/>
        <v>31820</v>
      </c>
      <c r="K21" s="313"/>
    </row>
    <row r="22" spans="1:11" s="350" customFormat="1" ht="18.95" customHeight="1">
      <c r="A22" s="1433"/>
      <c r="B22" s="1428"/>
      <c r="C22" s="1428"/>
      <c r="D22" s="358"/>
      <c r="E22" s="304" t="s">
        <v>1415</v>
      </c>
      <c r="F22" s="310" t="s">
        <v>1416</v>
      </c>
      <c r="G22" s="310">
        <v>1</v>
      </c>
      <c r="H22" s="332">
        <v>30000</v>
      </c>
      <c r="I22" s="332">
        <f>G22*H22</f>
        <v>30000</v>
      </c>
      <c r="J22" s="345">
        <f t="shared" si="0"/>
        <v>28500</v>
      </c>
      <c r="K22" s="358"/>
    </row>
    <row r="23" spans="1:11" s="359" customFormat="1" ht="18.95" customHeight="1">
      <c r="A23" s="1433"/>
      <c r="B23" s="1428"/>
      <c r="C23" s="1428"/>
      <c r="D23" s="358"/>
      <c r="E23" s="367" t="s">
        <v>25</v>
      </c>
      <c r="F23" s="310"/>
      <c r="G23" s="310"/>
      <c r="H23" s="310"/>
      <c r="I23" s="306">
        <f>ROUNDUP(I19+I20+I21+I22,0)</f>
        <v>733395</v>
      </c>
      <c r="J23" s="345">
        <f t="shared" si="0"/>
        <v>696725</v>
      </c>
      <c r="K23" s="358"/>
    </row>
    <row r="24" spans="1:11" s="359" customFormat="1" ht="18.95" customHeight="1">
      <c r="A24" s="1433">
        <v>3</v>
      </c>
      <c r="B24" s="1428" t="s">
        <v>1544</v>
      </c>
      <c r="C24" s="1428" t="s">
        <v>1156</v>
      </c>
      <c r="D24" s="310" t="s">
        <v>1157</v>
      </c>
      <c r="E24" s="310" t="s">
        <v>1158</v>
      </c>
      <c r="F24" s="310" t="s">
        <v>1111</v>
      </c>
      <c r="G24" s="310">
        <v>250</v>
      </c>
      <c r="H24" s="310">
        <v>150</v>
      </c>
      <c r="I24" s="332">
        <f>G24*H24</f>
        <v>37500</v>
      </c>
      <c r="J24" s="345">
        <f t="shared" si="0"/>
        <v>35625</v>
      </c>
      <c r="K24" s="358" t="s">
        <v>1524</v>
      </c>
    </row>
    <row r="25" spans="1:11" s="359" customFormat="1" ht="18.95" customHeight="1">
      <c r="A25" s="1433"/>
      <c r="B25" s="1428"/>
      <c r="C25" s="1428"/>
      <c r="D25" s="310" t="s">
        <v>1157</v>
      </c>
      <c r="E25" s="310" t="s">
        <v>1159</v>
      </c>
      <c r="F25" s="310" t="s">
        <v>1417</v>
      </c>
      <c r="G25" s="310">
        <v>80</v>
      </c>
      <c r="H25" s="310">
        <v>150</v>
      </c>
      <c r="I25" s="332">
        <f t="shared" ref="I25:I28" si="3">G25*H25</f>
        <v>12000</v>
      </c>
      <c r="J25" s="345">
        <f t="shared" si="0"/>
        <v>11400</v>
      </c>
      <c r="K25" s="358" t="s">
        <v>1545</v>
      </c>
    </row>
    <row r="26" spans="1:11" s="359" customFormat="1" ht="18.95" customHeight="1">
      <c r="A26" s="1433"/>
      <c r="B26" s="1428"/>
      <c r="C26" s="1428"/>
      <c r="D26" s="310" t="s">
        <v>1157</v>
      </c>
      <c r="E26" s="310" t="s">
        <v>1160</v>
      </c>
      <c r="F26" s="310" t="s">
        <v>1111</v>
      </c>
      <c r="G26" s="310">
        <v>568</v>
      </c>
      <c r="H26" s="310">
        <v>150</v>
      </c>
      <c r="I26" s="332">
        <f t="shared" si="3"/>
        <v>85200</v>
      </c>
      <c r="J26" s="345">
        <f t="shared" si="0"/>
        <v>80940</v>
      </c>
      <c r="K26" s="358" t="s">
        <v>1524</v>
      </c>
    </row>
    <row r="27" spans="1:11" s="359" customFormat="1" ht="18.95" customHeight="1">
      <c r="A27" s="1433"/>
      <c r="B27" s="1428"/>
      <c r="C27" s="1428"/>
      <c r="D27" s="310" t="s">
        <v>1157</v>
      </c>
      <c r="E27" s="310" t="s">
        <v>1161</v>
      </c>
      <c r="F27" s="310" t="s">
        <v>1417</v>
      </c>
      <c r="G27" s="310">
        <v>105</v>
      </c>
      <c r="H27" s="310">
        <v>150</v>
      </c>
      <c r="I27" s="332">
        <f t="shared" si="3"/>
        <v>15750</v>
      </c>
      <c r="J27" s="345">
        <f t="shared" si="0"/>
        <v>14963</v>
      </c>
      <c r="K27" s="358" t="s">
        <v>1545</v>
      </c>
    </row>
    <row r="28" spans="1:11" s="309" customFormat="1" ht="18.95" customHeight="1">
      <c r="A28" s="1433"/>
      <c r="B28" s="1428"/>
      <c r="C28" s="1428"/>
      <c r="D28" s="310"/>
      <c r="E28" s="316" t="s">
        <v>1412</v>
      </c>
      <c r="F28" s="310" t="s">
        <v>1111</v>
      </c>
      <c r="G28" s="310">
        <f>G24+G26</f>
        <v>818</v>
      </c>
      <c r="H28" s="310">
        <v>20</v>
      </c>
      <c r="I28" s="332">
        <f t="shared" si="3"/>
        <v>16360</v>
      </c>
      <c r="J28" s="345">
        <f t="shared" si="0"/>
        <v>15542</v>
      </c>
      <c r="K28" s="308"/>
    </row>
    <row r="29" spans="1:11" s="314" customFormat="1" ht="18.95" customHeight="1">
      <c r="A29" s="1433"/>
      <c r="B29" s="1428"/>
      <c r="C29" s="1428"/>
      <c r="D29" s="310"/>
      <c r="E29" s="310" t="s">
        <v>1097</v>
      </c>
      <c r="F29" s="310"/>
      <c r="G29" s="310"/>
      <c r="H29" s="311"/>
      <c r="I29" s="312">
        <f>SUM(I24:I28)</f>
        <v>166810</v>
      </c>
      <c r="J29" s="345">
        <f t="shared" si="0"/>
        <v>158470</v>
      </c>
      <c r="K29" s="313"/>
    </row>
    <row r="30" spans="1:11" s="314" customFormat="1" ht="18.95" customHeight="1">
      <c r="A30" s="1433"/>
      <c r="B30" s="1428"/>
      <c r="C30" s="1428"/>
      <c r="D30" s="310"/>
      <c r="E30" s="310" t="s">
        <v>1408</v>
      </c>
      <c r="F30" s="310"/>
      <c r="G30" s="310"/>
      <c r="H30" s="366"/>
      <c r="I30" s="312">
        <f>I29*0.1</f>
        <v>16681</v>
      </c>
      <c r="J30" s="345">
        <f t="shared" si="0"/>
        <v>15847</v>
      </c>
      <c r="K30" s="313"/>
    </row>
    <row r="31" spans="1:11" s="314" customFormat="1" ht="18.95" customHeight="1">
      <c r="A31" s="1433"/>
      <c r="B31" s="1428"/>
      <c r="C31" s="1428"/>
      <c r="D31" s="310"/>
      <c r="E31" s="310" t="s">
        <v>1409</v>
      </c>
      <c r="F31" s="310"/>
      <c r="G31" s="310"/>
      <c r="H31" s="311"/>
      <c r="I31" s="312">
        <f>(I29+I30)*0.05</f>
        <v>9174.5500000000011</v>
      </c>
      <c r="J31" s="345">
        <f t="shared" si="0"/>
        <v>8716</v>
      </c>
      <c r="K31" s="313"/>
    </row>
    <row r="32" spans="1:11" s="359" customFormat="1" ht="18.95" customHeight="1">
      <c r="A32" s="1433"/>
      <c r="B32" s="1428"/>
      <c r="C32" s="1428"/>
      <c r="D32" s="358"/>
      <c r="E32" s="365" t="s">
        <v>25</v>
      </c>
      <c r="F32" s="310"/>
      <c r="G32" s="310"/>
      <c r="H32" s="310"/>
      <c r="I32" s="306">
        <f>ROUNDUP(I29+I30+I31,0)</f>
        <v>192666</v>
      </c>
      <c r="J32" s="345">
        <f t="shared" si="0"/>
        <v>183033</v>
      </c>
      <c r="K32" s="358"/>
    </row>
    <row r="33" spans="1:11" s="359" customFormat="1" ht="18.95" customHeight="1">
      <c r="A33" s="1433">
        <v>4</v>
      </c>
      <c r="B33" s="1428" t="s">
        <v>619</v>
      </c>
      <c r="C33" s="1428" t="s">
        <v>1162</v>
      </c>
      <c r="D33" s="1428" t="s">
        <v>1157</v>
      </c>
      <c r="E33" s="310" t="s">
        <v>1546</v>
      </c>
      <c r="F33" s="310" t="s">
        <v>1417</v>
      </c>
      <c r="G33" s="310">
        <v>220</v>
      </c>
      <c r="H33" s="310">
        <v>150</v>
      </c>
      <c r="I33" s="332">
        <f>G33*H33</f>
        <v>33000</v>
      </c>
      <c r="J33" s="345">
        <f t="shared" si="0"/>
        <v>31350</v>
      </c>
      <c r="K33" s="358" t="s">
        <v>1547</v>
      </c>
    </row>
    <row r="34" spans="1:11" s="359" customFormat="1" ht="18.95" customHeight="1">
      <c r="A34" s="1433"/>
      <c r="B34" s="1428"/>
      <c r="C34" s="1428"/>
      <c r="D34" s="1428"/>
      <c r="E34" s="310" t="s">
        <v>1475</v>
      </c>
      <c r="F34" s="310" t="s">
        <v>1111</v>
      </c>
      <c r="G34" s="310">
        <v>1100</v>
      </c>
      <c r="H34" s="310">
        <v>150</v>
      </c>
      <c r="I34" s="332">
        <f t="shared" ref="I34:I35" si="4">G34*H34</f>
        <v>165000</v>
      </c>
      <c r="J34" s="345">
        <f t="shared" si="0"/>
        <v>156750</v>
      </c>
      <c r="K34" s="358"/>
    </row>
    <row r="35" spans="1:11" s="309" customFormat="1" ht="18.95" customHeight="1">
      <c r="A35" s="1433"/>
      <c r="B35" s="1428"/>
      <c r="C35" s="1428"/>
      <c r="D35" s="1428"/>
      <c r="E35" s="316" t="s">
        <v>1412</v>
      </c>
      <c r="F35" s="310" t="s">
        <v>1093</v>
      </c>
      <c r="G35" s="310">
        <f>G34</f>
        <v>1100</v>
      </c>
      <c r="H35" s="310">
        <v>20</v>
      </c>
      <c r="I35" s="332">
        <f t="shared" si="4"/>
        <v>22000</v>
      </c>
      <c r="J35" s="345">
        <f t="shared" si="0"/>
        <v>20900</v>
      </c>
      <c r="K35" s="308"/>
    </row>
    <row r="36" spans="1:11" s="314" customFormat="1" ht="18.95" customHeight="1">
      <c r="A36" s="1433"/>
      <c r="B36" s="1428"/>
      <c r="C36" s="1428"/>
      <c r="D36" s="310"/>
      <c r="E36" s="310" t="s">
        <v>1097</v>
      </c>
      <c r="F36" s="310"/>
      <c r="G36" s="310"/>
      <c r="H36" s="311"/>
      <c r="I36" s="312">
        <f>SUM(I33:I35)</f>
        <v>220000</v>
      </c>
      <c r="J36" s="345">
        <f t="shared" si="0"/>
        <v>209000</v>
      </c>
      <c r="K36" s="313"/>
    </row>
    <row r="37" spans="1:11" s="314" customFormat="1" ht="18.95" customHeight="1">
      <c r="A37" s="1433"/>
      <c r="B37" s="1428"/>
      <c r="C37" s="1428"/>
      <c r="D37" s="310"/>
      <c r="E37" s="310" t="s">
        <v>1408</v>
      </c>
      <c r="F37" s="310"/>
      <c r="G37" s="310"/>
      <c r="H37" s="366"/>
      <c r="I37" s="312">
        <f>I36*0.1</f>
        <v>22000</v>
      </c>
      <c r="J37" s="345">
        <f t="shared" si="0"/>
        <v>20900</v>
      </c>
      <c r="K37" s="313"/>
    </row>
    <row r="38" spans="1:11" s="314" customFormat="1" ht="18.95" customHeight="1">
      <c r="A38" s="1433"/>
      <c r="B38" s="1428"/>
      <c r="C38" s="1428"/>
      <c r="D38" s="310"/>
      <c r="E38" s="310" t="s">
        <v>1409</v>
      </c>
      <c r="F38" s="310"/>
      <c r="G38" s="310"/>
      <c r="H38" s="311"/>
      <c r="I38" s="312">
        <f>(I36+I37)*0.05</f>
        <v>12100</v>
      </c>
      <c r="J38" s="345">
        <f t="shared" si="0"/>
        <v>11495</v>
      </c>
      <c r="K38" s="313"/>
    </row>
    <row r="39" spans="1:11" s="359" customFormat="1" ht="18.95" customHeight="1">
      <c r="A39" s="1433"/>
      <c r="B39" s="1428"/>
      <c r="C39" s="1428"/>
      <c r="D39" s="358"/>
      <c r="E39" s="365" t="s">
        <v>25</v>
      </c>
      <c r="F39" s="310"/>
      <c r="G39" s="310"/>
      <c r="H39" s="310"/>
      <c r="I39" s="306">
        <f>ROUNDUP(I36+I37+I38,0)</f>
        <v>254100</v>
      </c>
      <c r="J39" s="345">
        <f t="shared" si="0"/>
        <v>241395</v>
      </c>
      <c r="K39" s="358"/>
    </row>
    <row r="40" spans="1:11" s="359" customFormat="1" ht="18.95" customHeight="1">
      <c r="A40" s="1433">
        <v>5</v>
      </c>
      <c r="B40" s="1428" t="s">
        <v>628</v>
      </c>
      <c r="C40" s="1428" t="s">
        <v>1163</v>
      </c>
      <c r="D40" s="310" t="s">
        <v>1164</v>
      </c>
      <c r="E40" s="310" t="s">
        <v>1548</v>
      </c>
      <c r="F40" s="310" t="s">
        <v>1111</v>
      </c>
      <c r="G40" s="310">
        <v>480</v>
      </c>
      <c r="H40" s="310">
        <v>250</v>
      </c>
      <c r="I40" s="332">
        <f>G40*H40</f>
        <v>120000</v>
      </c>
      <c r="J40" s="345">
        <f t="shared" si="0"/>
        <v>114000</v>
      </c>
      <c r="K40" s="358" t="s">
        <v>1549</v>
      </c>
    </row>
    <row r="41" spans="1:11" s="359" customFormat="1" ht="18.95" customHeight="1">
      <c r="A41" s="1433"/>
      <c r="B41" s="1428"/>
      <c r="C41" s="1428"/>
      <c r="D41" s="310" t="s">
        <v>1165</v>
      </c>
      <c r="E41" s="310" t="s">
        <v>1550</v>
      </c>
      <c r="F41" s="310" t="s">
        <v>1111</v>
      </c>
      <c r="G41" s="310">
        <v>180</v>
      </c>
      <c r="H41" s="310">
        <v>400</v>
      </c>
      <c r="I41" s="332">
        <f>G41*H41</f>
        <v>72000</v>
      </c>
      <c r="J41" s="345">
        <f t="shared" si="0"/>
        <v>68400</v>
      </c>
      <c r="K41" s="358" t="s">
        <v>1551</v>
      </c>
    </row>
    <row r="42" spans="1:11" s="314" customFormat="1" ht="18.95" customHeight="1">
      <c r="A42" s="1433"/>
      <c r="B42" s="1428"/>
      <c r="C42" s="1428"/>
      <c r="D42" s="310"/>
      <c r="E42" s="310" t="s">
        <v>1097</v>
      </c>
      <c r="F42" s="310"/>
      <c r="G42" s="310"/>
      <c r="H42" s="311"/>
      <c r="I42" s="312">
        <f>SUM(I40:I41)</f>
        <v>192000</v>
      </c>
      <c r="J42" s="345">
        <f t="shared" si="0"/>
        <v>182400</v>
      </c>
      <c r="K42" s="313"/>
    </row>
    <row r="43" spans="1:11" s="314" customFormat="1" ht="18.95" customHeight="1">
      <c r="A43" s="1433"/>
      <c r="B43" s="1428"/>
      <c r="C43" s="1428"/>
      <c r="D43" s="310"/>
      <c r="E43" s="310" t="s">
        <v>1408</v>
      </c>
      <c r="F43" s="310"/>
      <c r="G43" s="310"/>
      <c r="H43" s="366"/>
      <c r="I43" s="312">
        <f>I42*0.1</f>
        <v>19200</v>
      </c>
      <c r="J43" s="345">
        <f t="shared" si="0"/>
        <v>18240</v>
      </c>
      <c r="K43" s="313"/>
    </row>
    <row r="44" spans="1:11" s="314" customFormat="1" ht="18.95" customHeight="1">
      <c r="A44" s="1433"/>
      <c r="B44" s="1428"/>
      <c r="C44" s="1428"/>
      <c r="D44" s="310"/>
      <c r="E44" s="310" t="s">
        <v>1409</v>
      </c>
      <c r="F44" s="310"/>
      <c r="G44" s="310"/>
      <c r="H44" s="311"/>
      <c r="I44" s="312">
        <f>(I42+I43)*0.05</f>
        <v>10560</v>
      </c>
      <c r="J44" s="345">
        <f t="shared" si="0"/>
        <v>10032</v>
      </c>
      <c r="K44" s="313"/>
    </row>
    <row r="45" spans="1:11" s="359" customFormat="1" ht="18.95" customHeight="1">
      <c r="A45" s="1433"/>
      <c r="B45" s="1428"/>
      <c r="C45" s="1428"/>
      <c r="D45" s="310"/>
      <c r="E45" s="310" t="s">
        <v>25</v>
      </c>
      <c r="F45" s="310"/>
      <c r="G45" s="310"/>
      <c r="H45" s="310"/>
      <c r="I45" s="306">
        <f>ROUNDUP(I42+I43+I44,0)</f>
        <v>221760</v>
      </c>
      <c r="J45" s="345">
        <f t="shared" si="0"/>
        <v>210672</v>
      </c>
      <c r="K45" s="358"/>
    </row>
    <row r="46" spans="1:11" s="359" customFormat="1" ht="18.95" customHeight="1">
      <c r="A46" s="1433">
        <v>6</v>
      </c>
      <c r="B46" s="1428" t="s">
        <v>1166</v>
      </c>
      <c r="C46" s="1428" t="s">
        <v>1167</v>
      </c>
      <c r="D46" s="1428" t="s">
        <v>1168</v>
      </c>
      <c r="E46" s="358" t="s">
        <v>1169</v>
      </c>
      <c r="F46" s="310" t="s">
        <v>1111</v>
      </c>
      <c r="G46" s="358">
        <v>2415</v>
      </c>
      <c r="H46" s="358">
        <v>150</v>
      </c>
      <c r="I46" s="358">
        <f>G46*H46</f>
        <v>362250</v>
      </c>
      <c r="J46" s="345">
        <f t="shared" si="0"/>
        <v>344138</v>
      </c>
      <c r="K46" s="358" t="s">
        <v>1524</v>
      </c>
    </row>
    <row r="47" spans="1:11" s="309" customFormat="1" ht="18.95" customHeight="1">
      <c r="A47" s="1433"/>
      <c r="B47" s="1428"/>
      <c r="C47" s="1428"/>
      <c r="D47" s="1428"/>
      <c r="E47" s="316" t="s">
        <v>1412</v>
      </c>
      <c r="F47" s="310" t="s">
        <v>1111</v>
      </c>
      <c r="G47" s="310">
        <f>G46</f>
        <v>2415</v>
      </c>
      <c r="H47" s="310">
        <v>20</v>
      </c>
      <c r="I47" s="332">
        <f t="shared" ref="I47" si="5">G47*H47</f>
        <v>48300</v>
      </c>
      <c r="J47" s="345">
        <f t="shared" si="0"/>
        <v>45885</v>
      </c>
      <c r="K47" s="308"/>
    </row>
    <row r="48" spans="1:11" s="314" customFormat="1" ht="18.95" customHeight="1">
      <c r="A48" s="1433"/>
      <c r="B48" s="1428"/>
      <c r="C48" s="1428"/>
      <c r="D48" s="310"/>
      <c r="E48" s="310" t="s">
        <v>1097</v>
      </c>
      <c r="F48" s="310"/>
      <c r="G48" s="310"/>
      <c r="H48" s="311"/>
      <c r="I48" s="312">
        <f>SUM(I46:I47)</f>
        <v>410550</v>
      </c>
      <c r="J48" s="345">
        <f t="shared" si="0"/>
        <v>390023</v>
      </c>
      <c r="K48" s="313"/>
    </row>
    <row r="49" spans="1:11" s="314" customFormat="1" ht="18.95" customHeight="1">
      <c r="A49" s="1433"/>
      <c r="B49" s="1428"/>
      <c r="C49" s="1428"/>
      <c r="D49" s="310"/>
      <c r="E49" s="310" t="s">
        <v>1408</v>
      </c>
      <c r="F49" s="310"/>
      <c r="G49" s="310"/>
      <c r="H49" s="366"/>
      <c r="I49" s="312">
        <f>I48*0.1</f>
        <v>41055</v>
      </c>
      <c r="J49" s="345">
        <f t="shared" si="0"/>
        <v>39002</v>
      </c>
      <c r="K49" s="313"/>
    </row>
    <row r="50" spans="1:11" s="314" customFormat="1" ht="18.95" customHeight="1">
      <c r="A50" s="1433"/>
      <c r="B50" s="1428"/>
      <c r="C50" s="1428"/>
      <c r="D50" s="310"/>
      <c r="E50" s="310" t="s">
        <v>1409</v>
      </c>
      <c r="F50" s="310"/>
      <c r="G50" s="310"/>
      <c r="H50" s="311"/>
      <c r="I50" s="312">
        <f>(I48+I49)*0.05</f>
        <v>22580.25</v>
      </c>
      <c r="J50" s="345">
        <f t="shared" si="0"/>
        <v>21451</v>
      </c>
      <c r="K50" s="313"/>
    </row>
    <row r="51" spans="1:11" s="359" customFormat="1" ht="18.95" customHeight="1">
      <c r="A51" s="1433"/>
      <c r="B51" s="1428"/>
      <c r="C51" s="1428"/>
      <c r="D51" s="358"/>
      <c r="E51" s="365" t="s">
        <v>25</v>
      </c>
      <c r="F51" s="365"/>
      <c r="G51" s="365"/>
      <c r="H51" s="365"/>
      <c r="I51" s="306">
        <f>ROUNDUP(I48+I49+I50,0)</f>
        <v>474186</v>
      </c>
      <c r="J51" s="345">
        <f t="shared" si="0"/>
        <v>450477</v>
      </c>
      <c r="K51" s="358"/>
    </row>
    <row r="52" spans="1:11" s="359" customFormat="1" ht="18.95" customHeight="1">
      <c r="A52" s="1433">
        <v>7</v>
      </c>
      <c r="B52" s="1428" t="s">
        <v>1552</v>
      </c>
      <c r="C52" s="1428" t="s">
        <v>1170</v>
      </c>
      <c r="D52" s="1435" t="s">
        <v>1411</v>
      </c>
      <c r="E52" s="358" t="s">
        <v>1171</v>
      </c>
      <c r="F52" s="310" t="s">
        <v>1111</v>
      </c>
      <c r="G52" s="358">
        <v>200</v>
      </c>
      <c r="H52" s="358">
        <v>200</v>
      </c>
      <c r="I52" s="358">
        <f>G52*H52</f>
        <v>40000</v>
      </c>
      <c r="J52" s="345">
        <f t="shared" si="0"/>
        <v>38000</v>
      </c>
      <c r="K52" s="358" t="s">
        <v>1553</v>
      </c>
    </row>
    <row r="53" spans="1:11" s="359" customFormat="1" ht="18.95" customHeight="1">
      <c r="A53" s="1433"/>
      <c r="B53" s="1428"/>
      <c r="C53" s="1428"/>
      <c r="D53" s="1435"/>
      <c r="E53" s="358" t="s">
        <v>1172</v>
      </c>
      <c r="F53" s="310" t="s">
        <v>1111</v>
      </c>
      <c r="G53" s="358">
        <v>650</v>
      </c>
      <c r="H53" s="358">
        <v>200</v>
      </c>
      <c r="I53" s="358">
        <f t="shared" ref="I53:I56" si="6">G53*H53</f>
        <v>130000</v>
      </c>
      <c r="J53" s="345">
        <f t="shared" si="0"/>
        <v>123500</v>
      </c>
      <c r="K53" s="358" t="s">
        <v>1554</v>
      </c>
    </row>
    <row r="54" spans="1:11" s="359" customFormat="1" ht="18.95" customHeight="1">
      <c r="A54" s="1433"/>
      <c r="B54" s="1428"/>
      <c r="C54" s="1428"/>
      <c r="D54" s="1435"/>
      <c r="E54" s="358" t="s">
        <v>1173</v>
      </c>
      <c r="F54" s="310" t="s">
        <v>1111</v>
      </c>
      <c r="G54" s="358">
        <v>280</v>
      </c>
      <c r="H54" s="358">
        <v>200</v>
      </c>
      <c r="I54" s="358">
        <f t="shared" si="6"/>
        <v>56000</v>
      </c>
      <c r="J54" s="345">
        <f t="shared" si="0"/>
        <v>53200</v>
      </c>
      <c r="K54" s="358" t="s">
        <v>1554</v>
      </c>
    </row>
    <row r="55" spans="1:11" s="359" customFormat="1" ht="18.95" customHeight="1">
      <c r="A55" s="1433"/>
      <c r="B55" s="1428"/>
      <c r="C55" s="1428"/>
      <c r="D55" s="1435"/>
      <c r="E55" s="358" t="s">
        <v>1555</v>
      </c>
      <c r="F55" s="310" t="s">
        <v>1111</v>
      </c>
      <c r="G55" s="358">
        <v>1048</v>
      </c>
      <c r="H55" s="358">
        <v>200</v>
      </c>
      <c r="I55" s="358">
        <f t="shared" si="6"/>
        <v>209600</v>
      </c>
      <c r="J55" s="345">
        <f t="shared" si="0"/>
        <v>199120</v>
      </c>
      <c r="K55" s="358" t="s">
        <v>1556</v>
      </c>
    </row>
    <row r="56" spans="1:11" s="359" customFormat="1" ht="18.95" customHeight="1">
      <c r="A56" s="1433"/>
      <c r="B56" s="1428"/>
      <c r="C56" s="1428"/>
      <c r="D56" s="1435"/>
      <c r="E56" s="358" t="s">
        <v>1557</v>
      </c>
      <c r="F56" s="310" t="s">
        <v>1111</v>
      </c>
      <c r="G56" s="358">
        <v>220</v>
      </c>
      <c r="H56" s="358">
        <v>600</v>
      </c>
      <c r="I56" s="358">
        <f t="shared" si="6"/>
        <v>132000</v>
      </c>
      <c r="J56" s="345">
        <f t="shared" si="0"/>
        <v>125400</v>
      </c>
      <c r="K56" s="358" t="s">
        <v>1558</v>
      </c>
    </row>
    <row r="57" spans="1:11" s="314" customFormat="1" ht="18.95" customHeight="1">
      <c r="A57" s="1433"/>
      <c r="B57" s="1428"/>
      <c r="C57" s="1428"/>
      <c r="D57" s="338"/>
      <c r="E57" s="310" t="s">
        <v>1097</v>
      </c>
      <c r="F57" s="310"/>
      <c r="G57" s="310"/>
      <c r="H57" s="311"/>
      <c r="I57" s="312">
        <f>SUM(I52:I56)</f>
        <v>567600</v>
      </c>
      <c r="J57" s="345">
        <f t="shared" si="0"/>
        <v>539220</v>
      </c>
      <c r="K57" s="313"/>
    </row>
    <row r="58" spans="1:11" s="314" customFormat="1" ht="18.95" customHeight="1">
      <c r="A58" s="1433"/>
      <c r="B58" s="1428"/>
      <c r="C58" s="1428"/>
      <c r="D58" s="338"/>
      <c r="E58" s="310" t="s">
        <v>1408</v>
      </c>
      <c r="F58" s="310"/>
      <c r="G58" s="310"/>
      <c r="H58" s="366"/>
      <c r="I58" s="312">
        <f>I57*0.1</f>
        <v>56760</v>
      </c>
      <c r="J58" s="345">
        <f t="shared" si="0"/>
        <v>53922</v>
      </c>
      <c r="K58" s="313"/>
    </row>
    <row r="59" spans="1:11" s="314" customFormat="1" ht="18.95" customHeight="1">
      <c r="A59" s="1433"/>
      <c r="B59" s="1428"/>
      <c r="C59" s="1428"/>
      <c r="D59" s="338"/>
      <c r="E59" s="310" t="s">
        <v>1409</v>
      </c>
      <c r="F59" s="310"/>
      <c r="G59" s="310"/>
      <c r="H59" s="311"/>
      <c r="I59" s="312">
        <f>(I57+I58)*0.05</f>
        <v>31218</v>
      </c>
      <c r="J59" s="345">
        <f t="shared" si="0"/>
        <v>29657</v>
      </c>
      <c r="K59" s="313"/>
    </row>
    <row r="60" spans="1:11" s="359" customFormat="1" ht="18.95" customHeight="1">
      <c r="A60" s="1433"/>
      <c r="B60" s="1428"/>
      <c r="C60" s="1428"/>
      <c r="D60" s="358"/>
      <c r="E60" s="365" t="s">
        <v>25</v>
      </c>
      <c r="F60" s="310"/>
      <c r="G60" s="310"/>
      <c r="H60" s="310"/>
      <c r="I60" s="306">
        <f>ROUNDUP(I57+I58+I59,0)</f>
        <v>655578</v>
      </c>
      <c r="J60" s="345">
        <f t="shared" si="0"/>
        <v>622799</v>
      </c>
      <c r="K60" s="358"/>
    </row>
    <row r="61" spans="1:11" s="359" customFormat="1" ht="18.95" customHeight="1">
      <c r="A61" s="1433">
        <v>8</v>
      </c>
      <c r="B61" s="1434" t="s">
        <v>495</v>
      </c>
      <c r="C61" s="1434" t="s">
        <v>1174</v>
      </c>
      <c r="D61" s="365" t="s">
        <v>1175</v>
      </c>
      <c r="E61" s="358" t="s">
        <v>1176</v>
      </c>
      <c r="F61" s="310" t="s">
        <v>1111</v>
      </c>
      <c r="G61" s="365">
        <v>120</v>
      </c>
      <c r="H61" s="365">
        <v>450</v>
      </c>
      <c r="I61" s="365">
        <f>G61*H61</f>
        <v>54000</v>
      </c>
      <c r="J61" s="345">
        <f t="shared" si="0"/>
        <v>51300</v>
      </c>
      <c r="K61" s="358" t="s">
        <v>1559</v>
      </c>
    </row>
    <row r="62" spans="1:11" s="359" customFormat="1" ht="18.95" customHeight="1">
      <c r="A62" s="1433"/>
      <c r="B62" s="1434"/>
      <c r="C62" s="1434"/>
      <c r="D62" s="1435" t="s">
        <v>1560</v>
      </c>
      <c r="E62" s="358" t="s">
        <v>1177</v>
      </c>
      <c r="F62" s="310" t="s">
        <v>1111</v>
      </c>
      <c r="G62" s="365">
        <v>600</v>
      </c>
      <c r="H62" s="365">
        <v>200</v>
      </c>
      <c r="I62" s="365">
        <f t="shared" ref="I62:I64" si="7">G62*H62</f>
        <v>120000</v>
      </c>
      <c r="J62" s="345">
        <f t="shared" si="0"/>
        <v>114000</v>
      </c>
      <c r="K62" s="358"/>
    </row>
    <row r="63" spans="1:11" s="359" customFormat="1" ht="18.95" customHeight="1">
      <c r="A63" s="1433"/>
      <c r="B63" s="1434"/>
      <c r="C63" s="1434"/>
      <c r="D63" s="1435"/>
      <c r="E63" s="358" t="s">
        <v>1561</v>
      </c>
      <c r="F63" s="310" t="s">
        <v>1111</v>
      </c>
      <c r="G63" s="358" t="s">
        <v>1562</v>
      </c>
      <c r="H63" s="358" t="s">
        <v>1563</v>
      </c>
      <c r="I63" s="365">
        <f t="shared" si="7"/>
        <v>15000</v>
      </c>
      <c r="J63" s="345">
        <f t="shared" si="0"/>
        <v>14250</v>
      </c>
      <c r="K63" s="358" t="s">
        <v>1564</v>
      </c>
    </row>
    <row r="64" spans="1:11" s="309" customFormat="1" ht="18.95" customHeight="1">
      <c r="A64" s="1433"/>
      <c r="B64" s="1434"/>
      <c r="C64" s="1434"/>
      <c r="D64" s="1435"/>
      <c r="E64" s="316" t="s">
        <v>1412</v>
      </c>
      <c r="F64" s="310" t="s">
        <v>1111</v>
      </c>
      <c r="G64" s="310" t="str">
        <f>G63</f>
        <v>100</v>
      </c>
      <c r="H64" s="310">
        <v>20</v>
      </c>
      <c r="I64" s="332">
        <f t="shared" si="7"/>
        <v>2000</v>
      </c>
      <c r="J64" s="345">
        <f t="shared" si="0"/>
        <v>1900</v>
      </c>
      <c r="K64" s="308"/>
    </row>
    <row r="65" spans="1:11" s="314" customFormat="1" ht="18.95" customHeight="1">
      <c r="A65" s="1433"/>
      <c r="B65" s="1434"/>
      <c r="C65" s="1434"/>
      <c r="D65" s="365"/>
      <c r="E65" s="310" t="s">
        <v>1097</v>
      </c>
      <c r="F65" s="310"/>
      <c r="G65" s="310"/>
      <c r="H65" s="311"/>
      <c r="I65" s="312">
        <f>SUM(I61:I64)</f>
        <v>191000</v>
      </c>
      <c r="J65" s="345">
        <f t="shared" si="0"/>
        <v>181450</v>
      </c>
      <c r="K65" s="313"/>
    </row>
    <row r="66" spans="1:11" s="314" customFormat="1" ht="18.95" customHeight="1">
      <c r="A66" s="1433"/>
      <c r="B66" s="1434"/>
      <c r="C66" s="1434"/>
      <c r="D66" s="365"/>
      <c r="E66" s="310" t="s">
        <v>1408</v>
      </c>
      <c r="F66" s="310"/>
      <c r="G66" s="310"/>
      <c r="H66" s="366"/>
      <c r="I66" s="312">
        <f>I65*0.1</f>
        <v>19100</v>
      </c>
      <c r="J66" s="345">
        <f t="shared" si="0"/>
        <v>18145</v>
      </c>
      <c r="K66" s="313"/>
    </row>
    <row r="67" spans="1:11" s="314" customFormat="1" ht="18.95" customHeight="1">
      <c r="A67" s="1433"/>
      <c r="B67" s="1434"/>
      <c r="C67" s="1434"/>
      <c r="D67" s="365"/>
      <c r="E67" s="310" t="s">
        <v>1409</v>
      </c>
      <c r="F67" s="310"/>
      <c r="G67" s="310"/>
      <c r="H67" s="311"/>
      <c r="I67" s="312">
        <f>(I65+I66)*0.05</f>
        <v>10505</v>
      </c>
      <c r="J67" s="345">
        <f t="shared" si="0"/>
        <v>9980</v>
      </c>
      <c r="K67" s="313"/>
    </row>
    <row r="68" spans="1:11" s="359" customFormat="1" ht="18.95" customHeight="1">
      <c r="A68" s="1433"/>
      <c r="B68" s="1434"/>
      <c r="C68" s="1434"/>
      <c r="D68" s="358"/>
      <c r="E68" s="358" t="s">
        <v>1477</v>
      </c>
      <c r="F68" s="358"/>
      <c r="G68" s="358"/>
      <c r="H68" s="358"/>
      <c r="I68" s="306">
        <f>ROUNDUP(I65+I66+I67,0)</f>
        <v>220605</v>
      </c>
      <c r="J68" s="345">
        <f t="shared" ref="J68:J90" si="8">ROUND(I68*0.95,0)</f>
        <v>209575</v>
      </c>
      <c r="K68" s="358"/>
    </row>
    <row r="69" spans="1:11" s="359" customFormat="1" ht="18.95" customHeight="1">
      <c r="A69" s="1433">
        <v>9</v>
      </c>
      <c r="B69" s="1433" t="s">
        <v>1565</v>
      </c>
      <c r="C69" s="1433" t="s">
        <v>1566</v>
      </c>
      <c r="D69" s="365" t="s">
        <v>1411</v>
      </c>
      <c r="E69" s="365" t="s">
        <v>1178</v>
      </c>
      <c r="F69" s="310" t="s">
        <v>1111</v>
      </c>
      <c r="G69" s="365">
        <v>60</v>
      </c>
      <c r="H69" s="365">
        <v>2000</v>
      </c>
      <c r="I69" s="365">
        <f>G69*H69</f>
        <v>120000</v>
      </c>
      <c r="J69" s="345">
        <f t="shared" si="8"/>
        <v>114000</v>
      </c>
      <c r="K69" s="358" t="s">
        <v>1567</v>
      </c>
    </row>
    <row r="70" spans="1:11" s="314" customFormat="1" ht="18.95" customHeight="1">
      <c r="A70" s="1433"/>
      <c r="B70" s="1433"/>
      <c r="C70" s="1433"/>
      <c r="D70" s="365"/>
      <c r="E70" s="310" t="s">
        <v>1097</v>
      </c>
      <c r="F70" s="310"/>
      <c r="G70" s="310"/>
      <c r="H70" s="311"/>
      <c r="I70" s="312">
        <f>SUM(I69:I69)</f>
        <v>120000</v>
      </c>
      <c r="J70" s="345">
        <f t="shared" si="8"/>
        <v>114000</v>
      </c>
      <c r="K70" s="313"/>
    </row>
    <row r="71" spans="1:11" s="314" customFormat="1" ht="18.95" customHeight="1">
      <c r="A71" s="1433"/>
      <c r="B71" s="1433"/>
      <c r="C71" s="1433"/>
      <c r="D71" s="365"/>
      <c r="E71" s="310" t="s">
        <v>1408</v>
      </c>
      <c r="F71" s="310"/>
      <c r="G71" s="310"/>
      <c r="H71" s="315"/>
      <c r="I71" s="312">
        <f>I70*0.1</f>
        <v>12000</v>
      </c>
      <c r="J71" s="345">
        <f t="shared" si="8"/>
        <v>11400</v>
      </c>
      <c r="K71" s="313"/>
    </row>
    <row r="72" spans="1:11" s="314" customFormat="1" ht="18.95" customHeight="1">
      <c r="A72" s="1433"/>
      <c r="B72" s="1433"/>
      <c r="C72" s="1433"/>
      <c r="D72" s="365"/>
      <c r="E72" s="310" t="s">
        <v>1409</v>
      </c>
      <c r="F72" s="310"/>
      <c r="G72" s="310"/>
      <c r="H72" s="311"/>
      <c r="I72" s="312">
        <f>(I70+I71)*0.05</f>
        <v>6600</v>
      </c>
      <c r="J72" s="345">
        <f t="shared" si="8"/>
        <v>6270</v>
      </c>
      <c r="K72" s="313"/>
    </row>
    <row r="73" spans="1:11" s="359" customFormat="1" ht="18.95" customHeight="1">
      <c r="A73" s="1433"/>
      <c r="B73" s="1433"/>
      <c r="C73" s="1433"/>
      <c r="D73" s="358"/>
      <c r="E73" s="365" t="s">
        <v>25</v>
      </c>
      <c r="F73" s="358"/>
      <c r="G73" s="358"/>
      <c r="H73" s="358"/>
      <c r="I73" s="306">
        <f>ROUNDUP(I70+I71+I72,0)</f>
        <v>138600</v>
      </c>
      <c r="J73" s="345">
        <f t="shared" si="8"/>
        <v>131670</v>
      </c>
      <c r="K73" s="358"/>
    </row>
    <row r="74" spans="1:11" s="359" customFormat="1" ht="18.95" customHeight="1">
      <c r="A74" s="1433">
        <v>10</v>
      </c>
      <c r="B74" s="1428" t="s">
        <v>1568</v>
      </c>
      <c r="C74" s="1428" t="s">
        <v>1569</v>
      </c>
      <c r="D74" s="310" t="s">
        <v>1179</v>
      </c>
      <c r="E74" s="310" t="s">
        <v>1180</v>
      </c>
      <c r="F74" s="310" t="s">
        <v>1111</v>
      </c>
      <c r="G74" s="310">
        <v>4000</v>
      </c>
      <c r="H74" s="310">
        <v>200</v>
      </c>
      <c r="I74" s="332">
        <f t="shared" ref="I74:I75" si="9">G74*H74</f>
        <v>800000</v>
      </c>
      <c r="J74" s="345">
        <f t="shared" si="8"/>
        <v>760000</v>
      </c>
      <c r="K74" s="358" t="s">
        <v>1570</v>
      </c>
    </row>
    <row r="75" spans="1:11" s="359" customFormat="1" ht="18.95" customHeight="1">
      <c r="A75" s="1433"/>
      <c r="B75" s="1428"/>
      <c r="C75" s="1428"/>
      <c r="D75" s="1428" t="s">
        <v>1150</v>
      </c>
      <c r="E75" s="310" t="s">
        <v>1532</v>
      </c>
      <c r="F75" s="310" t="s">
        <v>1111</v>
      </c>
      <c r="G75" s="310">
        <v>930</v>
      </c>
      <c r="H75" s="310">
        <v>270</v>
      </c>
      <c r="I75" s="332">
        <f t="shared" si="9"/>
        <v>251100</v>
      </c>
      <c r="J75" s="345">
        <f t="shared" si="8"/>
        <v>238545</v>
      </c>
      <c r="K75" s="358" t="s">
        <v>1533</v>
      </c>
    </row>
    <row r="76" spans="1:11" s="359" customFormat="1" ht="18.95" customHeight="1">
      <c r="A76" s="1433"/>
      <c r="B76" s="1428"/>
      <c r="C76" s="1428"/>
      <c r="D76" s="1428"/>
      <c r="E76" s="310" t="s">
        <v>1102</v>
      </c>
      <c r="F76" s="310" t="s">
        <v>1111</v>
      </c>
      <c r="G76" s="310">
        <f>G75</f>
        <v>930</v>
      </c>
      <c r="H76" s="310">
        <v>30</v>
      </c>
      <c r="I76" s="311">
        <f>G76*H76</f>
        <v>27900</v>
      </c>
      <c r="J76" s="345">
        <f t="shared" si="8"/>
        <v>26505</v>
      </c>
      <c r="K76" s="358"/>
    </row>
    <row r="77" spans="1:11" s="359" customFormat="1" ht="18.95" customHeight="1">
      <c r="A77" s="1433"/>
      <c r="B77" s="1428"/>
      <c r="C77" s="1428"/>
      <c r="D77" s="1428"/>
      <c r="E77" s="310" t="s">
        <v>1534</v>
      </c>
      <c r="F77" s="310" t="s">
        <v>1535</v>
      </c>
      <c r="G77" s="310">
        <v>190</v>
      </c>
      <c r="H77" s="310">
        <v>250</v>
      </c>
      <c r="I77" s="311">
        <f t="shared" ref="I77:I84" si="10">G77*H77</f>
        <v>47500</v>
      </c>
      <c r="J77" s="345">
        <f t="shared" si="8"/>
        <v>45125</v>
      </c>
      <c r="K77" s="358"/>
    </row>
    <row r="78" spans="1:11" s="359" customFormat="1" ht="18.95" customHeight="1">
      <c r="A78" s="1433"/>
      <c r="B78" s="1428"/>
      <c r="C78" s="1428"/>
      <c r="D78" s="1428" t="s">
        <v>1181</v>
      </c>
      <c r="E78" s="310" t="s">
        <v>1536</v>
      </c>
      <c r="F78" s="310" t="s">
        <v>1111</v>
      </c>
      <c r="G78" s="310">
        <v>360</v>
      </c>
      <c r="H78" s="310">
        <v>270</v>
      </c>
      <c r="I78" s="311">
        <f t="shared" si="10"/>
        <v>97200</v>
      </c>
      <c r="J78" s="345">
        <f t="shared" si="8"/>
        <v>92340</v>
      </c>
      <c r="K78" s="358" t="s">
        <v>1533</v>
      </c>
    </row>
    <row r="79" spans="1:11" s="359" customFormat="1" ht="18.95" customHeight="1">
      <c r="A79" s="1433"/>
      <c r="B79" s="1428"/>
      <c r="C79" s="1428"/>
      <c r="D79" s="1428"/>
      <c r="E79" s="310" t="s">
        <v>1102</v>
      </c>
      <c r="F79" s="310" t="s">
        <v>1111</v>
      </c>
      <c r="G79" s="310">
        <f>G78</f>
        <v>360</v>
      </c>
      <c r="H79" s="310">
        <v>30</v>
      </c>
      <c r="I79" s="311">
        <f t="shared" si="10"/>
        <v>10800</v>
      </c>
      <c r="J79" s="345">
        <f t="shared" si="8"/>
        <v>10260</v>
      </c>
      <c r="K79" s="358"/>
    </row>
    <row r="80" spans="1:11" s="359" customFormat="1" ht="18.95" customHeight="1">
      <c r="A80" s="1433"/>
      <c r="B80" s="1428"/>
      <c r="C80" s="1428"/>
      <c r="D80" s="1428"/>
      <c r="E80" s="310" t="s">
        <v>1534</v>
      </c>
      <c r="F80" s="310" t="s">
        <v>1535</v>
      </c>
      <c r="G80" s="310">
        <v>130</v>
      </c>
      <c r="H80" s="310">
        <v>250</v>
      </c>
      <c r="I80" s="311">
        <f t="shared" si="10"/>
        <v>32500</v>
      </c>
      <c r="J80" s="345">
        <f t="shared" si="8"/>
        <v>30875</v>
      </c>
      <c r="K80" s="358"/>
    </row>
    <row r="81" spans="1:11" s="359" customFormat="1" ht="18.95" customHeight="1">
      <c r="A81" s="1433"/>
      <c r="B81" s="1428"/>
      <c r="C81" s="1428"/>
      <c r="D81" s="310" t="s">
        <v>1182</v>
      </c>
      <c r="E81" s="310" t="s">
        <v>1537</v>
      </c>
      <c r="F81" s="310" t="s">
        <v>1111</v>
      </c>
      <c r="G81" s="310">
        <v>1508</v>
      </c>
      <c r="H81" s="310">
        <v>60</v>
      </c>
      <c r="I81" s="311">
        <f t="shared" si="10"/>
        <v>90480</v>
      </c>
      <c r="J81" s="345">
        <f t="shared" si="8"/>
        <v>85956</v>
      </c>
      <c r="K81" s="358" t="s">
        <v>1538</v>
      </c>
    </row>
    <row r="82" spans="1:11" s="359" customFormat="1" ht="18.95" customHeight="1">
      <c r="A82" s="1433"/>
      <c r="B82" s="1428"/>
      <c r="C82" s="1428"/>
      <c r="D82" s="1428" t="s">
        <v>1183</v>
      </c>
      <c r="E82" s="310" t="s">
        <v>1539</v>
      </c>
      <c r="F82" s="310" t="s">
        <v>1111</v>
      </c>
      <c r="G82" s="310">
        <v>2168</v>
      </c>
      <c r="H82" s="310">
        <v>270</v>
      </c>
      <c r="I82" s="311">
        <f t="shared" si="10"/>
        <v>585360</v>
      </c>
      <c r="J82" s="345">
        <f t="shared" si="8"/>
        <v>556092</v>
      </c>
      <c r="K82" s="358" t="s">
        <v>1540</v>
      </c>
    </row>
    <row r="83" spans="1:11" s="359" customFormat="1" ht="18.95" customHeight="1">
      <c r="A83" s="1433"/>
      <c r="B83" s="1428"/>
      <c r="C83" s="1428"/>
      <c r="D83" s="1428"/>
      <c r="E83" s="310" t="s">
        <v>1102</v>
      </c>
      <c r="F83" s="310" t="s">
        <v>1111</v>
      </c>
      <c r="G83" s="310">
        <f>G82</f>
        <v>2168</v>
      </c>
      <c r="H83" s="310">
        <v>30</v>
      </c>
      <c r="I83" s="311">
        <f t="shared" si="10"/>
        <v>65040</v>
      </c>
      <c r="J83" s="345">
        <f t="shared" si="8"/>
        <v>61788</v>
      </c>
      <c r="K83" s="358"/>
    </row>
    <row r="84" spans="1:11" s="359" customFormat="1" ht="18.95" customHeight="1">
      <c r="A84" s="1433"/>
      <c r="B84" s="1428"/>
      <c r="C84" s="1428"/>
      <c r="D84" s="1428"/>
      <c r="E84" s="310" t="s">
        <v>1534</v>
      </c>
      <c r="F84" s="310" t="s">
        <v>1535</v>
      </c>
      <c r="G84" s="310">
        <v>200</v>
      </c>
      <c r="H84" s="310">
        <v>250</v>
      </c>
      <c r="I84" s="311">
        <f t="shared" si="10"/>
        <v>50000</v>
      </c>
      <c r="J84" s="345">
        <f t="shared" si="8"/>
        <v>47500</v>
      </c>
      <c r="K84" s="358"/>
    </row>
    <row r="85" spans="1:11" s="314" customFormat="1" ht="18.95" customHeight="1">
      <c r="A85" s="1433"/>
      <c r="B85" s="1428"/>
      <c r="C85" s="1428"/>
      <c r="D85" s="310"/>
      <c r="E85" s="310" t="s">
        <v>1097</v>
      </c>
      <c r="F85" s="310"/>
      <c r="G85" s="310"/>
      <c r="H85" s="311"/>
      <c r="I85" s="312">
        <f>SUM(I74:I84)</f>
        <v>2057880</v>
      </c>
      <c r="J85" s="345">
        <f t="shared" si="8"/>
        <v>1954986</v>
      </c>
      <c r="K85" s="313"/>
    </row>
    <row r="86" spans="1:11" s="314" customFormat="1" ht="18.95" customHeight="1">
      <c r="A86" s="1433"/>
      <c r="B86" s="1428"/>
      <c r="C86" s="1428"/>
      <c r="D86" s="310"/>
      <c r="E86" s="310" t="s">
        <v>1184</v>
      </c>
      <c r="F86" s="310"/>
      <c r="G86" s="310"/>
      <c r="H86" s="315"/>
      <c r="I86" s="312">
        <f>I85*0.15</f>
        <v>308682</v>
      </c>
      <c r="J86" s="345">
        <f t="shared" si="8"/>
        <v>293248</v>
      </c>
      <c r="K86" s="313"/>
    </row>
    <row r="87" spans="1:11" s="314" customFormat="1" ht="18.95" customHeight="1">
      <c r="A87" s="1433"/>
      <c r="B87" s="1428"/>
      <c r="C87" s="1428"/>
      <c r="D87" s="310"/>
      <c r="E87" s="310" t="s">
        <v>1480</v>
      </c>
      <c r="F87" s="310"/>
      <c r="G87" s="310"/>
      <c r="H87" s="311"/>
      <c r="I87" s="312">
        <f>(I85+I86)*0.05</f>
        <v>118328.1</v>
      </c>
      <c r="J87" s="345">
        <f t="shared" si="8"/>
        <v>112412</v>
      </c>
      <c r="K87" s="313"/>
    </row>
    <row r="88" spans="1:11" s="350" customFormat="1" ht="18.95" customHeight="1">
      <c r="A88" s="1433"/>
      <c r="B88" s="1428"/>
      <c r="C88" s="1428"/>
      <c r="D88" s="358"/>
      <c r="E88" s="304" t="s">
        <v>1481</v>
      </c>
      <c r="F88" s="310" t="s">
        <v>1482</v>
      </c>
      <c r="G88" s="310">
        <v>1</v>
      </c>
      <c r="H88" s="332">
        <v>60000</v>
      </c>
      <c r="I88" s="332">
        <f>G88*H88</f>
        <v>60000</v>
      </c>
      <c r="J88" s="345">
        <f t="shared" si="8"/>
        <v>57000</v>
      </c>
      <c r="K88" s="358"/>
    </row>
    <row r="89" spans="1:11" s="359" customFormat="1" ht="18.95" customHeight="1">
      <c r="A89" s="1433"/>
      <c r="B89" s="1428"/>
      <c r="C89" s="1428"/>
      <c r="D89" s="358"/>
      <c r="E89" s="365" t="s">
        <v>25</v>
      </c>
      <c r="F89" s="358"/>
      <c r="G89" s="310"/>
      <c r="H89" s="310"/>
      <c r="I89" s="306">
        <f>ROUNDUP(I85+I86+I87+I88,0)</f>
        <v>2544891</v>
      </c>
      <c r="J89" s="345">
        <f t="shared" si="8"/>
        <v>2417646</v>
      </c>
      <c r="K89" s="358"/>
    </row>
    <row r="90" spans="1:11" s="359" customFormat="1" ht="18.95" customHeight="1">
      <c r="A90" s="358"/>
      <c r="B90" s="358"/>
      <c r="C90" s="358"/>
      <c r="D90" s="358"/>
      <c r="E90" s="358" t="s">
        <v>1483</v>
      </c>
      <c r="F90" s="358"/>
      <c r="G90" s="358"/>
      <c r="H90" s="358"/>
      <c r="I90" s="358">
        <f>I13+I23+I32+I39+I45+I51+I60+I68+I89+I73</f>
        <v>7560921</v>
      </c>
      <c r="J90" s="345">
        <f t="shared" si="8"/>
        <v>7182875</v>
      </c>
    </row>
    <row r="91" spans="1:11" s="359" customFormat="1" ht="20.100000000000001" customHeight="1">
      <c r="J91" s="368"/>
    </row>
    <row r="92" spans="1:11" s="359" customFormat="1" ht="11.25">
      <c r="J92" s="368"/>
    </row>
  </sheetData>
  <mergeCells count="43">
    <mergeCell ref="A24:A32"/>
    <mergeCell ref="B24:B32"/>
    <mergeCell ref="C24:C32"/>
    <mergeCell ref="B1:J1"/>
    <mergeCell ref="A3:A13"/>
    <mergeCell ref="B3:B13"/>
    <mergeCell ref="C3:C13"/>
    <mergeCell ref="D3:D4"/>
    <mergeCell ref="D5:D6"/>
    <mergeCell ref="D7:D8"/>
    <mergeCell ref="A14:A23"/>
    <mergeCell ref="B14:B23"/>
    <mergeCell ref="C14:C23"/>
    <mergeCell ref="D14:D16"/>
    <mergeCell ref="D17:D18"/>
    <mergeCell ref="A33:A39"/>
    <mergeCell ref="B33:B39"/>
    <mergeCell ref="C33:C39"/>
    <mergeCell ref="D33:D35"/>
    <mergeCell ref="A40:A45"/>
    <mergeCell ref="B40:B45"/>
    <mergeCell ref="C40:C45"/>
    <mergeCell ref="A46:A51"/>
    <mergeCell ref="B46:B51"/>
    <mergeCell ref="C46:C51"/>
    <mergeCell ref="D46:D47"/>
    <mergeCell ref="A52:A60"/>
    <mergeCell ref="B52:B60"/>
    <mergeCell ref="C52:C60"/>
    <mergeCell ref="D52:D56"/>
    <mergeCell ref="A61:A68"/>
    <mergeCell ref="B61:B68"/>
    <mergeCell ref="C61:C68"/>
    <mergeCell ref="D62:D64"/>
    <mergeCell ref="A69:A73"/>
    <mergeCell ref="B69:B73"/>
    <mergeCell ref="C69:C73"/>
    <mergeCell ref="A74:A89"/>
    <mergeCell ref="B74:B89"/>
    <mergeCell ref="C74:C89"/>
    <mergeCell ref="D75:D77"/>
    <mergeCell ref="D78:D80"/>
    <mergeCell ref="D82:D84"/>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topLeftCell="A17" workbookViewId="0">
      <selection activeCell="J43" activeCellId="5" sqref="J8 J14 J20 J28 J38 J43"/>
    </sheetView>
  </sheetViews>
  <sheetFormatPr defaultRowHeight="13.5"/>
  <cols>
    <col min="1" max="1" width="5" style="371" customWidth="1"/>
    <col min="2" max="2" width="16.25" style="371" customWidth="1"/>
    <col min="3" max="3" width="10" style="371" customWidth="1"/>
    <col min="4" max="4" width="11.625" style="371" customWidth="1"/>
    <col min="5" max="5" width="22" style="371" customWidth="1"/>
    <col min="6" max="6" width="6.875" style="371" customWidth="1"/>
    <col min="7" max="7" width="7.5" style="371" customWidth="1"/>
    <col min="8" max="8" width="9.375" style="371" bestFit="1" customWidth="1"/>
    <col min="9" max="9" width="9.25" style="371" customWidth="1"/>
    <col min="10" max="10" width="11" style="371" customWidth="1"/>
    <col min="11" max="11" width="34.375" style="370" hidden="1" customWidth="1"/>
    <col min="12" max="16384" width="9" style="371"/>
  </cols>
  <sheetData>
    <row r="1" spans="1:14" ht="35.1" customHeight="1">
      <c r="A1" s="1422" t="s">
        <v>1185</v>
      </c>
      <c r="B1" s="1422"/>
      <c r="C1" s="1422"/>
      <c r="D1" s="1422"/>
      <c r="E1" s="1422"/>
      <c r="F1" s="1422"/>
      <c r="G1" s="1422"/>
      <c r="H1" s="1422"/>
      <c r="I1" s="1422"/>
      <c r="J1" s="1422"/>
    </row>
    <row r="2" spans="1:14" s="309" customFormat="1" ht="20.100000000000001" customHeight="1">
      <c r="A2" s="304" t="s">
        <v>0</v>
      </c>
      <c r="B2" s="304" t="s">
        <v>1085</v>
      </c>
      <c r="C2" s="304" t="s">
        <v>1086</v>
      </c>
      <c r="D2" s="304" t="s">
        <v>1087</v>
      </c>
      <c r="E2" s="304" t="s">
        <v>1088</v>
      </c>
      <c r="F2" s="304" t="s">
        <v>129</v>
      </c>
      <c r="G2" s="304" t="s">
        <v>1089</v>
      </c>
      <c r="H2" s="304" t="s">
        <v>1090</v>
      </c>
      <c r="I2" s="306" t="s">
        <v>1091</v>
      </c>
      <c r="J2" s="307" t="s">
        <v>1393</v>
      </c>
      <c r="K2" s="308" t="s">
        <v>1394</v>
      </c>
    </row>
    <row r="3" spans="1:14" s="372" customFormat="1" ht="20.100000000000001" customHeight="1">
      <c r="A3" s="1423">
        <v>1</v>
      </c>
      <c r="B3" s="1423" t="s">
        <v>1571</v>
      </c>
      <c r="C3" s="1423" t="s">
        <v>1572</v>
      </c>
      <c r="D3" s="1423" t="s">
        <v>1573</v>
      </c>
      <c r="E3" s="310" t="s">
        <v>1574</v>
      </c>
      <c r="F3" s="310" t="s">
        <v>1459</v>
      </c>
      <c r="G3" s="310">
        <v>1380</v>
      </c>
      <c r="H3" s="310">
        <v>150</v>
      </c>
      <c r="I3" s="311">
        <f>G3*H3</f>
        <v>207000</v>
      </c>
      <c r="J3" s="310">
        <f>ROUND(I3*0.95,0)</f>
        <v>196650</v>
      </c>
      <c r="K3" s="1441" t="s">
        <v>1575</v>
      </c>
    </row>
    <row r="4" spans="1:14" s="309" customFormat="1" ht="20.100000000000001" customHeight="1">
      <c r="A4" s="1424"/>
      <c r="B4" s="1424"/>
      <c r="C4" s="1424"/>
      <c r="D4" s="1424"/>
      <c r="E4" s="316" t="s">
        <v>1437</v>
      </c>
      <c r="F4" s="310" t="s">
        <v>1093</v>
      </c>
      <c r="G4" s="310">
        <f>G3</f>
        <v>1380</v>
      </c>
      <c r="H4" s="310">
        <v>20</v>
      </c>
      <c r="I4" s="311">
        <f>G4*H4</f>
        <v>27600</v>
      </c>
      <c r="J4" s="310">
        <f t="shared" ref="J4:J44" si="0">ROUND(I4*0.95,0)</f>
        <v>26220</v>
      </c>
      <c r="K4" s="1418"/>
    </row>
    <row r="5" spans="1:14" s="314" customFormat="1" ht="20.100000000000001" customHeight="1">
      <c r="A5" s="1424"/>
      <c r="B5" s="1439"/>
      <c r="C5" s="1439"/>
      <c r="D5" s="1424"/>
      <c r="E5" s="310" t="s">
        <v>1097</v>
      </c>
      <c r="F5" s="310"/>
      <c r="G5" s="310"/>
      <c r="H5" s="311"/>
      <c r="I5" s="312">
        <f>SUM(I3:I4)</f>
        <v>234600</v>
      </c>
      <c r="J5" s="310">
        <f t="shared" si="0"/>
        <v>222870</v>
      </c>
      <c r="K5" s="1418"/>
    </row>
    <row r="6" spans="1:14" s="314" customFormat="1" ht="20.100000000000001" customHeight="1">
      <c r="A6" s="1424"/>
      <c r="B6" s="1439"/>
      <c r="C6" s="1439"/>
      <c r="D6" s="1424"/>
      <c r="E6" s="310" t="s">
        <v>1403</v>
      </c>
      <c r="F6" s="310"/>
      <c r="G6" s="310"/>
      <c r="H6" s="366"/>
      <c r="I6" s="312">
        <f>I5*0.1</f>
        <v>23460</v>
      </c>
      <c r="J6" s="310">
        <f t="shared" si="0"/>
        <v>22287</v>
      </c>
      <c r="K6" s="1418"/>
    </row>
    <row r="7" spans="1:14" s="314" customFormat="1" ht="20.100000000000001" customHeight="1">
      <c r="A7" s="1424"/>
      <c r="B7" s="1439"/>
      <c r="C7" s="1439"/>
      <c r="D7" s="1424"/>
      <c r="E7" s="310" t="s">
        <v>1404</v>
      </c>
      <c r="F7" s="310"/>
      <c r="G7" s="310"/>
      <c r="H7" s="311"/>
      <c r="I7" s="312">
        <f>(I5+I6)*0.05</f>
        <v>12903</v>
      </c>
      <c r="J7" s="310">
        <f t="shared" si="0"/>
        <v>12258</v>
      </c>
      <c r="K7" s="1418"/>
    </row>
    <row r="8" spans="1:14" s="372" customFormat="1" ht="20.100000000000001" customHeight="1">
      <c r="A8" s="1425"/>
      <c r="B8" s="1440"/>
      <c r="C8" s="1440"/>
      <c r="D8" s="310"/>
      <c r="E8" s="310" t="s">
        <v>1405</v>
      </c>
      <c r="F8" s="310"/>
      <c r="G8" s="310"/>
      <c r="H8" s="310"/>
      <c r="I8" s="306">
        <f>ROUNDUP(I5+I6+I7,0)</f>
        <v>270963</v>
      </c>
      <c r="J8" s="310">
        <f t="shared" si="0"/>
        <v>257415</v>
      </c>
      <c r="K8" s="373"/>
    </row>
    <row r="9" spans="1:14" s="372" customFormat="1" ht="20.100000000000001" customHeight="1">
      <c r="A9" s="1423">
        <v>2</v>
      </c>
      <c r="B9" s="1423" t="s">
        <v>1576</v>
      </c>
      <c r="C9" s="1423" t="s">
        <v>1577</v>
      </c>
      <c r="D9" s="310" t="s">
        <v>1578</v>
      </c>
      <c r="E9" s="310" t="s">
        <v>1579</v>
      </c>
      <c r="F9" s="310" t="s">
        <v>1459</v>
      </c>
      <c r="G9" s="310">
        <v>295</v>
      </c>
      <c r="H9" s="310">
        <v>450</v>
      </c>
      <c r="I9" s="311">
        <f>G9*H9</f>
        <v>132750</v>
      </c>
      <c r="J9" s="310">
        <f t="shared" si="0"/>
        <v>126113</v>
      </c>
      <c r="K9" s="373" t="s">
        <v>1580</v>
      </c>
    </row>
    <row r="10" spans="1:14" s="372" customFormat="1" ht="20.100000000000001" customHeight="1">
      <c r="A10" s="1424"/>
      <c r="B10" s="1424"/>
      <c r="C10" s="1424"/>
      <c r="D10" s="310" t="s">
        <v>1581</v>
      </c>
      <c r="E10" s="310" t="s">
        <v>1582</v>
      </c>
      <c r="F10" s="310" t="s">
        <v>1459</v>
      </c>
      <c r="G10" s="310">
        <v>15</v>
      </c>
      <c r="H10" s="310">
        <v>1275</v>
      </c>
      <c r="I10" s="311">
        <f>G10*H10</f>
        <v>19125</v>
      </c>
      <c r="J10" s="310">
        <f t="shared" si="0"/>
        <v>18169</v>
      </c>
      <c r="K10" s="373" t="s">
        <v>1583</v>
      </c>
      <c r="N10" s="357"/>
    </row>
    <row r="11" spans="1:14" s="314" customFormat="1" ht="20.100000000000001" customHeight="1">
      <c r="A11" s="1424"/>
      <c r="B11" s="1424"/>
      <c r="C11" s="1424"/>
      <c r="D11" s="310"/>
      <c r="E11" s="310" t="s">
        <v>1097</v>
      </c>
      <c r="F11" s="310"/>
      <c r="G11" s="310"/>
      <c r="H11" s="311"/>
      <c r="I11" s="312">
        <f>SUM(I9:I10)</f>
        <v>151875</v>
      </c>
      <c r="J11" s="310">
        <f t="shared" si="0"/>
        <v>144281</v>
      </c>
      <c r="K11" s="373"/>
    </row>
    <row r="12" spans="1:14" s="314" customFormat="1" ht="20.100000000000001" customHeight="1">
      <c r="A12" s="1424"/>
      <c r="B12" s="1424"/>
      <c r="C12" s="1424"/>
      <c r="D12" s="310"/>
      <c r="E12" s="310" t="s">
        <v>1403</v>
      </c>
      <c r="F12" s="310"/>
      <c r="G12" s="310"/>
      <c r="H12" s="366"/>
      <c r="I12" s="312">
        <f>I11*0.1</f>
        <v>15187.5</v>
      </c>
      <c r="J12" s="310">
        <f t="shared" si="0"/>
        <v>14428</v>
      </c>
      <c r="K12" s="373"/>
    </row>
    <row r="13" spans="1:14" s="314" customFormat="1" ht="20.100000000000001" customHeight="1">
      <c r="A13" s="1424"/>
      <c r="B13" s="1424"/>
      <c r="C13" s="1424"/>
      <c r="D13" s="310"/>
      <c r="E13" s="310" t="s">
        <v>1404</v>
      </c>
      <c r="F13" s="310"/>
      <c r="G13" s="310"/>
      <c r="H13" s="311"/>
      <c r="I13" s="312">
        <f>(I11+I12)*0.05</f>
        <v>8353.125</v>
      </c>
      <c r="J13" s="310">
        <f t="shared" si="0"/>
        <v>7935</v>
      </c>
      <c r="K13" s="373"/>
    </row>
    <row r="14" spans="1:14" s="372" customFormat="1" ht="20.100000000000001" customHeight="1">
      <c r="A14" s="1425"/>
      <c r="B14" s="1425"/>
      <c r="C14" s="1425"/>
      <c r="D14" s="310"/>
      <c r="E14" s="310" t="s">
        <v>1405</v>
      </c>
      <c r="F14" s="310"/>
      <c r="G14" s="310"/>
      <c r="H14" s="310"/>
      <c r="I14" s="306">
        <f>ROUNDUP(I11+I12+I13,0)</f>
        <v>175416</v>
      </c>
      <c r="J14" s="310">
        <f t="shared" si="0"/>
        <v>166645</v>
      </c>
      <c r="K14" s="373"/>
      <c r="N14" s="357"/>
    </row>
    <row r="15" spans="1:14" s="372" customFormat="1" ht="20.100000000000001" customHeight="1">
      <c r="A15" s="1429">
        <v>3</v>
      </c>
      <c r="B15" s="1416" t="s">
        <v>1584</v>
      </c>
      <c r="C15" s="1416" t="s">
        <v>1585</v>
      </c>
      <c r="D15" s="1423" t="s">
        <v>1586</v>
      </c>
      <c r="E15" s="308" t="s">
        <v>1587</v>
      </c>
      <c r="F15" s="374" t="s">
        <v>1093</v>
      </c>
      <c r="G15" s="316">
        <v>300</v>
      </c>
      <c r="H15" s="316">
        <v>600</v>
      </c>
      <c r="I15" s="311">
        <f>G15*H15</f>
        <v>180000</v>
      </c>
      <c r="J15" s="310">
        <f t="shared" si="0"/>
        <v>171000</v>
      </c>
      <c r="K15" s="373" t="s">
        <v>1588</v>
      </c>
    </row>
    <row r="16" spans="1:14" s="372" customFormat="1" ht="20.100000000000001" customHeight="1">
      <c r="A16" s="1429"/>
      <c r="B16" s="1416"/>
      <c r="C16" s="1416"/>
      <c r="D16" s="1425"/>
      <c r="E16" s="310" t="s">
        <v>1589</v>
      </c>
      <c r="F16" s="374" t="s">
        <v>1093</v>
      </c>
      <c r="G16" s="316">
        <v>126</v>
      </c>
      <c r="H16" s="316">
        <v>2000</v>
      </c>
      <c r="I16" s="311">
        <f t="shared" ref="I16" si="1">G16*H16</f>
        <v>252000</v>
      </c>
      <c r="J16" s="310">
        <f t="shared" si="0"/>
        <v>239400</v>
      </c>
      <c r="K16" s="373" t="s">
        <v>1590</v>
      </c>
    </row>
    <row r="17" spans="1:11" s="314" customFormat="1" ht="20.100000000000001" customHeight="1">
      <c r="A17" s="1429"/>
      <c r="B17" s="1416"/>
      <c r="C17" s="1416"/>
      <c r="D17" s="316"/>
      <c r="E17" s="310" t="s">
        <v>1097</v>
      </c>
      <c r="F17" s="310"/>
      <c r="G17" s="310"/>
      <c r="H17" s="311"/>
      <c r="I17" s="312">
        <f>SUM(I15:I16)</f>
        <v>432000</v>
      </c>
      <c r="J17" s="310">
        <f t="shared" si="0"/>
        <v>410400</v>
      </c>
      <c r="K17" s="373"/>
    </row>
    <row r="18" spans="1:11" s="314" customFormat="1" ht="20.100000000000001" customHeight="1">
      <c r="A18" s="1429"/>
      <c r="B18" s="1416"/>
      <c r="C18" s="1416"/>
      <c r="D18" s="316"/>
      <c r="E18" s="310" t="s">
        <v>1403</v>
      </c>
      <c r="F18" s="310"/>
      <c r="G18" s="310"/>
      <c r="H18" s="366"/>
      <c r="I18" s="312">
        <f>I17*0.1</f>
        <v>43200</v>
      </c>
      <c r="J18" s="310">
        <f t="shared" si="0"/>
        <v>41040</v>
      </c>
      <c r="K18" s="373"/>
    </row>
    <row r="19" spans="1:11" s="314" customFormat="1" ht="20.100000000000001" customHeight="1">
      <c r="A19" s="1429"/>
      <c r="B19" s="1416"/>
      <c r="C19" s="1416"/>
      <c r="D19" s="316"/>
      <c r="E19" s="310" t="s">
        <v>1404</v>
      </c>
      <c r="F19" s="310"/>
      <c r="G19" s="310"/>
      <c r="H19" s="311"/>
      <c r="I19" s="312">
        <f>(I17+I18)*0.05</f>
        <v>23760</v>
      </c>
      <c r="J19" s="310">
        <f t="shared" si="0"/>
        <v>22572</v>
      </c>
      <c r="K19" s="373"/>
    </row>
    <row r="20" spans="1:11" s="372" customFormat="1" ht="20.100000000000001" customHeight="1">
      <c r="A20" s="1429"/>
      <c r="B20" s="1416"/>
      <c r="C20" s="1416"/>
      <c r="D20" s="375"/>
      <c r="E20" s="310" t="s">
        <v>1405</v>
      </c>
      <c r="F20" s="316"/>
      <c r="G20" s="310"/>
      <c r="H20" s="310"/>
      <c r="I20" s="306">
        <f>ROUNDUP(I17+I18+I19,0)</f>
        <v>498960</v>
      </c>
      <c r="J20" s="310">
        <f t="shared" si="0"/>
        <v>474012</v>
      </c>
      <c r="K20" s="373"/>
    </row>
    <row r="21" spans="1:11" s="372" customFormat="1" ht="20.100000000000001" customHeight="1">
      <c r="A21" s="1424">
        <v>4</v>
      </c>
      <c r="B21" s="1424" t="s">
        <v>1186</v>
      </c>
      <c r="C21" s="1424" t="s">
        <v>1187</v>
      </c>
      <c r="D21" s="1423" t="s">
        <v>1188</v>
      </c>
      <c r="E21" s="310" t="s">
        <v>1591</v>
      </c>
      <c r="F21" s="374" t="s">
        <v>1093</v>
      </c>
      <c r="G21" s="310">
        <v>950</v>
      </c>
      <c r="H21" s="310">
        <v>300</v>
      </c>
      <c r="I21" s="311">
        <f>G21*H21</f>
        <v>285000</v>
      </c>
      <c r="J21" s="310">
        <f t="shared" si="0"/>
        <v>270750</v>
      </c>
      <c r="K21" s="373" t="s">
        <v>1592</v>
      </c>
    </row>
    <row r="22" spans="1:11" s="372" customFormat="1" ht="20.100000000000001" customHeight="1">
      <c r="A22" s="1424"/>
      <c r="B22" s="1424"/>
      <c r="C22" s="1437"/>
      <c r="D22" s="1425"/>
      <c r="E22" s="310" t="s">
        <v>1102</v>
      </c>
      <c r="F22" s="374" t="s">
        <v>1093</v>
      </c>
      <c r="G22" s="310">
        <v>950</v>
      </c>
      <c r="H22" s="310">
        <v>30</v>
      </c>
      <c r="I22" s="311">
        <f t="shared" ref="I22:I23" si="2">G22*H22</f>
        <v>28500</v>
      </c>
      <c r="J22" s="310">
        <f t="shared" si="0"/>
        <v>27075</v>
      </c>
      <c r="K22" s="373"/>
    </row>
    <row r="23" spans="1:11" s="372" customFormat="1" ht="20.100000000000001" customHeight="1">
      <c r="A23" s="1424"/>
      <c r="B23" s="1424"/>
      <c r="C23" s="1437"/>
      <c r="D23" s="310" t="s">
        <v>1189</v>
      </c>
      <c r="E23" s="310" t="s">
        <v>1190</v>
      </c>
      <c r="F23" s="374" t="s">
        <v>1093</v>
      </c>
      <c r="G23" s="310">
        <v>119</v>
      </c>
      <c r="H23" s="310">
        <v>230</v>
      </c>
      <c r="I23" s="311">
        <f t="shared" si="2"/>
        <v>27370</v>
      </c>
      <c r="J23" s="310">
        <f t="shared" si="0"/>
        <v>26002</v>
      </c>
      <c r="K23" s="373"/>
    </row>
    <row r="24" spans="1:11" s="314" customFormat="1" ht="20.100000000000001" customHeight="1">
      <c r="A24" s="1424"/>
      <c r="B24" s="1424"/>
      <c r="C24" s="1424"/>
      <c r="D24" s="316"/>
      <c r="E24" s="310" t="s">
        <v>1097</v>
      </c>
      <c r="F24" s="310"/>
      <c r="G24" s="310"/>
      <c r="H24" s="311"/>
      <c r="I24" s="312">
        <f>SUM(I21:I23)</f>
        <v>340870</v>
      </c>
      <c r="J24" s="310">
        <f t="shared" si="0"/>
        <v>323827</v>
      </c>
      <c r="K24" s="373"/>
    </row>
    <row r="25" spans="1:11" s="314" customFormat="1" ht="20.100000000000001" customHeight="1">
      <c r="A25" s="1424"/>
      <c r="B25" s="1424"/>
      <c r="C25" s="1424"/>
      <c r="D25" s="316"/>
      <c r="E25" s="310" t="s">
        <v>1403</v>
      </c>
      <c r="F25" s="310"/>
      <c r="G25" s="310"/>
      <c r="H25" s="366"/>
      <c r="I25" s="312">
        <f>I24*0.1</f>
        <v>34087</v>
      </c>
      <c r="J25" s="310">
        <f t="shared" si="0"/>
        <v>32383</v>
      </c>
      <c r="K25" s="373"/>
    </row>
    <row r="26" spans="1:11" s="314" customFormat="1" ht="20.100000000000001" customHeight="1">
      <c r="A26" s="1424"/>
      <c r="B26" s="1424"/>
      <c r="C26" s="1424"/>
      <c r="D26" s="316"/>
      <c r="E26" s="310" t="s">
        <v>1404</v>
      </c>
      <c r="F26" s="310"/>
      <c r="G26" s="310"/>
      <c r="H26" s="311"/>
      <c r="I26" s="312">
        <f>(I24+I25)*0.05</f>
        <v>18747.850000000002</v>
      </c>
      <c r="J26" s="310">
        <f t="shared" si="0"/>
        <v>17810</v>
      </c>
      <c r="K26" s="373"/>
    </row>
    <row r="27" spans="1:11" s="372" customFormat="1" ht="20.100000000000001" customHeight="1">
      <c r="A27" s="1424"/>
      <c r="B27" s="1424"/>
      <c r="C27" s="1424"/>
      <c r="D27" s="310"/>
      <c r="E27" s="304" t="s">
        <v>1445</v>
      </c>
      <c r="F27" s="304" t="s">
        <v>582</v>
      </c>
      <c r="G27" s="375">
        <v>1</v>
      </c>
      <c r="H27" s="304">
        <v>30000</v>
      </c>
      <c r="I27" s="306">
        <f>G27*H27</f>
        <v>30000</v>
      </c>
      <c r="J27" s="310">
        <f t="shared" si="0"/>
        <v>28500</v>
      </c>
      <c r="K27" s="373"/>
    </row>
    <row r="28" spans="1:11" s="372" customFormat="1" ht="20.100000000000001" customHeight="1">
      <c r="A28" s="1425"/>
      <c r="B28" s="1425"/>
      <c r="C28" s="1425"/>
      <c r="D28" s="310"/>
      <c r="E28" s="310" t="s">
        <v>1405</v>
      </c>
      <c r="F28" s="310"/>
      <c r="G28" s="310"/>
      <c r="H28" s="310"/>
      <c r="I28" s="306">
        <f>ROUNDUP(I24+I25+I26+I27,0)</f>
        <v>423705</v>
      </c>
      <c r="J28" s="310">
        <f t="shared" si="0"/>
        <v>402520</v>
      </c>
      <c r="K28" s="373"/>
    </row>
    <row r="29" spans="1:11" s="372" customFormat="1" ht="20.100000000000001" customHeight="1">
      <c r="A29" s="1424">
        <v>5</v>
      </c>
      <c r="B29" s="1423" t="s">
        <v>1593</v>
      </c>
      <c r="C29" s="1438" t="s">
        <v>1594</v>
      </c>
      <c r="D29" s="1423" t="s">
        <v>1191</v>
      </c>
      <c r="E29" s="310" t="s">
        <v>1595</v>
      </c>
      <c r="F29" s="310" t="s">
        <v>1093</v>
      </c>
      <c r="G29" s="310">
        <v>648</v>
      </c>
      <c r="H29" s="310">
        <v>350</v>
      </c>
      <c r="I29" s="311">
        <f t="shared" ref="I29:I34" si="3">G29*H29</f>
        <v>226800</v>
      </c>
      <c r="J29" s="310">
        <f t="shared" si="0"/>
        <v>215460</v>
      </c>
      <c r="K29" s="373" t="s">
        <v>1596</v>
      </c>
    </row>
    <row r="30" spans="1:11" s="309" customFormat="1" ht="20.100000000000001" customHeight="1">
      <c r="A30" s="1424"/>
      <c r="B30" s="1424"/>
      <c r="C30" s="1439"/>
      <c r="D30" s="1424"/>
      <c r="E30" s="316" t="s">
        <v>1529</v>
      </c>
      <c r="F30" s="310" t="s">
        <v>1093</v>
      </c>
      <c r="G30" s="310">
        <f>G29</f>
        <v>648</v>
      </c>
      <c r="H30" s="310">
        <v>50</v>
      </c>
      <c r="I30" s="311">
        <f t="shared" si="3"/>
        <v>32400</v>
      </c>
      <c r="J30" s="310">
        <f t="shared" si="0"/>
        <v>30780</v>
      </c>
      <c r="K30" s="308"/>
    </row>
    <row r="31" spans="1:11" s="372" customFormat="1" ht="20.100000000000001" customHeight="1">
      <c r="A31" s="1424"/>
      <c r="B31" s="1424"/>
      <c r="C31" s="1439"/>
      <c r="D31" s="1424"/>
      <c r="E31" s="310" t="s">
        <v>1597</v>
      </c>
      <c r="F31" s="310" t="s">
        <v>1093</v>
      </c>
      <c r="G31" s="310">
        <v>210</v>
      </c>
      <c r="H31" s="310">
        <v>45</v>
      </c>
      <c r="I31" s="311">
        <f t="shared" si="3"/>
        <v>9450</v>
      </c>
      <c r="J31" s="310">
        <f t="shared" si="0"/>
        <v>8978</v>
      </c>
      <c r="K31" s="373"/>
    </row>
    <row r="32" spans="1:11" s="372" customFormat="1" ht="20.100000000000001" customHeight="1">
      <c r="A32" s="1424"/>
      <c r="B32" s="1424"/>
      <c r="C32" s="1439"/>
      <c r="D32" s="1425"/>
      <c r="E32" s="310" t="s">
        <v>1598</v>
      </c>
      <c r="F32" s="310" t="s">
        <v>1093</v>
      </c>
      <c r="G32" s="310">
        <v>403</v>
      </c>
      <c r="H32" s="310">
        <v>45</v>
      </c>
      <c r="I32" s="311">
        <f t="shared" si="3"/>
        <v>18135</v>
      </c>
      <c r="J32" s="310">
        <f t="shared" si="0"/>
        <v>17228</v>
      </c>
      <c r="K32" s="373"/>
    </row>
    <row r="33" spans="1:11" s="372" customFormat="1" ht="20.100000000000001" customHeight="1">
      <c r="A33" s="1424"/>
      <c r="B33" s="1424"/>
      <c r="C33" s="1439"/>
      <c r="D33" s="1423" t="s">
        <v>1599</v>
      </c>
      <c r="E33" s="310" t="s">
        <v>1600</v>
      </c>
      <c r="F33" s="310" t="s">
        <v>1093</v>
      </c>
      <c r="G33" s="310">
        <v>918</v>
      </c>
      <c r="H33" s="310">
        <v>200</v>
      </c>
      <c r="I33" s="311">
        <f t="shared" si="3"/>
        <v>183600</v>
      </c>
      <c r="J33" s="310">
        <f t="shared" si="0"/>
        <v>174420</v>
      </c>
      <c r="K33" s="373"/>
    </row>
    <row r="34" spans="1:11" s="372" customFormat="1" ht="20.100000000000001" customHeight="1">
      <c r="A34" s="1424"/>
      <c r="B34" s="1424"/>
      <c r="C34" s="1439"/>
      <c r="D34" s="1425"/>
      <c r="E34" s="310" t="s">
        <v>1601</v>
      </c>
      <c r="F34" s="310" t="s">
        <v>1093</v>
      </c>
      <c r="G34" s="310">
        <v>600</v>
      </c>
      <c r="H34" s="310">
        <v>200</v>
      </c>
      <c r="I34" s="311">
        <f t="shared" si="3"/>
        <v>120000</v>
      </c>
      <c r="J34" s="310">
        <f t="shared" si="0"/>
        <v>114000</v>
      </c>
      <c r="K34" s="373"/>
    </row>
    <row r="35" spans="1:11" s="314" customFormat="1" ht="20.100000000000001" customHeight="1">
      <c r="A35" s="1424"/>
      <c r="B35" s="1424"/>
      <c r="C35" s="1439"/>
      <c r="D35" s="316"/>
      <c r="E35" s="310" t="s">
        <v>1097</v>
      </c>
      <c r="F35" s="310"/>
      <c r="G35" s="310"/>
      <c r="H35" s="311"/>
      <c r="I35" s="312">
        <f>SUM(I29:I34)</f>
        <v>590385</v>
      </c>
      <c r="J35" s="310">
        <f t="shared" si="0"/>
        <v>560866</v>
      </c>
      <c r="K35" s="373"/>
    </row>
    <row r="36" spans="1:11" s="314" customFormat="1" ht="20.100000000000001" customHeight="1">
      <c r="A36" s="1424"/>
      <c r="B36" s="1424"/>
      <c r="C36" s="1439"/>
      <c r="D36" s="316"/>
      <c r="E36" s="310" t="s">
        <v>1530</v>
      </c>
      <c r="F36" s="310"/>
      <c r="G36" s="310"/>
      <c r="H36" s="366"/>
      <c r="I36" s="312">
        <f>I35*0.1</f>
        <v>59038.5</v>
      </c>
      <c r="J36" s="310">
        <f t="shared" si="0"/>
        <v>56087</v>
      </c>
      <c r="K36" s="373"/>
    </row>
    <row r="37" spans="1:11" s="314" customFormat="1" ht="20.100000000000001" customHeight="1">
      <c r="A37" s="1424"/>
      <c r="B37" s="1424"/>
      <c r="C37" s="1439"/>
      <c r="D37" s="316"/>
      <c r="E37" s="310" t="s">
        <v>1531</v>
      </c>
      <c r="F37" s="310"/>
      <c r="G37" s="310"/>
      <c r="H37" s="311"/>
      <c r="I37" s="312">
        <f>(I35+I36)*0.05</f>
        <v>32471.175000000003</v>
      </c>
      <c r="J37" s="310">
        <f t="shared" si="0"/>
        <v>30848</v>
      </c>
      <c r="K37" s="373"/>
    </row>
    <row r="38" spans="1:11" s="372" customFormat="1" ht="20.100000000000001" customHeight="1">
      <c r="A38" s="1425"/>
      <c r="B38" s="1425"/>
      <c r="C38" s="1440"/>
      <c r="D38" s="310"/>
      <c r="E38" s="316" t="s">
        <v>25</v>
      </c>
      <c r="F38" s="310"/>
      <c r="G38" s="310"/>
      <c r="H38" s="310"/>
      <c r="I38" s="306">
        <f>ROUNDUP(I35+I36+I37,0)</f>
        <v>681895</v>
      </c>
      <c r="J38" s="310">
        <f t="shared" si="0"/>
        <v>647800</v>
      </c>
      <c r="K38" s="373"/>
    </row>
    <row r="39" spans="1:11" s="372" customFormat="1" ht="20.100000000000001" customHeight="1">
      <c r="A39" s="1428">
        <v>6</v>
      </c>
      <c r="B39" s="1428" t="s">
        <v>1602</v>
      </c>
      <c r="C39" s="1428" t="s">
        <v>1603</v>
      </c>
      <c r="D39" s="310" t="s">
        <v>1604</v>
      </c>
      <c r="E39" s="310" t="s">
        <v>1605</v>
      </c>
      <c r="F39" s="310" t="s">
        <v>1606</v>
      </c>
      <c r="G39" s="376">
        <v>5270</v>
      </c>
      <c r="H39" s="310">
        <v>60</v>
      </c>
      <c r="I39" s="311">
        <f>G39*H39</f>
        <v>316200</v>
      </c>
      <c r="J39" s="310">
        <f t="shared" si="0"/>
        <v>300390</v>
      </c>
      <c r="K39" s="377" t="s">
        <v>1607</v>
      </c>
    </row>
    <row r="40" spans="1:11" s="314" customFormat="1" ht="20.100000000000001" customHeight="1">
      <c r="A40" s="1428"/>
      <c r="B40" s="1428"/>
      <c r="C40" s="1428"/>
      <c r="D40" s="310"/>
      <c r="E40" s="310" t="s">
        <v>1097</v>
      </c>
      <c r="F40" s="310"/>
      <c r="G40" s="310"/>
      <c r="H40" s="311"/>
      <c r="I40" s="312">
        <f>SUM(I39)</f>
        <v>316200</v>
      </c>
      <c r="J40" s="310">
        <f t="shared" si="0"/>
        <v>300390</v>
      </c>
      <c r="K40" s="313"/>
    </row>
    <row r="41" spans="1:11" s="314" customFormat="1" ht="20.100000000000001" customHeight="1">
      <c r="A41" s="1428"/>
      <c r="B41" s="1428"/>
      <c r="C41" s="1428"/>
      <c r="D41" s="310"/>
      <c r="E41" s="310" t="s">
        <v>1530</v>
      </c>
      <c r="F41" s="310"/>
      <c r="G41" s="310"/>
      <c r="H41" s="366"/>
      <c r="I41" s="312">
        <f>I40*0.1</f>
        <v>31620</v>
      </c>
      <c r="J41" s="310">
        <f t="shared" si="0"/>
        <v>30039</v>
      </c>
      <c r="K41" s="313"/>
    </row>
    <row r="42" spans="1:11" s="314" customFormat="1" ht="20.100000000000001" customHeight="1">
      <c r="A42" s="1428"/>
      <c r="B42" s="1428"/>
      <c r="C42" s="1428"/>
      <c r="D42" s="310"/>
      <c r="E42" s="310" t="s">
        <v>1531</v>
      </c>
      <c r="F42" s="310"/>
      <c r="G42" s="310"/>
      <c r="H42" s="311"/>
      <c r="I42" s="312">
        <f>(I40+I41)*0.05</f>
        <v>17391</v>
      </c>
      <c r="J42" s="310">
        <f t="shared" si="0"/>
        <v>16521</v>
      </c>
      <c r="K42" s="313"/>
    </row>
    <row r="43" spans="1:11" s="372" customFormat="1" ht="20.100000000000001" customHeight="1">
      <c r="A43" s="1428"/>
      <c r="B43" s="1428"/>
      <c r="C43" s="1428"/>
      <c r="D43" s="310"/>
      <c r="E43" s="310" t="s">
        <v>1608</v>
      </c>
      <c r="F43" s="310"/>
      <c r="G43" s="310"/>
      <c r="H43" s="310"/>
      <c r="I43" s="306">
        <f>ROUNDUP(I40+I41+I42,0)</f>
        <v>365211</v>
      </c>
      <c r="J43" s="310">
        <v>346951</v>
      </c>
      <c r="K43" s="378"/>
    </row>
    <row r="44" spans="1:11" s="372" customFormat="1" ht="20.100000000000001" customHeight="1">
      <c r="A44" s="375"/>
      <c r="B44" s="375"/>
      <c r="C44" s="375"/>
      <c r="D44" s="375"/>
      <c r="E44" s="375" t="s">
        <v>1609</v>
      </c>
      <c r="F44" s="375"/>
      <c r="G44" s="375"/>
      <c r="H44" s="375"/>
      <c r="I44" s="316">
        <f>I8+I14+I20+I28+I38+I43</f>
        <v>2416150</v>
      </c>
      <c r="J44" s="310">
        <f t="shared" si="0"/>
        <v>2295343</v>
      </c>
      <c r="K44" s="379"/>
    </row>
    <row r="45" spans="1:11" ht="15" customHeight="1"/>
  </sheetData>
  <mergeCells count="26">
    <mergeCell ref="K3:K4"/>
    <mergeCell ref="K5:K7"/>
    <mergeCell ref="A1:J1"/>
    <mergeCell ref="A3:A8"/>
    <mergeCell ref="B3:B8"/>
    <mergeCell ref="C3:C8"/>
    <mergeCell ref="D3:D7"/>
    <mergeCell ref="A9:A14"/>
    <mergeCell ref="B9:B14"/>
    <mergeCell ref="C9:C14"/>
    <mergeCell ref="A15:A20"/>
    <mergeCell ref="B15:B20"/>
    <mergeCell ref="C15:C20"/>
    <mergeCell ref="A39:A43"/>
    <mergeCell ref="B39:B43"/>
    <mergeCell ref="C39:C43"/>
    <mergeCell ref="D15:D16"/>
    <mergeCell ref="A21:A28"/>
    <mergeCell ref="B21:B28"/>
    <mergeCell ref="C21:C28"/>
    <mergeCell ref="D21:D22"/>
    <mergeCell ref="A29:A38"/>
    <mergeCell ref="B29:B38"/>
    <mergeCell ref="C29:C38"/>
    <mergeCell ref="D29:D32"/>
    <mergeCell ref="D33:D34"/>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opLeftCell="A22" workbookViewId="0">
      <selection activeCell="J37" activeCellId="3" sqref="J11 J17 J30 J37"/>
    </sheetView>
  </sheetViews>
  <sheetFormatPr defaultRowHeight="14.25"/>
  <cols>
    <col min="1" max="1" width="4.375" style="328" customWidth="1"/>
    <col min="2" max="2" width="7.25" style="328" customWidth="1"/>
    <col min="3" max="3" width="8" style="328" customWidth="1"/>
    <col min="4" max="4" width="12.625" style="353" customWidth="1"/>
    <col min="5" max="5" width="30.25" style="353" customWidth="1"/>
    <col min="6" max="6" width="6.75" style="353" customWidth="1"/>
    <col min="7" max="7" width="7.5" style="353" customWidth="1"/>
    <col min="8" max="8" width="11.25" style="353" customWidth="1"/>
    <col min="9" max="9" width="9.75" style="354" customWidth="1"/>
    <col min="10" max="10" width="9.375" style="328" customWidth="1"/>
    <col min="11" max="11" width="10.5" style="328" bestFit="1" customWidth="1"/>
    <col min="12" max="254" width="9" style="328"/>
    <col min="255" max="255" width="4.375" style="328" customWidth="1"/>
    <col min="256" max="256" width="7.25" style="328" customWidth="1"/>
    <col min="257" max="257" width="8" style="328" customWidth="1"/>
    <col min="258" max="258" width="8.75" style="328" customWidth="1"/>
    <col min="259" max="259" width="12.625" style="328" customWidth="1"/>
    <col min="260" max="260" width="30.25" style="328" customWidth="1"/>
    <col min="261" max="261" width="6.75" style="328" customWidth="1"/>
    <col min="262" max="262" width="7.5" style="328" customWidth="1"/>
    <col min="263" max="263" width="11.25" style="328" customWidth="1"/>
    <col min="264" max="264" width="12.5" style="328" customWidth="1"/>
    <col min="265" max="265" width="14.625" style="328" customWidth="1"/>
    <col min="266" max="266" width="9" style="328"/>
    <col min="267" max="267" width="10.5" style="328" bestFit="1" customWidth="1"/>
    <col min="268" max="510" width="9" style="328"/>
    <col min="511" max="511" width="4.375" style="328" customWidth="1"/>
    <col min="512" max="512" width="7.25" style="328" customWidth="1"/>
    <col min="513" max="513" width="8" style="328" customWidth="1"/>
    <col min="514" max="514" width="8.75" style="328" customWidth="1"/>
    <col min="515" max="515" width="12.625" style="328" customWidth="1"/>
    <col min="516" max="516" width="30.25" style="328" customWidth="1"/>
    <col min="517" max="517" width="6.75" style="328" customWidth="1"/>
    <col min="518" max="518" width="7.5" style="328" customWidth="1"/>
    <col min="519" max="519" width="11.25" style="328" customWidth="1"/>
    <col min="520" max="520" width="12.5" style="328" customWidth="1"/>
    <col min="521" max="521" width="14.625" style="328" customWidth="1"/>
    <col min="522" max="522" width="9" style="328"/>
    <col min="523" max="523" width="10.5" style="328" bestFit="1" customWidth="1"/>
    <col min="524" max="766" width="9" style="328"/>
    <col min="767" max="767" width="4.375" style="328" customWidth="1"/>
    <col min="768" max="768" width="7.25" style="328" customWidth="1"/>
    <col min="769" max="769" width="8" style="328" customWidth="1"/>
    <col min="770" max="770" width="8.75" style="328" customWidth="1"/>
    <col min="771" max="771" width="12.625" style="328" customWidth="1"/>
    <col min="772" max="772" width="30.25" style="328" customWidth="1"/>
    <col min="773" max="773" width="6.75" style="328" customWidth="1"/>
    <col min="774" max="774" width="7.5" style="328" customWidth="1"/>
    <col min="775" max="775" width="11.25" style="328" customWidth="1"/>
    <col min="776" max="776" width="12.5" style="328" customWidth="1"/>
    <col min="777" max="777" width="14.625" style="328" customWidth="1"/>
    <col min="778" max="778" width="9" style="328"/>
    <col min="779" max="779" width="10.5" style="328" bestFit="1" customWidth="1"/>
    <col min="780" max="1022" width="9" style="328"/>
    <col min="1023" max="1023" width="4.375" style="328" customWidth="1"/>
    <col min="1024" max="1024" width="7.25" style="328" customWidth="1"/>
    <col min="1025" max="1025" width="8" style="328" customWidth="1"/>
    <col min="1026" max="1026" width="8.75" style="328" customWidth="1"/>
    <col min="1027" max="1027" width="12.625" style="328" customWidth="1"/>
    <col min="1028" max="1028" width="30.25" style="328" customWidth="1"/>
    <col min="1029" max="1029" width="6.75" style="328" customWidth="1"/>
    <col min="1030" max="1030" width="7.5" style="328" customWidth="1"/>
    <col min="1031" max="1031" width="11.25" style="328" customWidth="1"/>
    <col min="1032" max="1032" width="12.5" style="328" customWidth="1"/>
    <col min="1033" max="1033" width="14.625" style="328" customWidth="1"/>
    <col min="1034" max="1034" width="9" style="328"/>
    <col min="1035" max="1035" width="10.5" style="328" bestFit="1" customWidth="1"/>
    <col min="1036" max="1278" width="9" style="328"/>
    <col min="1279" max="1279" width="4.375" style="328" customWidth="1"/>
    <col min="1280" max="1280" width="7.25" style="328" customWidth="1"/>
    <col min="1281" max="1281" width="8" style="328" customWidth="1"/>
    <col min="1282" max="1282" width="8.75" style="328" customWidth="1"/>
    <col min="1283" max="1283" width="12.625" style="328" customWidth="1"/>
    <col min="1284" max="1284" width="30.25" style="328" customWidth="1"/>
    <col min="1285" max="1285" width="6.75" style="328" customWidth="1"/>
    <col min="1286" max="1286" width="7.5" style="328" customWidth="1"/>
    <col min="1287" max="1287" width="11.25" style="328" customWidth="1"/>
    <col min="1288" max="1288" width="12.5" style="328" customWidth="1"/>
    <col min="1289" max="1289" width="14.625" style="328" customWidth="1"/>
    <col min="1290" max="1290" width="9" style="328"/>
    <col min="1291" max="1291" width="10.5" style="328" bestFit="1" customWidth="1"/>
    <col min="1292" max="1534" width="9" style="328"/>
    <col min="1535" max="1535" width="4.375" style="328" customWidth="1"/>
    <col min="1536" max="1536" width="7.25" style="328" customWidth="1"/>
    <col min="1537" max="1537" width="8" style="328" customWidth="1"/>
    <col min="1538" max="1538" width="8.75" style="328" customWidth="1"/>
    <col min="1539" max="1539" width="12.625" style="328" customWidth="1"/>
    <col min="1540" max="1540" width="30.25" style="328" customWidth="1"/>
    <col min="1541" max="1541" width="6.75" style="328" customWidth="1"/>
    <col min="1542" max="1542" width="7.5" style="328" customWidth="1"/>
    <col min="1543" max="1543" width="11.25" style="328" customWidth="1"/>
    <col min="1544" max="1544" width="12.5" style="328" customWidth="1"/>
    <col min="1545" max="1545" width="14.625" style="328" customWidth="1"/>
    <col min="1546" max="1546" width="9" style="328"/>
    <col min="1547" max="1547" width="10.5" style="328" bestFit="1" customWidth="1"/>
    <col min="1548" max="1790" width="9" style="328"/>
    <col min="1791" max="1791" width="4.375" style="328" customWidth="1"/>
    <col min="1792" max="1792" width="7.25" style="328" customWidth="1"/>
    <col min="1793" max="1793" width="8" style="328" customWidth="1"/>
    <col min="1794" max="1794" width="8.75" style="328" customWidth="1"/>
    <col min="1795" max="1795" width="12.625" style="328" customWidth="1"/>
    <col min="1796" max="1796" width="30.25" style="328" customWidth="1"/>
    <col min="1797" max="1797" width="6.75" style="328" customWidth="1"/>
    <col min="1798" max="1798" width="7.5" style="328" customWidth="1"/>
    <col min="1799" max="1799" width="11.25" style="328" customWidth="1"/>
    <col min="1800" max="1800" width="12.5" style="328" customWidth="1"/>
    <col min="1801" max="1801" width="14.625" style="328" customWidth="1"/>
    <col min="1802" max="1802" width="9" style="328"/>
    <col min="1803" max="1803" width="10.5" style="328" bestFit="1" customWidth="1"/>
    <col min="1804" max="2046" width="9" style="328"/>
    <col min="2047" max="2047" width="4.375" style="328" customWidth="1"/>
    <col min="2048" max="2048" width="7.25" style="328" customWidth="1"/>
    <col min="2049" max="2049" width="8" style="328" customWidth="1"/>
    <col min="2050" max="2050" width="8.75" style="328" customWidth="1"/>
    <col min="2051" max="2051" width="12.625" style="328" customWidth="1"/>
    <col min="2052" max="2052" width="30.25" style="328" customWidth="1"/>
    <col min="2053" max="2053" width="6.75" style="328" customWidth="1"/>
    <col min="2054" max="2054" width="7.5" style="328" customWidth="1"/>
    <col min="2055" max="2055" width="11.25" style="328" customWidth="1"/>
    <col min="2056" max="2056" width="12.5" style="328" customWidth="1"/>
    <col min="2057" max="2057" width="14.625" style="328" customWidth="1"/>
    <col min="2058" max="2058" width="9" style="328"/>
    <col min="2059" max="2059" width="10.5" style="328" bestFit="1" customWidth="1"/>
    <col min="2060" max="2302" width="9" style="328"/>
    <col min="2303" max="2303" width="4.375" style="328" customWidth="1"/>
    <col min="2304" max="2304" width="7.25" style="328" customWidth="1"/>
    <col min="2305" max="2305" width="8" style="328" customWidth="1"/>
    <col min="2306" max="2306" width="8.75" style="328" customWidth="1"/>
    <col min="2307" max="2307" width="12.625" style="328" customWidth="1"/>
    <col min="2308" max="2308" width="30.25" style="328" customWidth="1"/>
    <col min="2309" max="2309" width="6.75" style="328" customWidth="1"/>
    <col min="2310" max="2310" width="7.5" style="328" customWidth="1"/>
    <col min="2311" max="2311" width="11.25" style="328" customWidth="1"/>
    <col min="2312" max="2312" width="12.5" style="328" customWidth="1"/>
    <col min="2313" max="2313" width="14.625" style="328" customWidth="1"/>
    <col min="2314" max="2314" width="9" style="328"/>
    <col min="2315" max="2315" width="10.5" style="328" bestFit="1" customWidth="1"/>
    <col min="2316" max="2558" width="9" style="328"/>
    <col min="2559" max="2559" width="4.375" style="328" customWidth="1"/>
    <col min="2560" max="2560" width="7.25" style="328" customWidth="1"/>
    <col min="2561" max="2561" width="8" style="328" customWidth="1"/>
    <col min="2562" max="2562" width="8.75" style="328" customWidth="1"/>
    <col min="2563" max="2563" width="12.625" style="328" customWidth="1"/>
    <col min="2564" max="2564" width="30.25" style="328" customWidth="1"/>
    <col min="2565" max="2565" width="6.75" style="328" customWidth="1"/>
    <col min="2566" max="2566" width="7.5" style="328" customWidth="1"/>
    <col min="2567" max="2567" width="11.25" style="328" customWidth="1"/>
    <col min="2568" max="2568" width="12.5" style="328" customWidth="1"/>
    <col min="2569" max="2569" width="14.625" style="328" customWidth="1"/>
    <col min="2570" max="2570" width="9" style="328"/>
    <col min="2571" max="2571" width="10.5" style="328" bestFit="1" customWidth="1"/>
    <col min="2572" max="2814" width="9" style="328"/>
    <col min="2815" max="2815" width="4.375" style="328" customWidth="1"/>
    <col min="2816" max="2816" width="7.25" style="328" customWidth="1"/>
    <col min="2817" max="2817" width="8" style="328" customWidth="1"/>
    <col min="2818" max="2818" width="8.75" style="328" customWidth="1"/>
    <col min="2819" max="2819" width="12.625" style="328" customWidth="1"/>
    <col min="2820" max="2820" width="30.25" style="328" customWidth="1"/>
    <col min="2821" max="2821" width="6.75" style="328" customWidth="1"/>
    <col min="2822" max="2822" width="7.5" style="328" customWidth="1"/>
    <col min="2823" max="2823" width="11.25" style="328" customWidth="1"/>
    <col min="2824" max="2824" width="12.5" style="328" customWidth="1"/>
    <col min="2825" max="2825" width="14.625" style="328" customWidth="1"/>
    <col min="2826" max="2826" width="9" style="328"/>
    <col min="2827" max="2827" width="10.5" style="328" bestFit="1" customWidth="1"/>
    <col min="2828" max="3070" width="9" style="328"/>
    <col min="3071" max="3071" width="4.375" style="328" customWidth="1"/>
    <col min="3072" max="3072" width="7.25" style="328" customWidth="1"/>
    <col min="3073" max="3073" width="8" style="328" customWidth="1"/>
    <col min="3074" max="3074" width="8.75" style="328" customWidth="1"/>
    <col min="3075" max="3075" width="12.625" style="328" customWidth="1"/>
    <col min="3076" max="3076" width="30.25" style="328" customWidth="1"/>
    <col min="3077" max="3077" width="6.75" style="328" customWidth="1"/>
    <col min="3078" max="3078" width="7.5" style="328" customWidth="1"/>
    <col min="3079" max="3079" width="11.25" style="328" customWidth="1"/>
    <col min="3080" max="3080" width="12.5" style="328" customWidth="1"/>
    <col min="3081" max="3081" width="14.625" style="328" customWidth="1"/>
    <col min="3082" max="3082" width="9" style="328"/>
    <col min="3083" max="3083" width="10.5" style="328" bestFit="1" customWidth="1"/>
    <col min="3084" max="3326" width="9" style="328"/>
    <col min="3327" max="3327" width="4.375" style="328" customWidth="1"/>
    <col min="3328" max="3328" width="7.25" style="328" customWidth="1"/>
    <col min="3329" max="3329" width="8" style="328" customWidth="1"/>
    <col min="3330" max="3330" width="8.75" style="328" customWidth="1"/>
    <col min="3331" max="3331" width="12.625" style="328" customWidth="1"/>
    <col min="3332" max="3332" width="30.25" style="328" customWidth="1"/>
    <col min="3333" max="3333" width="6.75" style="328" customWidth="1"/>
    <col min="3334" max="3334" width="7.5" style="328" customWidth="1"/>
    <col min="3335" max="3335" width="11.25" style="328" customWidth="1"/>
    <col min="3336" max="3336" width="12.5" style="328" customWidth="1"/>
    <col min="3337" max="3337" width="14.625" style="328" customWidth="1"/>
    <col min="3338" max="3338" width="9" style="328"/>
    <col min="3339" max="3339" width="10.5" style="328" bestFit="1" customWidth="1"/>
    <col min="3340" max="3582" width="9" style="328"/>
    <col min="3583" max="3583" width="4.375" style="328" customWidth="1"/>
    <col min="3584" max="3584" width="7.25" style="328" customWidth="1"/>
    <col min="3585" max="3585" width="8" style="328" customWidth="1"/>
    <col min="3586" max="3586" width="8.75" style="328" customWidth="1"/>
    <col min="3587" max="3587" width="12.625" style="328" customWidth="1"/>
    <col min="3588" max="3588" width="30.25" style="328" customWidth="1"/>
    <col min="3589" max="3589" width="6.75" style="328" customWidth="1"/>
    <col min="3590" max="3590" width="7.5" style="328" customWidth="1"/>
    <col min="3591" max="3591" width="11.25" style="328" customWidth="1"/>
    <col min="3592" max="3592" width="12.5" style="328" customWidth="1"/>
    <col min="3593" max="3593" width="14.625" style="328" customWidth="1"/>
    <col min="3594" max="3594" width="9" style="328"/>
    <col min="3595" max="3595" width="10.5" style="328" bestFit="1" customWidth="1"/>
    <col min="3596" max="3838" width="9" style="328"/>
    <col min="3839" max="3839" width="4.375" style="328" customWidth="1"/>
    <col min="3840" max="3840" width="7.25" style="328" customWidth="1"/>
    <col min="3841" max="3841" width="8" style="328" customWidth="1"/>
    <col min="3842" max="3842" width="8.75" style="328" customWidth="1"/>
    <col min="3843" max="3843" width="12.625" style="328" customWidth="1"/>
    <col min="3844" max="3844" width="30.25" style="328" customWidth="1"/>
    <col min="3845" max="3845" width="6.75" style="328" customWidth="1"/>
    <col min="3846" max="3846" width="7.5" style="328" customWidth="1"/>
    <col min="3847" max="3847" width="11.25" style="328" customWidth="1"/>
    <col min="3848" max="3848" width="12.5" style="328" customWidth="1"/>
    <col min="3849" max="3849" width="14.625" style="328" customWidth="1"/>
    <col min="3850" max="3850" width="9" style="328"/>
    <col min="3851" max="3851" width="10.5" style="328" bestFit="1" customWidth="1"/>
    <col min="3852" max="4094" width="9" style="328"/>
    <col min="4095" max="4095" width="4.375" style="328" customWidth="1"/>
    <col min="4096" max="4096" width="7.25" style="328" customWidth="1"/>
    <col min="4097" max="4097" width="8" style="328" customWidth="1"/>
    <col min="4098" max="4098" width="8.75" style="328" customWidth="1"/>
    <col min="4099" max="4099" width="12.625" style="328" customWidth="1"/>
    <col min="4100" max="4100" width="30.25" style="328" customWidth="1"/>
    <col min="4101" max="4101" width="6.75" style="328" customWidth="1"/>
    <col min="4102" max="4102" width="7.5" style="328" customWidth="1"/>
    <col min="4103" max="4103" width="11.25" style="328" customWidth="1"/>
    <col min="4104" max="4104" width="12.5" style="328" customWidth="1"/>
    <col min="4105" max="4105" width="14.625" style="328" customWidth="1"/>
    <col min="4106" max="4106" width="9" style="328"/>
    <col min="4107" max="4107" width="10.5" style="328" bestFit="1" customWidth="1"/>
    <col min="4108" max="4350" width="9" style="328"/>
    <col min="4351" max="4351" width="4.375" style="328" customWidth="1"/>
    <col min="4352" max="4352" width="7.25" style="328" customWidth="1"/>
    <col min="4353" max="4353" width="8" style="328" customWidth="1"/>
    <col min="4354" max="4354" width="8.75" style="328" customWidth="1"/>
    <col min="4355" max="4355" width="12.625" style="328" customWidth="1"/>
    <col min="4356" max="4356" width="30.25" style="328" customWidth="1"/>
    <col min="4357" max="4357" width="6.75" style="328" customWidth="1"/>
    <col min="4358" max="4358" width="7.5" style="328" customWidth="1"/>
    <col min="4359" max="4359" width="11.25" style="328" customWidth="1"/>
    <col min="4360" max="4360" width="12.5" style="328" customWidth="1"/>
    <col min="4361" max="4361" width="14.625" style="328" customWidth="1"/>
    <col min="4362" max="4362" width="9" style="328"/>
    <col min="4363" max="4363" width="10.5" style="328" bestFit="1" customWidth="1"/>
    <col min="4364" max="4606" width="9" style="328"/>
    <col min="4607" max="4607" width="4.375" style="328" customWidth="1"/>
    <col min="4608" max="4608" width="7.25" style="328" customWidth="1"/>
    <col min="4609" max="4609" width="8" style="328" customWidth="1"/>
    <col min="4610" max="4610" width="8.75" style="328" customWidth="1"/>
    <col min="4611" max="4611" width="12.625" style="328" customWidth="1"/>
    <col min="4612" max="4612" width="30.25" style="328" customWidth="1"/>
    <col min="4613" max="4613" width="6.75" style="328" customWidth="1"/>
    <col min="4614" max="4614" width="7.5" style="328" customWidth="1"/>
    <col min="4615" max="4615" width="11.25" style="328" customWidth="1"/>
    <col min="4616" max="4616" width="12.5" style="328" customWidth="1"/>
    <col min="4617" max="4617" width="14.625" style="328" customWidth="1"/>
    <col min="4618" max="4618" width="9" style="328"/>
    <col min="4619" max="4619" width="10.5" style="328" bestFit="1" customWidth="1"/>
    <col min="4620" max="4862" width="9" style="328"/>
    <col min="4863" max="4863" width="4.375" style="328" customWidth="1"/>
    <col min="4864" max="4864" width="7.25" style="328" customWidth="1"/>
    <col min="4865" max="4865" width="8" style="328" customWidth="1"/>
    <col min="4866" max="4866" width="8.75" style="328" customWidth="1"/>
    <col min="4867" max="4867" width="12.625" style="328" customWidth="1"/>
    <col min="4868" max="4868" width="30.25" style="328" customWidth="1"/>
    <col min="4869" max="4869" width="6.75" style="328" customWidth="1"/>
    <col min="4870" max="4870" width="7.5" style="328" customWidth="1"/>
    <col min="4871" max="4871" width="11.25" style="328" customWidth="1"/>
    <col min="4872" max="4872" width="12.5" style="328" customWidth="1"/>
    <col min="4873" max="4873" width="14.625" style="328" customWidth="1"/>
    <col min="4874" max="4874" width="9" style="328"/>
    <col min="4875" max="4875" width="10.5" style="328" bestFit="1" customWidth="1"/>
    <col min="4876" max="5118" width="9" style="328"/>
    <col min="5119" max="5119" width="4.375" style="328" customWidth="1"/>
    <col min="5120" max="5120" width="7.25" style="328" customWidth="1"/>
    <col min="5121" max="5121" width="8" style="328" customWidth="1"/>
    <col min="5122" max="5122" width="8.75" style="328" customWidth="1"/>
    <col min="5123" max="5123" width="12.625" style="328" customWidth="1"/>
    <col min="5124" max="5124" width="30.25" style="328" customWidth="1"/>
    <col min="5125" max="5125" width="6.75" style="328" customWidth="1"/>
    <col min="5126" max="5126" width="7.5" style="328" customWidth="1"/>
    <col min="5127" max="5127" width="11.25" style="328" customWidth="1"/>
    <col min="5128" max="5128" width="12.5" style="328" customWidth="1"/>
    <col min="5129" max="5129" width="14.625" style="328" customWidth="1"/>
    <col min="5130" max="5130" width="9" style="328"/>
    <col min="5131" max="5131" width="10.5" style="328" bestFit="1" customWidth="1"/>
    <col min="5132" max="5374" width="9" style="328"/>
    <col min="5375" max="5375" width="4.375" style="328" customWidth="1"/>
    <col min="5376" max="5376" width="7.25" style="328" customWidth="1"/>
    <col min="5377" max="5377" width="8" style="328" customWidth="1"/>
    <col min="5378" max="5378" width="8.75" style="328" customWidth="1"/>
    <col min="5379" max="5379" width="12.625" style="328" customWidth="1"/>
    <col min="5380" max="5380" width="30.25" style="328" customWidth="1"/>
    <col min="5381" max="5381" width="6.75" style="328" customWidth="1"/>
    <col min="5382" max="5382" width="7.5" style="328" customWidth="1"/>
    <col min="5383" max="5383" width="11.25" style="328" customWidth="1"/>
    <col min="5384" max="5384" width="12.5" style="328" customWidth="1"/>
    <col min="5385" max="5385" width="14.625" style="328" customWidth="1"/>
    <col min="5386" max="5386" width="9" style="328"/>
    <col min="5387" max="5387" width="10.5" style="328" bestFit="1" customWidth="1"/>
    <col min="5388" max="5630" width="9" style="328"/>
    <col min="5631" max="5631" width="4.375" style="328" customWidth="1"/>
    <col min="5632" max="5632" width="7.25" style="328" customWidth="1"/>
    <col min="5633" max="5633" width="8" style="328" customWidth="1"/>
    <col min="5634" max="5634" width="8.75" style="328" customWidth="1"/>
    <col min="5635" max="5635" width="12.625" style="328" customWidth="1"/>
    <col min="5636" max="5636" width="30.25" style="328" customWidth="1"/>
    <col min="5637" max="5637" width="6.75" style="328" customWidth="1"/>
    <col min="5638" max="5638" width="7.5" style="328" customWidth="1"/>
    <col min="5639" max="5639" width="11.25" style="328" customWidth="1"/>
    <col min="5640" max="5640" width="12.5" style="328" customWidth="1"/>
    <col min="5641" max="5641" width="14.625" style="328" customWidth="1"/>
    <col min="5642" max="5642" width="9" style="328"/>
    <col min="5643" max="5643" width="10.5" style="328" bestFit="1" customWidth="1"/>
    <col min="5644" max="5886" width="9" style="328"/>
    <col min="5887" max="5887" width="4.375" style="328" customWidth="1"/>
    <col min="5888" max="5888" width="7.25" style="328" customWidth="1"/>
    <col min="5889" max="5889" width="8" style="328" customWidth="1"/>
    <col min="5890" max="5890" width="8.75" style="328" customWidth="1"/>
    <col min="5891" max="5891" width="12.625" style="328" customWidth="1"/>
    <col min="5892" max="5892" width="30.25" style="328" customWidth="1"/>
    <col min="5893" max="5893" width="6.75" style="328" customWidth="1"/>
    <col min="5894" max="5894" width="7.5" style="328" customWidth="1"/>
    <col min="5895" max="5895" width="11.25" style="328" customWidth="1"/>
    <col min="5896" max="5896" width="12.5" style="328" customWidth="1"/>
    <col min="5897" max="5897" width="14.625" style="328" customWidth="1"/>
    <col min="5898" max="5898" width="9" style="328"/>
    <col min="5899" max="5899" width="10.5" style="328" bestFit="1" customWidth="1"/>
    <col min="5900" max="6142" width="9" style="328"/>
    <col min="6143" max="6143" width="4.375" style="328" customWidth="1"/>
    <col min="6144" max="6144" width="7.25" style="328" customWidth="1"/>
    <col min="6145" max="6145" width="8" style="328" customWidth="1"/>
    <col min="6146" max="6146" width="8.75" style="328" customWidth="1"/>
    <col min="6147" max="6147" width="12.625" style="328" customWidth="1"/>
    <col min="6148" max="6148" width="30.25" style="328" customWidth="1"/>
    <col min="6149" max="6149" width="6.75" style="328" customWidth="1"/>
    <col min="6150" max="6150" width="7.5" style="328" customWidth="1"/>
    <col min="6151" max="6151" width="11.25" style="328" customWidth="1"/>
    <col min="6152" max="6152" width="12.5" style="328" customWidth="1"/>
    <col min="6153" max="6153" width="14.625" style="328" customWidth="1"/>
    <col min="6154" max="6154" width="9" style="328"/>
    <col min="6155" max="6155" width="10.5" style="328" bestFit="1" customWidth="1"/>
    <col min="6156" max="6398" width="9" style="328"/>
    <col min="6399" max="6399" width="4.375" style="328" customWidth="1"/>
    <col min="6400" max="6400" width="7.25" style="328" customWidth="1"/>
    <col min="6401" max="6401" width="8" style="328" customWidth="1"/>
    <col min="6402" max="6402" width="8.75" style="328" customWidth="1"/>
    <col min="6403" max="6403" width="12.625" style="328" customWidth="1"/>
    <col min="6404" max="6404" width="30.25" style="328" customWidth="1"/>
    <col min="6405" max="6405" width="6.75" style="328" customWidth="1"/>
    <col min="6406" max="6406" width="7.5" style="328" customWidth="1"/>
    <col min="6407" max="6407" width="11.25" style="328" customWidth="1"/>
    <col min="6408" max="6408" width="12.5" style="328" customWidth="1"/>
    <col min="6409" max="6409" width="14.625" style="328" customWidth="1"/>
    <col min="6410" max="6410" width="9" style="328"/>
    <col min="6411" max="6411" width="10.5" style="328" bestFit="1" customWidth="1"/>
    <col min="6412" max="6654" width="9" style="328"/>
    <col min="6655" max="6655" width="4.375" style="328" customWidth="1"/>
    <col min="6656" max="6656" width="7.25" style="328" customWidth="1"/>
    <col min="6657" max="6657" width="8" style="328" customWidth="1"/>
    <col min="6658" max="6658" width="8.75" style="328" customWidth="1"/>
    <col min="6659" max="6659" width="12.625" style="328" customWidth="1"/>
    <col min="6660" max="6660" width="30.25" style="328" customWidth="1"/>
    <col min="6661" max="6661" width="6.75" style="328" customWidth="1"/>
    <col min="6662" max="6662" width="7.5" style="328" customWidth="1"/>
    <col min="6663" max="6663" width="11.25" style="328" customWidth="1"/>
    <col min="6664" max="6664" width="12.5" style="328" customWidth="1"/>
    <col min="6665" max="6665" width="14.625" style="328" customWidth="1"/>
    <col min="6666" max="6666" width="9" style="328"/>
    <col min="6667" max="6667" width="10.5" style="328" bestFit="1" customWidth="1"/>
    <col min="6668" max="6910" width="9" style="328"/>
    <col min="6911" max="6911" width="4.375" style="328" customWidth="1"/>
    <col min="6912" max="6912" width="7.25" style="328" customWidth="1"/>
    <col min="6913" max="6913" width="8" style="328" customWidth="1"/>
    <col min="6914" max="6914" width="8.75" style="328" customWidth="1"/>
    <col min="6915" max="6915" width="12.625" style="328" customWidth="1"/>
    <col min="6916" max="6916" width="30.25" style="328" customWidth="1"/>
    <col min="6917" max="6917" width="6.75" style="328" customWidth="1"/>
    <col min="6918" max="6918" width="7.5" style="328" customWidth="1"/>
    <col min="6919" max="6919" width="11.25" style="328" customWidth="1"/>
    <col min="6920" max="6920" width="12.5" style="328" customWidth="1"/>
    <col min="6921" max="6921" width="14.625" style="328" customWidth="1"/>
    <col min="6922" max="6922" width="9" style="328"/>
    <col min="6923" max="6923" width="10.5" style="328" bestFit="1" customWidth="1"/>
    <col min="6924" max="7166" width="9" style="328"/>
    <col min="7167" max="7167" width="4.375" style="328" customWidth="1"/>
    <col min="7168" max="7168" width="7.25" style="328" customWidth="1"/>
    <col min="7169" max="7169" width="8" style="328" customWidth="1"/>
    <col min="7170" max="7170" width="8.75" style="328" customWidth="1"/>
    <col min="7171" max="7171" width="12.625" style="328" customWidth="1"/>
    <col min="7172" max="7172" width="30.25" style="328" customWidth="1"/>
    <col min="7173" max="7173" width="6.75" style="328" customWidth="1"/>
    <col min="7174" max="7174" width="7.5" style="328" customWidth="1"/>
    <col min="7175" max="7175" width="11.25" style="328" customWidth="1"/>
    <col min="7176" max="7176" width="12.5" style="328" customWidth="1"/>
    <col min="7177" max="7177" width="14.625" style="328" customWidth="1"/>
    <col min="7178" max="7178" width="9" style="328"/>
    <col min="7179" max="7179" width="10.5" style="328" bestFit="1" customWidth="1"/>
    <col min="7180" max="7422" width="9" style="328"/>
    <col min="7423" max="7423" width="4.375" style="328" customWidth="1"/>
    <col min="7424" max="7424" width="7.25" style="328" customWidth="1"/>
    <col min="7425" max="7425" width="8" style="328" customWidth="1"/>
    <col min="7426" max="7426" width="8.75" style="328" customWidth="1"/>
    <col min="7427" max="7427" width="12.625" style="328" customWidth="1"/>
    <col min="7428" max="7428" width="30.25" style="328" customWidth="1"/>
    <col min="7429" max="7429" width="6.75" style="328" customWidth="1"/>
    <col min="7430" max="7430" width="7.5" style="328" customWidth="1"/>
    <col min="7431" max="7431" width="11.25" style="328" customWidth="1"/>
    <col min="7432" max="7432" width="12.5" style="328" customWidth="1"/>
    <col min="7433" max="7433" width="14.625" style="328" customWidth="1"/>
    <col min="7434" max="7434" width="9" style="328"/>
    <col min="7435" max="7435" width="10.5" style="328" bestFit="1" customWidth="1"/>
    <col min="7436" max="7678" width="9" style="328"/>
    <col min="7679" max="7679" width="4.375" style="328" customWidth="1"/>
    <col min="7680" max="7680" width="7.25" style="328" customWidth="1"/>
    <col min="7681" max="7681" width="8" style="328" customWidth="1"/>
    <col min="7682" max="7682" width="8.75" style="328" customWidth="1"/>
    <col min="7683" max="7683" width="12.625" style="328" customWidth="1"/>
    <col min="7684" max="7684" width="30.25" style="328" customWidth="1"/>
    <col min="7685" max="7685" width="6.75" style="328" customWidth="1"/>
    <col min="7686" max="7686" width="7.5" style="328" customWidth="1"/>
    <col min="7687" max="7687" width="11.25" style="328" customWidth="1"/>
    <col min="7688" max="7688" width="12.5" style="328" customWidth="1"/>
    <col min="7689" max="7689" width="14.625" style="328" customWidth="1"/>
    <col min="7690" max="7690" width="9" style="328"/>
    <col min="7691" max="7691" width="10.5" style="328" bestFit="1" customWidth="1"/>
    <col min="7692" max="7934" width="9" style="328"/>
    <col min="7935" max="7935" width="4.375" style="328" customWidth="1"/>
    <col min="7936" max="7936" width="7.25" style="328" customWidth="1"/>
    <col min="7937" max="7937" width="8" style="328" customWidth="1"/>
    <col min="7938" max="7938" width="8.75" style="328" customWidth="1"/>
    <col min="7939" max="7939" width="12.625" style="328" customWidth="1"/>
    <col min="7940" max="7940" width="30.25" style="328" customWidth="1"/>
    <col min="7941" max="7941" width="6.75" style="328" customWidth="1"/>
    <col min="7942" max="7942" width="7.5" style="328" customWidth="1"/>
    <col min="7943" max="7943" width="11.25" style="328" customWidth="1"/>
    <col min="7944" max="7944" width="12.5" style="328" customWidth="1"/>
    <col min="7945" max="7945" width="14.625" style="328" customWidth="1"/>
    <col min="7946" max="7946" width="9" style="328"/>
    <col min="7947" max="7947" width="10.5" style="328" bestFit="1" customWidth="1"/>
    <col min="7948" max="8190" width="9" style="328"/>
    <col min="8191" max="8191" width="4.375" style="328" customWidth="1"/>
    <col min="8192" max="8192" width="7.25" style="328" customWidth="1"/>
    <col min="8193" max="8193" width="8" style="328" customWidth="1"/>
    <col min="8194" max="8194" width="8.75" style="328" customWidth="1"/>
    <col min="8195" max="8195" width="12.625" style="328" customWidth="1"/>
    <col min="8196" max="8196" width="30.25" style="328" customWidth="1"/>
    <col min="8197" max="8197" width="6.75" style="328" customWidth="1"/>
    <col min="8198" max="8198" width="7.5" style="328" customWidth="1"/>
    <col min="8199" max="8199" width="11.25" style="328" customWidth="1"/>
    <col min="8200" max="8200" width="12.5" style="328" customWidth="1"/>
    <col min="8201" max="8201" width="14.625" style="328" customWidth="1"/>
    <col min="8202" max="8202" width="9" style="328"/>
    <col min="8203" max="8203" width="10.5" style="328" bestFit="1" customWidth="1"/>
    <col min="8204" max="8446" width="9" style="328"/>
    <col min="8447" max="8447" width="4.375" style="328" customWidth="1"/>
    <col min="8448" max="8448" width="7.25" style="328" customWidth="1"/>
    <col min="8449" max="8449" width="8" style="328" customWidth="1"/>
    <col min="8450" max="8450" width="8.75" style="328" customWidth="1"/>
    <col min="8451" max="8451" width="12.625" style="328" customWidth="1"/>
    <col min="8452" max="8452" width="30.25" style="328" customWidth="1"/>
    <col min="8453" max="8453" width="6.75" style="328" customWidth="1"/>
    <col min="8454" max="8454" width="7.5" style="328" customWidth="1"/>
    <col min="8455" max="8455" width="11.25" style="328" customWidth="1"/>
    <col min="8456" max="8456" width="12.5" style="328" customWidth="1"/>
    <col min="8457" max="8457" width="14.625" style="328" customWidth="1"/>
    <col min="8458" max="8458" width="9" style="328"/>
    <col min="8459" max="8459" width="10.5" style="328" bestFit="1" customWidth="1"/>
    <col min="8460" max="8702" width="9" style="328"/>
    <col min="8703" max="8703" width="4.375" style="328" customWidth="1"/>
    <col min="8704" max="8704" width="7.25" style="328" customWidth="1"/>
    <col min="8705" max="8705" width="8" style="328" customWidth="1"/>
    <col min="8706" max="8706" width="8.75" style="328" customWidth="1"/>
    <col min="8707" max="8707" width="12.625" style="328" customWidth="1"/>
    <col min="8708" max="8708" width="30.25" style="328" customWidth="1"/>
    <col min="8709" max="8709" width="6.75" style="328" customWidth="1"/>
    <col min="8710" max="8710" width="7.5" style="328" customWidth="1"/>
    <col min="8711" max="8711" width="11.25" style="328" customWidth="1"/>
    <col min="8712" max="8712" width="12.5" style="328" customWidth="1"/>
    <col min="8713" max="8713" width="14.625" style="328" customWidth="1"/>
    <col min="8714" max="8714" width="9" style="328"/>
    <col min="8715" max="8715" width="10.5" style="328" bestFit="1" customWidth="1"/>
    <col min="8716" max="8958" width="9" style="328"/>
    <col min="8959" max="8959" width="4.375" style="328" customWidth="1"/>
    <col min="8960" max="8960" width="7.25" style="328" customWidth="1"/>
    <col min="8961" max="8961" width="8" style="328" customWidth="1"/>
    <col min="8962" max="8962" width="8.75" style="328" customWidth="1"/>
    <col min="8963" max="8963" width="12.625" style="328" customWidth="1"/>
    <col min="8964" max="8964" width="30.25" style="328" customWidth="1"/>
    <col min="8965" max="8965" width="6.75" style="328" customWidth="1"/>
    <col min="8966" max="8966" width="7.5" style="328" customWidth="1"/>
    <col min="8967" max="8967" width="11.25" style="328" customWidth="1"/>
    <col min="8968" max="8968" width="12.5" style="328" customWidth="1"/>
    <col min="8969" max="8969" width="14.625" style="328" customWidth="1"/>
    <col min="8970" max="8970" width="9" style="328"/>
    <col min="8971" max="8971" width="10.5" style="328" bestFit="1" customWidth="1"/>
    <col min="8972" max="9214" width="9" style="328"/>
    <col min="9215" max="9215" width="4.375" style="328" customWidth="1"/>
    <col min="9216" max="9216" width="7.25" style="328" customWidth="1"/>
    <col min="9217" max="9217" width="8" style="328" customWidth="1"/>
    <col min="9218" max="9218" width="8.75" style="328" customWidth="1"/>
    <col min="9219" max="9219" width="12.625" style="328" customWidth="1"/>
    <col min="9220" max="9220" width="30.25" style="328" customWidth="1"/>
    <col min="9221" max="9221" width="6.75" style="328" customWidth="1"/>
    <col min="9222" max="9222" width="7.5" style="328" customWidth="1"/>
    <col min="9223" max="9223" width="11.25" style="328" customWidth="1"/>
    <col min="9224" max="9224" width="12.5" style="328" customWidth="1"/>
    <col min="9225" max="9225" width="14.625" style="328" customWidth="1"/>
    <col min="9226" max="9226" width="9" style="328"/>
    <col min="9227" max="9227" width="10.5" style="328" bestFit="1" customWidth="1"/>
    <col min="9228" max="9470" width="9" style="328"/>
    <col min="9471" max="9471" width="4.375" style="328" customWidth="1"/>
    <col min="9472" max="9472" width="7.25" style="328" customWidth="1"/>
    <col min="9473" max="9473" width="8" style="328" customWidth="1"/>
    <col min="9474" max="9474" width="8.75" style="328" customWidth="1"/>
    <col min="9475" max="9475" width="12.625" style="328" customWidth="1"/>
    <col min="9476" max="9476" width="30.25" style="328" customWidth="1"/>
    <col min="9477" max="9477" width="6.75" style="328" customWidth="1"/>
    <col min="9478" max="9478" width="7.5" style="328" customWidth="1"/>
    <col min="9479" max="9479" width="11.25" style="328" customWidth="1"/>
    <col min="9480" max="9480" width="12.5" style="328" customWidth="1"/>
    <col min="9481" max="9481" width="14.625" style="328" customWidth="1"/>
    <col min="9482" max="9482" width="9" style="328"/>
    <col min="9483" max="9483" width="10.5" style="328" bestFit="1" customWidth="1"/>
    <col min="9484" max="9726" width="9" style="328"/>
    <col min="9727" max="9727" width="4.375" style="328" customWidth="1"/>
    <col min="9728" max="9728" width="7.25" style="328" customWidth="1"/>
    <col min="9729" max="9729" width="8" style="328" customWidth="1"/>
    <col min="9730" max="9730" width="8.75" style="328" customWidth="1"/>
    <col min="9731" max="9731" width="12.625" style="328" customWidth="1"/>
    <col min="9732" max="9732" width="30.25" style="328" customWidth="1"/>
    <col min="9733" max="9733" width="6.75" style="328" customWidth="1"/>
    <col min="9734" max="9734" width="7.5" style="328" customWidth="1"/>
    <col min="9735" max="9735" width="11.25" style="328" customWidth="1"/>
    <col min="9736" max="9736" width="12.5" style="328" customWidth="1"/>
    <col min="9737" max="9737" width="14.625" style="328" customWidth="1"/>
    <col min="9738" max="9738" width="9" style="328"/>
    <col min="9739" max="9739" width="10.5" style="328" bestFit="1" customWidth="1"/>
    <col min="9740" max="9982" width="9" style="328"/>
    <col min="9983" max="9983" width="4.375" style="328" customWidth="1"/>
    <col min="9984" max="9984" width="7.25" style="328" customWidth="1"/>
    <col min="9985" max="9985" width="8" style="328" customWidth="1"/>
    <col min="9986" max="9986" width="8.75" style="328" customWidth="1"/>
    <col min="9987" max="9987" width="12.625" style="328" customWidth="1"/>
    <col min="9988" max="9988" width="30.25" style="328" customWidth="1"/>
    <col min="9989" max="9989" width="6.75" style="328" customWidth="1"/>
    <col min="9990" max="9990" width="7.5" style="328" customWidth="1"/>
    <col min="9991" max="9991" width="11.25" style="328" customWidth="1"/>
    <col min="9992" max="9992" width="12.5" style="328" customWidth="1"/>
    <col min="9993" max="9993" width="14.625" style="328" customWidth="1"/>
    <col min="9994" max="9994" width="9" style="328"/>
    <col min="9995" max="9995" width="10.5" style="328" bestFit="1" customWidth="1"/>
    <col min="9996" max="10238" width="9" style="328"/>
    <col min="10239" max="10239" width="4.375" style="328" customWidth="1"/>
    <col min="10240" max="10240" width="7.25" style="328" customWidth="1"/>
    <col min="10241" max="10241" width="8" style="328" customWidth="1"/>
    <col min="10242" max="10242" width="8.75" style="328" customWidth="1"/>
    <col min="10243" max="10243" width="12.625" style="328" customWidth="1"/>
    <col min="10244" max="10244" width="30.25" style="328" customWidth="1"/>
    <col min="10245" max="10245" width="6.75" style="328" customWidth="1"/>
    <col min="10246" max="10246" width="7.5" style="328" customWidth="1"/>
    <col min="10247" max="10247" width="11.25" style="328" customWidth="1"/>
    <col min="10248" max="10248" width="12.5" style="328" customWidth="1"/>
    <col min="10249" max="10249" width="14.625" style="328" customWidth="1"/>
    <col min="10250" max="10250" width="9" style="328"/>
    <col min="10251" max="10251" width="10.5" style="328" bestFit="1" customWidth="1"/>
    <col min="10252" max="10494" width="9" style="328"/>
    <col min="10495" max="10495" width="4.375" style="328" customWidth="1"/>
    <col min="10496" max="10496" width="7.25" style="328" customWidth="1"/>
    <col min="10497" max="10497" width="8" style="328" customWidth="1"/>
    <col min="10498" max="10498" width="8.75" style="328" customWidth="1"/>
    <col min="10499" max="10499" width="12.625" style="328" customWidth="1"/>
    <col min="10500" max="10500" width="30.25" style="328" customWidth="1"/>
    <col min="10501" max="10501" width="6.75" style="328" customWidth="1"/>
    <col min="10502" max="10502" width="7.5" style="328" customWidth="1"/>
    <col min="10503" max="10503" width="11.25" style="328" customWidth="1"/>
    <col min="10504" max="10504" width="12.5" style="328" customWidth="1"/>
    <col min="10505" max="10505" width="14.625" style="328" customWidth="1"/>
    <col min="10506" max="10506" width="9" style="328"/>
    <col min="10507" max="10507" width="10.5" style="328" bestFit="1" customWidth="1"/>
    <col min="10508" max="10750" width="9" style="328"/>
    <col min="10751" max="10751" width="4.375" style="328" customWidth="1"/>
    <col min="10752" max="10752" width="7.25" style="328" customWidth="1"/>
    <col min="10753" max="10753" width="8" style="328" customWidth="1"/>
    <col min="10754" max="10754" width="8.75" style="328" customWidth="1"/>
    <col min="10755" max="10755" width="12.625" style="328" customWidth="1"/>
    <col min="10756" max="10756" width="30.25" style="328" customWidth="1"/>
    <col min="10757" max="10757" width="6.75" style="328" customWidth="1"/>
    <col min="10758" max="10758" width="7.5" style="328" customWidth="1"/>
    <col min="10759" max="10759" width="11.25" style="328" customWidth="1"/>
    <col min="10760" max="10760" width="12.5" style="328" customWidth="1"/>
    <col min="10761" max="10761" width="14.625" style="328" customWidth="1"/>
    <col min="10762" max="10762" width="9" style="328"/>
    <col min="10763" max="10763" width="10.5" style="328" bestFit="1" customWidth="1"/>
    <col min="10764" max="11006" width="9" style="328"/>
    <col min="11007" max="11007" width="4.375" style="328" customWidth="1"/>
    <col min="11008" max="11008" width="7.25" style="328" customWidth="1"/>
    <col min="11009" max="11009" width="8" style="328" customWidth="1"/>
    <col min="11010" max="11010" width="8.75" style="328" customWidth="1"/>
    <col min="11011" max="11011" width="12.625" style="328" customWidth="1"/>
    <col min="11012" max="11012" width="30.25" style="328" customWidth="1"/>
    <col min="11013" max="11013" width="6.75" style="328" customWidth="1"/>
    <col min="11014" max="11014" width="7.5" style="328" customWidth="1"/>
    <col min="11015" max="11015" width="11.25" style="328" customWidth="1"/>
    <col min="11016" max="11016" width="12.5" style="328" customWidth="1"/>
    <col min="11017" max="11017" width="14.625" style="328" customWidth="1"/>
    <col min="11018" max="11018" width="9" style="328"/>
    <col min="11019" max="11019" width="10.5" style="328" bestFit="1" customWidth="1"/>
    <col min="11020" max="11262" width="9" style="328"/>
    <col min="11263" max="11263" width="4.375" style="328" customWidth="1"/>
    <col min="11264" max="11264" width="7.25" style="328" customWidth="1"/>
    <col min="11265" max="11265" width="8" style="328" customWidth="1"/>
    <col min="11266" max="11266" width="8.75" style="328" customWidth="1"/>
    <col min="11267" max="11267" width="12.625" style="328" customWidth="1"/>
    <col min="11268" max="11268" width="30.25" style="328" customWidth="1"/>
    <col min="11269" max="11269" width="6.75" style="328" customWidth="1"/>
    <col min="11270" max="11270" width="7.5" style="328" customWidth="1"/>
    <col min="11271" max="11271" width="11.25" style="328" customWidth="1"/>
    <col min="11272" max="11272" width="12.5" style="328" customWidth="1"/>
    <col min="11273" max="11273" width="14.625" style="328" customWidth="1"/>
    <col min="11274" max="11274" width="9" style="328"/>
    <col min="11275" max="11275" width="10.5" style="328" bestFit="1" customWidth="1"/>
    <col min="11276" max="11518" width="9" style="328"/>
    <col min="11519" max="11519" width="4.375" style="328" customWidth="1"/>
    <col min="11520" max="11520" width="7.25" style="328" customWidth="1"/>
    <col min="11521" max="11521" width="8" style="328" customWidth="1"/>
    <col min="11522" max="11522" width="8.75" style="328" customWidth="1"/>
    <col min="11523" max="11523" width="12.625" style="328" customWidth="1"/>
    <col min="11524" max="11524" width="30.25" style="328" customWidth="1"/>
    <col min="11525" max="11525" width="6.75" style="328" customWidth="1"/>
    <col min="11526" max="11526" width="7.5" style="328" customWidth="1"/>
    <col min="11527" max="11527" width="11.25" style="328" customWidth="1"/>
    <col min="11528" max="11528" width="12.5" style="328" customWidth="1"/>
    <col min="11529" max="11529" width="14.625" style="328" customWidth="1"/>
    <col min="11530" max="11530" width="9" style="328"/>
    <col min="11531" max="11531" width="10.5" style="328" bestFit="1" customWidth="1"/>
    <col min="11532" max="11774" width="9" style="328"/>
    <col min="11775" max="11775" width="4.375" style="328" customWidth="1"/>
    <col min="11776" max="11776" width="7.25" style="328" customWidth="1"/>
    <col min="11777" max="11777" width="8" style="328" customWidth="1"/>
    <col min="11778" max="11778" width="8.75" style="328" customWidth="1"/>
    <col min="11779" max="11779" width="12.625" style="328" customWidth="1"/>
    <col min="11780" max="11780" width="30.25" style="328" customWidth="1"/>
    <col min="11781" max="11781" width="6.75" style="328" customWidth="1"/>
    <col min="11782" max="11782" width="7.5" style="328" customWidth="1"/>
    <col min="11783" max="11783" width="11.25" style="328" customWidth="1"/>
    <col min="11784" max="11784" width="12.5" style="328" customWidth="1"/>
    <col min="11785" max="11785" width="14.625" style="328" customWidth="1"/>
    <col min="11786" max="11786" width="9" style="328"/>
    <col min="11787" max="11787" width="10.5" style="328" bestFit="1" customWidth="1"/>
    <col min="11788" max="12030" width="9" style="328"/>
    <col min="12031" max="12031" width="4.375" style="328" customWidth="1"/>
    <col min="12032" max="12032" width="7.25" style="328" customWidth="1"/>
    <col min="12033" max="12033" width="8" style="328" customWidth="1"/>
    <col min="12034" max="12034" width="8.75" style="328" customWidth="1"/>
    <col min="12035" max="12035" width="12.625" style="328" customWidth="1"/>
    <col min="12036" max="12036" width="30.25" style="328" customWidth="1"/>
    <col min="12037" max="12037" width="6.75" style="328" customWidth="1"/>
    <col min="12038" max="12038" width="7.5" style="328" customWidth="1"/>
    <col min="12039" max="12039" width="11.25" style="328" customWidth="1"/>
    <col min="12040" max="12040" width="12.5" style="328" customWidth="1"/>
    <col min="12041" max="12041" width="14.625" style="328" customWidth="1"/>
    <col min="12042" max="12042" width="9" style="328"/>
    <col min="12043" max="12043" width="10.5" style="328" bestFit="1" customWidth="1"/>
    <col min="12044" max="12286" width="9" style="328"/>
    <col min="12287" max="12287" width="4.375" style="328" customWidth="1"/>
    <col min="12288" max="12288" width="7.25" style="328" customWidth="1"/>
    <col min="12289" max="12289" width="8" style="328" customWidth="1"/>
    <col min="12290" max="12290" width="8.75" style="328" customWidth="1"/>
    <col min="12291" max="12291" width="12.625" style="328" customWidth="1"/>
    <col min="12292" max="12292" width="30.25" style="328" customWidth="1"/>
    <col min="12293" max="12293" width="6.75" style="328" customWidth="1"/>
    <col min="12294" max="12294" width="7.5" style="328" customWidth="1"/>
    <col min="12295" max="12295" width="11.25" style="328" customWidth="1"/>
    <col min="12296" max="12296" width="12.5" style="328" customWidth="1"/>
    <col min="12297" max="12297" width="14.625" style="328" customWidth="1"/>
    <col min="12298" max="12298" width="9" style="328"/>
    <col min="12299" max="12299" width="10.5" style="328" bestFit="1" customWidth="1"/>
    <col min="12300" max="12542" width="9" style="328"/>
    <col min="12543" max="12543" width="4.375" style="328" customWidth="1"/>
    <col min="12544" max="12544" width="7.25" style="328" customWidth="1"/>
    <col min="12545" max="12545" width="8" style="328" customWidth="1"/>
    <col min="12546" max="12546" width="8.75" style="328" customWidth="1"/>
    <col min="12547" max="12547" width="12.625" style="328" customWidth="1"/>
    <col min="12548" max="12548" width="30.25" style="328" customWidth="1"/>
    <col min="12549" max="12549" width="6.75" style="328" customWidth="1"/>
    <col min="12550" max="12550" width="7.5" style="328" customWidth="1"/>
    <col min="12551" max="12551" width="11.25" style="328" customWidth="1"/>
    <col min="12552" max="12552" width="12.5" style="328" customWidth="1"/>
    <col min="12553" max="12553" width="14.625" style="328" customWidth="1"/>
    <col min="12554" max="12554" width="9" style="328"/>
    <col min="12555" max="12555" width="10.5" style="328" bestFit="1" customWidth="1"/>
    <col min="12556" max="12798" width="9" style="328"/>
    <col min="12799" max="12799" width="4.375" style="328" customWidth="1"/>
    <col min="12800" max="12800" width="7.25" style="328" customWidth="1"/>
    <col min="12801" max="12801" width="8" style="328" customWidth="1"/>
    <col min="12802" max="12802" width="8.75" style="328" customWidth="1"/>
    <col min="12803" max="12803" width="12.625" style="328" customWidth="1"/>
    <col min="12804" max="12804" width="30.25" style="328" customWidth="1"/>
    <col min="12805" max="12805" width="6.75" style="328" customWidth="1"/>
    <col min="12806" max="12806" width="7.5" style="328" customWidth="1"/>
    <col min="12807" max="12807" width="11.25" style="328" customWidth="1"/>
    <col min="12808" max="12808" width="12.5" style="328" customWidth="1"/>
    <col min="12809" max="12809" width="14.625" style="328" customWidth="1"/>
    <col min="12810" max="12810" width="9" style="328"/>
    <col min="12811" max="12811" width="10.5" style="328" bestFit="1" customWidth="1"/>
    <col min="12812" max="13054" width="9" style="328"/>
    <col min="13055" max="13055" width="4.375" style="328" customWidth="1"/>
    <col min="13056" max="13056" width="7.25" style="328" customWidth="1"/>
    <col min="13057" max="13057" width="8" style="328" customWidth="1"/>
    <col min="13058" max="13058" width="8.75" style="328" customWidth="1"/>
    <col min="13059" max="13059" width="12.625" style="328" customWidth="1"/>
    <col min="13060" max="13060" width="30.25" style="328" customWidth="1"/>
    <col min="13061" max="13061" width="6.75" style="328" customWidth="1"/>
    <col min="13062" max="13062" width="7.5" style="328" customWidth="1"/>
    <col min="13063" max="13063" width="11.25" style="328" customWidth="1"/>
    <col min="13064" max="13064" width="12.5" style="328" customWidth="1"/>
    <col min="13065" max="13065" width="14.625" style="328" customWidth="1"/>
    <col min="13066" max="13066" width="9" style="328"/>
    <col min="13067" max="13067" width="10.5" style="328" bestFit="1" customWidth="1"/>
    <col min="13068" max="13310" width="9" style="328"/>
    <col min="13311" max="13311" width="4.375" style="328" customWidth="1"/>
    <col min="13312" max="13312" width="7.25" style="328" customWidth="1"/>
    <col min="13313" max="13313" width="8" style="328" customWidth="1"/>
    <col min="13314" max="13314" width="8.75" style="328" customWidth="1"/>
    <col min="13315" max="13315" width="12.625" style="328" customWidth="1"/>
    <col min="13316" max="13316" width="30.25" style="328" customWidth="1"/>
    <col min="13317" max="13317" width="6.75" style="328" customWidth="1"/>
    <col min="13318" max="13318" width="7.5" style="328" customWidth="1"/>
    <col min="13319" max="13319" width="11.25" style="328" customWidth="1"/>
    <col min="13320" max="13320" width="12.5" style="328" customWidth="1"/>
    <col min="13321" max="13321" width="14.625" style="328" customWidth="1"/>
    <col min="13322" max="13322" width="9" style="328"/>
    <col min="13323" max="13323" width="10.5" style="328" bestFit="1" customWidth="1"/>
    <col min="13324" max="13566" width="9" style="328"/>
    <col min="13567" max="13567" width="4.375" style="328" customWidth="1"/>
    <col min="13568" max="13568" width="7.25" style="328" customWidth="1"/>
    <col min="13569" max="13569" width="8" style="328" customWidth="1"/>
    <col min="13570" max="13570" width="8.75" style="328" customWidth="1"/>
    <col min="13571" max="13571" width="12.625" style="328" customWidth="1"/>
    <col min="13572" max="13572" width="30.25" style="328" customWidth="1"/>
    <col min="13573" max="13573" width="6.75" style="328" customWidth="1"/>
    <col min="13574" max="13574" width="7.5" style="328" customWidth="1"/>
    <col min="13575" max="13575" width="11.25" style="328" customWidth="1"/>
    <col min="13576" max="13576" width="12.5" style="328" customWidth="1"/>
    <col min="13577" max="13577" width="14.625" style="328" customWidth="1"/>
    <col min="13578" max="13578" width="9" style="328"/>
    <col min="13579" max="13579" width="10.5" style="328" bestFit="1" customWidth="1"/>
    <col min="13580" max="13822" width="9" style="328"/>
    <col min="13823" max="13823" width="4.375" style="328" customWidth="1"/>
    <col min="13824" max="13824" width="7.25" style="328" customWidth="1"/>
    <col min="13825" max="13825" width="8" style="328" customWidth="1"/>
    <col min="13826" max="13826" width="8.75" style="328" customWidth="1"/>
    <col min="13827" max="13827" width="12.625" style="328" customWidth="1"/>
    <col min="13828" max="13828" width="30.25" style="328" customWidth="1"/>
    <col min="13829" max="13829" width="6.75" style="328" customWidth="1"/>
    <col min="13830" max="13830" width="7.5" style="328" customWidth="1"/>
    <col min="13831" max="13831" width="11.25" style="328" customWidth="1"/>
    <col min="13832" max="13832" width="12.5" style="328" customWidth="1"/>
    <col min="13833" max="13833" width="14.625" style="328" customWidth="1"/>
    <col min="13834" max="13834" width="9" style="328"/>
    <col min="13835" max="13835" width="10.5" style="328" bestFit="1" customWidth="1"/>
    <col min="13836" max="14078" width="9" style="328"/>
    <col min="14079" max="14079" width="4.375" style="328" customWidth="1"/>
    <col min="14080" max="14080" width="7.25" style="328" customWidth="1"/>
    <col min="14081" max="14081" width="8" style="328" customWidth="1"/>
    <col min="14082" max="14082" width="8.75" style="328" customWidth="1"/>
    <col min="14083" max="14083" width="12.625" style="328" customWidth="1"/>
    <col min="14084" max="14084" width="30.25" style="328" customWidth="1"/>
    <col min="14085" max="14085" width="6.75" style="328" customWidth="1"/>
    <col min="14086" max="14086" width="7.5" style="328" customWidth="1"/>
    <col min="14087" max="14087" width="11.25" style="328" customWidth="1"/>
    <col min="14088" max="14088" width="12.5" style="328" customWidth="1"/>
    <col min="14089" max="14089" width="14.625" style="328" customWidth="1"/>
    <col min="14090" max="14090" width="9" style="328"/>
    <col min="14091" max="14091" width="10.5" style="328" bestFit="1" customWidth="1"/>
    <col min="14092" max="14334" width="9" style="328"/>
    <col min="14335" max="14335" width="4.375" style="328" customWidth="1"/>
    <col min="14336" max="14336" width="7.25" style="328" customWidth="1"/>
    <col min="14337" max="14337" width="8" style="328" customWidth="1"/>
    <col min="14338" max="14338" width="8.75" style="328" customWidth="1"/>
    <col min="14339" max="14339" width="12.625" style="328" customWidth="1"/>
    <col min="14340" max="14340" width="30.25" style="328" customWidth="1"/>
    <col min="14341" max="14341" width="6.75" style="328" customWidth="1"/>
    <col min="14342" max="14342" width="7.5" style="328" customWidth="1"/>
    <col min="14343" max="14343" width="11.25" style="328" customWidth="1"/>
    <col min="14344" max="14344" width="12.5" style="328" customWidth="1"/>
    <col min="14345" max="14345" width="14.625" style="328" customWidth="1"/>
    <col min="14346" max="14346" width="9" style="328"/>
    <col min="14347" max="14347" width="10.5" style="328" bestFit="1" customWidth="1"/>
    <col min="14348" max="14590" width="9" style="328"/>
    <col min="14591" max="14591" width="4.375" style="328" customWidth="1"/>
    <col min="14592" max="14592" width="7.25" style="328" customWidth="1"/>
    <col min="14593" max="14593" width="8" style="328" customWidth="1"/>
    <col min="14594" max="14594" width="8.75" style="328" customWidth="1"/>
    <col min="14595" max="14595" width="12.625" style="328" customWidth="1"/>
    <col min="14596" max="14596" width="30.25" style="328" customWidth="1"/>
    <col min="14597" max="14597" width="6.75" style="328" customWidth="1"/>
    <col min="14598" max="14598" width="7.5" style="328" customWidth="1"/>
    <col min="14599" max="14599" width="11.25" style="328" customWidth="1"/>
    <col min="14600" max="14600" width="12.5" style="328" customWidth="1"/>
    <col min="14601" max="14601" width="14.625" style="328" customWidth="1"/>
    <col min="14602" max="14602" width="9" style="328"/>
    <col min="14603" max="14603" width="10.5" style="328" bestFit="1" customWidth="1"/>
    <col min="14604" max="14846" width="9" style="328"/>
    <col min="14847" max="14847" width="4.375" style="328" customWidth="1"/>
    <col min="14848" max="14848" width="7.25" style="328" customWidth="1"/>
    <col min="14849" max="14849" width="8" style="328" customWidth="1"/>
    <col min="14850" max="14850" width="8.75" style="328" customWidth="1"/>
    <col min="14851" max="14851" width="12.625" style="328" customWidth="1"/>
    <col min="14852" max="14852" width="30.25" style="328" customWidth="1"/>
    <col min="14853" max="14853" width="6.75" style="328" customWidth="1"/>
    <col min="14854" max="14854" width="7.5" style="328" customWidth="1"/>
    <col min="14855" max="14855" width="11.25" style="328" customWidth="1"/>
    <col min="14856" max="14856" width="12.5" style="328" customWidth="1"/>
    <col min="14857" max="14857" width="14.625" style="328" customWidth="1"/>
    <col min="14858" max="14858" width="9" style="328"/>
    <col min="14859" max="14859" width="10.5" style="328" bestFit="1" customWidth="1"/>
    <col min="14860" max="15102" width="9" style="328"/>
    <col min="15103" max="15103" width="4.375" style="328" customWidth="1"/>
    <col min="15104" max="15104" width="7.25" style="328" customWidth="1"/>
    <col min="15105" max="15105" width="8" style="328" customWidth="1"/>
    <col min="15106" max="15106" width="8.75" style="328" customWidth="1"/>
    <col min="15107" max="15107" width="12.625" style="328" customWidth="1"/>
    <col min="15108" max="15108" width="30.25" style="328" customWidth="1"/>
    <col min="15109" max="15109" width="6.75" style="328" customWidth="1"/>
    <col min="15110" max="15110" width="7.5" style="328" customWidth="1"/>
    <col min="15111" max="15111" width="11.25" style="328" customWidth="1"/>
    <col min="15112" max="15112" width="12.5" style="328" customWidth="1"/>
    <col min="15113" max="15113" width="14.625" style="328" customWidth="1"/>
    <col min="15114" max="15114" width="9" style="328"/>
    <col min="15115" max="15115" width="10.5" style="328" bestFit="1" customWidth="1"/>
    <col min="15116" max="15358" width="9" style="328"/>
    <col min="15359" max="15359" width="4.375" style="328" customWidth="1"/>
    <col min="15360" max="15360" width="7.25" style="328" customWidth="1"/>
    <col min="15361" max="15361" width="8" style="328" customWidth="1"/>
    <col min="15362" max="15362" width="8.75" style="328" customWidth="1"/>
    <col min="15363" max="15363" width="12.625" style="328" customWidth="1"/>
    <col min="15364" max="15364" width="30.25" style="328" customWidth="1"/>
    <col min="15365" max="15365" width="6.75" style="328" customWidth="1"/>
    <col min="15366" max="15366" width="7.5" style="328" customWidth="1"/>
    <col min="15367" max="15367" width="11.25" style="328" customWidth="1"/>
    <col min="15368" max="15368" width="12.5" style="328" customWidth="1"/>
    <col min="15369" max="15369" width="14.625" style="328" customWidth="1"/>
    <col min="15370" max="15370" width="9" style="328"/>
    <col min="15371" max="15371" width="10.5" style="328" bestFit="1" customWidth="1"/>
    <col min="15372" max="15614" width="9" style="328"/>
    <col min="15615" max="15615" width="4.375" style="328" customWidth="1"/>
    <col min="15616" max="15616" width="7.25" style="328" customWidth="1"/>
    <col min="15617" max="15617" width="8" style="328" customWidth="1"/>
    <col min="15618" max="15618" width="8.75" style="328" customWidth="1"/>
    <col min="15619" max="15619" width="12.625" style="328" customWidth="1"/>
    <col min="15620" max="15620" width="30.25" style="328" customWidth="1"/>
    <col min="15621" max="15621" width="6.75" style="328" customWidth="1"/>
    <col min="15622" max="15622" width="7.5" style="328" customWidth="1"/>
    <col min="15623" max="15623" width="11.25" style="328" customWidth="1"/>
    <col min="15624" max="15624" width="12.5" style="328" customWidth="1"/>
    <col min="15625" max="15625" width="14.625" style="328" customWidth="1"/>
    <col min="15626" max="15626" width="9" style="328"/>
    <col min="15627" max="15627" width="10.5" style="328" bestFit="1" customWidth="1"/>
    <col min="15628" max="15870" width="9" style="328"/>
    <col min="15871" max="15871" width="4.375" style="328" customWidth="1"/>
    <col min="15872" max="15872" width="7.25" style="328" customWidth="1"/>
    <col min="15873" max="15873" width="8" style="328" customWidth="1"/>
    <col min="15874" max="15874" width="8.75" style="328" customWidth="1"/>
    <col min="15875" max="15875" width="12.625" style="328" customWidth="1"/>
    <col min="15876" max="15876" width="30.25" style="328" customWidth="1"/>
    <col min="15877" max="15877" width="6.75" style="328" customWidth="1"/>
    <col min="15878" max="15878" width="7.5" style="328" customWidth="1"/>
    <col min="15879" max="15879" width="11.25" style="328" customWidth="1"/>
    <col min="15880" max="15880" width="12.5" style="328" customWidth="1"/>
    <col min="15881" max="15881" width="14.625" style="328" customWidth="1"/>
    <col min="15882" max="15882" width="9" style="328"/>
    <col min="15883" max="15883" width="10.5" style="328" bestFit="1" customWidth="1"/>
    <col min="15884" max="16126" width="9" style="328"/>
    <col min="16127" max="16127" width="4.375" style="328" customWidth="1"/>
    <col min="16128" max="16128" width="7.25" style="328" customWidth="1"/>
    <col min="16129" max="16129" width="8" style="328" customWidth="1"/>
    <col min="16130" max="16130" width="8.75" style="328" customWidth="1"/>
    <col min="16131" max="16131" width="12.625" style="328" customWidth="1"/>
    <col min="16132" max="16132" width="30.25" style="328" customWidth="1"/>
    <col min="16133" max="16133" width="6.75" style="328" customWidth="1"/>
    <col min="16134" max="16134" width="7.5" style="328" customWidth="1"/>
    <col min="16135" max="16135" width="11.25" style="328" customWidth="1"/>
    <col min="16136" max="16136" width="12.5" style="328" customWidth="1"/>
    <col min="16137" max="16137" width="14.625" style="328" customWidth="1"/>
    <col min="16138" max="16138" width="9" style="328"/>
    <col min="16139" max="16139" width="10.5" style="328" bestFit="1" customWidth="1"/>
    <col min="16140" max="16384" width="9" style="328"/>
  </cols>
  <sheetData>
    <row r="1" spans="1:10" ht="35.1" customHeight="1">
      <c r="A1" s="1444" t="s">
        <v>1192</v>
      </c>
      <c r="B1" s="1444"/>
      <c r="C1" s="1444"/>
      <c r="D1" s="1444"/>
      <c r="E1" s="1444"/>
      <c r="F1" s="1444"/>
      <c r="G1" s="1444"/>
      <c r="H1" s="1444"/>
      <c r="I1" s="1444"/>
      <c r="J1" s="1444"/>
    </row>
    <row r="2" spans="1:10" s="331" customFormat="1" ht="20.100000000000001" customHeight="1">
      <c r="A2" s="365" t="s">
        <v>0</v>
      </c>
      <c r="B2" s="365" t="s">
        <v>1085</v>
      </c>
      <c r="C2" s="365" t="s">
        <v>1086</v>
      </c>
      <c r="D2" s="365" t="s">
        <v>1087</v>
      </c>
      <c r="E2" s="365" t="s">
        <v>1088</v>
      </c>
      <c r="F2" s="365" t="s">
        <v>129</v>
      </c>
      <c r="G2" s="365" t="s">
        <v>1089</v>
      </c>
      <c r="H2" s="365" t="s">
        <v>1090</v>
      </c>
      <c r="I2" s="340" t="s">
        <v>1091</v>
      </c>
      <c r="J2" s="307" t="s">
        <v>1395</v>
      </c>
    </row>
    <row r="3" spans="1:10" s="331" customFormat="1" ht="20.100000000000001" customHeight="1">
      <c r="A3" s="1435">
        <v>1</v>
      </c>
      <c r="B3" s="1428" t="s">
        <v>1611</v>
      </c>
      <c r="C3" s="1428" t="s">
        <v>1612</v>
      </c>
      <c r="D3" s="1428" t="s">
        <v>1613</v>
      </c>
      <c r="E3" s="310" t="s">
        <v>1614</v>
      </c>
      <c r="F3" s="310" t="s">
        <v>1476</v>
      </c>
      <c r="G3" s="310">
        <v>900</v>
      </c>
      <c r="H3" s="310">
        <v>150</v>
      </c>
      <c r="I3" s="332">
        <f>G3*H3</f>
        <v>135000</v>
      </c>
      <c r="J3" s="380">
        <f>ROUND(I3*0.95,0)</f>
        <v>128250</v>
      </c>
    </row>
    <row r="4" spans="1:10" s="309" customFormat="1" ht="20.100000000000001" customHeight="1">
      <c r="A4" s="1435"/>
      <c r="B4" s="1428"/>
      <c r="C4" s="1428"/>
      <c r="D4" s="1428"/>
      <c r="E4" s="316" t="s">
        <v>1412</v>
      </c>
      <c r="F4" s="310" t="s">
        <v>1093</v>
      </c>
      <c r="G4" s="310">
        <f>G3</f>
        <v>900</v>
      </c>
      <c r="H4" s="310">
        <v>20</v>
      </c>
      <c r="I4" s="332">
        <f>G4*H4</f>
        <v>18000</v>
      </c>
      <c r="J4" s="380">
        <f t="shared" ref="J4:J38" si="0">ROUND(I4*0.95,0)</f>
        <v>17100</v>
      </c>
    </row>
    <row r="5" spans="1:10" s="331" customFormat="1" ht="20.100000000000001" customHeight="1">
      <c r="A5" s="1435"/>
      <c r="B5" s="1428"/>
      <c r="C5" s="1428"/>
      <c r="D5" s="1428" t="s">
        <v>1615</v>
      </c>
      <c r="E5" s="310" t="s">
        <v>1478</v>
      </c>
      <c r="F5" s="310" t="s">
        <v>1476</v>
      </c>
      <c r="G5" s="310">
        <v>1000</v>
      </c>
      <c r="H5" s="310">
        <v>300</v>
      </c>
      <c r="I5" s="332">
        <f>G5*H5</f>
        <v>300000</v>
      </c>
      <c r="J5" s="380">
        <f t="shared" si="0"/>
        <v>285000</v>
      </c>
    </row>
    <row r="6" spans="1:10" s="333" customFormat="1" ht="20.100000000000001" customHeight="1">
      <c r="A6" s="1435"/>
      <c r="B6" s="1428"/>
      <c r="C6" s="1428"/>
      <c r="D6" s="1428"/>
      <c r="E6" s="310" t="s">
        <v>1102</v>
      </c>
      <c r="F6" s="310" t="s">
        <v>1476</v>
      </c>
      <c r="G6" s="310">
        <f>G5</f>
        <v>1000</v>
      </c>
      <c r="H6" s="310">
        <v>30</v>
      </c>
      <c r="I6" s="311">
        <f>G6*H6</f>
        <v>30000</v>
      </c>
      <c r="J6" s="380">
        <f t="shared" si="0"/>
        <v>28500</v>
      </c>
    </row>
    <row r="7" spans="1:10" s="336" customFormat="1" ht="20.100000000000001" customHeight="1">
      <c r="A7" s="1435"/>
      <c r="B7" s="1428"/>
      <c r="C7" s="1428"/>
      <c r="D7" s="310"/>
      <c r="E7" s="310" t="s">
        <v>1097</v>
      </c>
      <c r="F7" s="310"/>
      <c r="G7" s="310"/>
      <c r="H7" s="311"/>
      <c r="I7" s="312">
        <f>SUM(I3:I6)</f>
        <v>483000</v>
      </c>
      <c r="J7" s="380">
        <f t="shared" si="0"/>
        <v>458850</v>
      </c>
    </row>
    <row r="8" spans="1:10" s="336" customFormat="1" ht="20.100000000000001" customHeight="1">
      <c r="A8" s="1435"/>
      <c r="B8" s="1428"/>
      <c r="C8" s="1428"/>
      <c r="D8" s="310"/>
      <c r="E8" s="310" t="s">
        <v>1408</v>
      </c>
      <c r="F8" s="310"/>
      <c r="G8" s="310"/>
      <c r="H8" s="315"/>
      <c r="I8" s="312">
        <f>I7*0.1</f>
        <v>48300</v>
      </c>
      <c r="J8" s="380">
        <f t="shared" si="0"/>
        <v>45885</v>
      </c>
    </row>
    <row r="9" spans="1:10" s="336" customFormat="1" ht="20.100000000000001" customHeight="1">
      <c r="A9" s="1435"/>
      <c r="B9" s="1428"/>
      <c r="C9" s="1428"/>
      <c r="D9" s="310"/>
      <c r="E9" s="310" t="s">
        <v>1409</v>
      </c>
      <c r="F9" s="310"/>
      <c r="G9" s="310"/>
      <c r="H9" s="311"/>
      <c r="I9" s="312">
        <f>(I7+I8)*0.05</f>
        <v>26565</v>
      </c>
      <c r="J9" s="380">
        <f t="shared" si="0"/>
        <v>25237</v>
      </c>
    </row>
    <row r="10" spans="1:10" s="331" customFormat="1" ht="20.100000000000001" customHeight="1">
      <c r="A10" s="1435"/>
      <c r="B10" s="1428"/>
      <c r="C10" s="1428"/>
      <c r="D10" s="358"/>
      <c r="E10" s="304" t="s">
        <v>1415</v>
      </c>
      <c r="F10" s="310" t="s">
        <v>1416</v>
      </c>
      <c r="G10" s="310">
        <v>1</v>
      </c>
      <c r="H10" s="310">
        <v>30000</v>
      </c>
      <c r="I10" s="332">
        <f>H10</f>
        <v>30000</v>
      </c>
      <c r="J10" s="380">
        <f t="shared" si="0"/>
        <v>28500</v>
      </c>
    </row>
    <row r="11" spans="1:10" s="331" customFormat="1" ht="20.100000000000001" customHeight="1">
      <c r="A11" s="1435"/>
      <c r="B11" s="1428"/>
      <c r="C11" s="1428"/>
      <c r="D11" s="365"/>
      <c r="E11" s="365" t="s">
        <v>1410</v>
      </c>
      <c r="F11" s="310"/>
      <c r="G11" s="310"/>
      <c r="H11" s="310"/>
      <c r="I11" s="306">
        <f>ROUNDUP(I7+I8+I9+I10,0)</f>
        <v>587865</v>
      </c>
      <c r="J11" s="380">
        <f t="shared" si="0"/>
        <v>558472</v>
      </c>
    </row>
    <row r="12" spans="1:10" s="331" customFormat="1" ht="20.100000000000001" customHeight="1">
      <c r="A12" s="1435">
        <v>2</v>
      </c>
      <c r="B12" s="1428" t="s">
        <v>1616</v>
      </c>
      <c r="C12" s="1428" t="s">
        <v>1617</v>
      </c>
      <c r="D12" s="1428" t="s">
        <v>1610</v>
      </c>
      <c r="E12" s="310" t="s">
        <v>1618</v>
      </c>
      <c r="F12" s="310" t="s">
        <v>1619</v>
      </c>
      <c r="G12" s="310">
        <v>3315</v>
      </c>
      <c r="H12" s="310">
        <v>350</v>
      </c>
      <c r="I12" s="310">
        <f>SUM(G12*H12)</f>
        <v>1160250</v>
      </c>
      <c r="J12" s="380">
        <f t="shared" si="0"/>
        <v>1102238</v>
      </c>
    </row>
    <row r="13" spans="1:10" s="309" customFormat="1" ht="20.100000000000001" customHeight="1">
      <c r="A13" s="1435"/>
      <c r="B13" s="1428"/>
      <c r="C13" s="1428"/>
      <c r="D13" s="1428"/>
      <c r="E13" s="316" t="s">
        <v>1412</v>
      </c>
      <c r="F13" s="310" t="s">
        <v>1093</v>
      </c>
      <c r="G13" s="310">
        <f>G12</f>
        <v>3315</v>
      </c>
      <c r="H13" s="310">
        <v>50</v>
      </c>
      <c r="I13" s="310">
        <f>SUM(G13*H13)</f>
        <v>165750</v>
      </c>
      <c r="J13" s="380">
        <f t="shared" si="0"/>
        <v>157463</v>
      </c>
    </row>
    <row r="14" spans="1:10" s="336" customFormat="1" ht="20.100000000000001" customHeight="1">
      <c r="A14" s="1435"/>
      <c r="B14" s="1428"/>
      <c r="C14" s="1428"/>
      <c r="D14" s="1428"/>
      <c r="E14" s="310" t="s">
        <v>1097</v>
      </c>
      <c r="F14" s="310"/>
      <c r="G14" s="310"/>
      <c r="H14" s="311"/>
      <c r="I14" s="312">
        <f>SUM(I12:I13)</f>
        <v>1326000</v>
      </c>
      <c r="J14" s="380">
        <f t="shared" si="0"/>
        <v>1259700</v>
      </c>
    </row>
    <row r="15" spans="1:10" s="336" customFormat="1" ht="20.100000000000001" customHeight="1">
      <c r="A15" s="1435"/>
      <c r="B15" s="1428"/>
      <c r="C15" s="1428"/>
      <c r="D15" s="310"/>
      <c r="E15" s="310" t="s">
        <v>1408</v>
      </c>
      <c r="F15" s="310"/>
      <c r="G15" s="310"/>
      <c r="H15" s="315"/>
      <c r="I15" s="312">
        <f>I14*0.1</f>
        <v>132600</v>
      </c>
      <c r="J15" s="380">
        <f t="shared" si="0"/>
        <v>125970</v>
      </c>
    </row>
    <row r="16" spans="1:10" s="336" customFormat="1" ht="20.100000000000001" customHeight="1">
      <c r="A16" s="1435"/>
      <c r="B16" s="1428"/>
      <c r="C16" s="1428"/>
      <c r="D16" s="310"/>
      <c r="E16" s="310" t="s">
        <v>1409</v>
      </c>
      <c r="F16" s="310"/>
      <c r="G16" s="310"/>
      <c r="H16" s="311"/>
      <c r="I16" s="312">
        <f>(I14+I15)*0.05</f>
        <v>72930</v>
      </c>
      <c r="J16" s="380">
        <f t="shared" si="0"/>
        <v>69284</v>
      </c>
    </row>
    <row r="17" spans="1:10" s="331" customFormat="1" ht="20.100000000000001" customHeight="1">
      <c r="A17" s="1435"/>
      <c r="B17" s="1428"/>
      <c r="C17" s="1428"/>
      <c r="D17" s="365"/>
      <c r="E17" s="310" t="s">
        <v>1410</v>
      </c>
      <c r="F17" s="310"/>
      <c r="G17" s="310"/>
      <c r="H17" s="310"/>
      <c r="I17" s="306">
        <f>ROUNDUP(I14+I15+I16,0)</f>
        <v>1531530</v>
      </c>
      <c r="J17" s="380">
        <f t="shared" si="0"/>
        <v>1454954</v>
      </c>
    </row>
    <row r="18" spans="1:10" s="384" customFormat="1" ht="20.100000000000001" customHeight="1">
      <c r="A18" s="1442">
        <v>3</v>
      </c>
      <c r="B18" s="1442" t="s">
        <v>1620</v>
      </c>
      <c r="C18" s="1442" t="s">
        <v>1621</v>
      </c>
      <c r="D18" s="1443" t="s">
        <v>1411</v>
      </c>
      <c r="E18" s="381" t="s">
        <v>1622</v>
      </c>
      <c r="F18" s="382" t="s">
        <v>1416</v>
      </c>
      <c r="G18" s="382">
        <v>1</v>
      </c>
      <c r="H18" s="382">
        <v>20000</v>
      </c>
      <c r="I18" s="383">
        <f t="shared" ref="I18" si="1">G18*H18</f>
        <v>20000</v>
      </c>
      <c r="J18" s="380">
        <f t="shared" si="0"/>
        <v>19000</v>
      </c>
    </row>
    <row r="19" spans="1:10" s="384" customFormat="1" ht="20.100000000000001" customHeight="1">
      <c r="A19" s="1442"/>
      <c r="B19" s="1442"/>
      <c r="C19" s="1442"/>
      <c r="D19" s="1443"/>
      <c r="E19" s="381" t="s">
        <v>1623</v>
      </c>
      <c r="F19" s="310" t="s">
        <v>1476</v>
      </c>
      <c r="G19" s="382">
        <v>1120</v>
      </c>
      <c r="H19" s="382">
        <v>400</v>
      </c>
      <c r="I19" s="383">
        <f>G19*H19</f>
        <v>448000</v>
      </c>
      <c r="J19" s="380">
        <f t="shared" si="0"/>
        <v>425600</v>
      </c>
    </row>
    <row r="20" spans="1:10" s="384" customFormat="1" ht="20.100000000000001" customHeight="1">
      <c r="A20" s="1442"/>
      <c r="B20" s="1442"/>
      <c r="C20" s="1442"/>
      <c r="D20" s="1443"/>
      <c r="E20" s="381" t="s">
        <v>1624</v>
      </c>
      <c r="F20" s="310" t="s">
        <v>1476</v>
      </c>
      <c r="G20" s="382">
        <v>560</v>
      </c>
      <c r="H20" s="382">
        <v>800</v>
      </c>
      <c r="I20" s="383">
        <f t="shared" ref="I20:I26" si="2">G20*H20</f>
        <v>448000</v>
      </c>
      <c r="J20" s="380">
        <f t="shared" si="0"/>
        <v>425600</v>
      </c>
    </row>
    <row r="21" spans="1:10" s="384" customFormat="1" ht="20.100000000000001" customHeight="1">
      <c r="A21" s="1442"/>
      <c r="B21" s="1442"/>
      <c r="C21" s="1442"/>
      <c r="D21" s="1443"/>
      <c r="E21" s="381" t="s">
        <v>1625</v>
      </c>
      <c r="F21" s="382" t="s">
        <v>1626</v>
      </c>
      <c r="G21" s="382">
        <v>6</v>
      </c>
      <c r="H21" s="382">
        <v>50000</v>
      </c>
      <c r="I21" s="383">
        <f t="shared" si="2"/>
        <v>300000</v>
      </c>
      <c r="J21" s="380">
        <f t="shared" si="0"/>
        <v>285000</v>
      </c>
    </row>
    <row r="22" spans="1:10" s="384" customFormat="1" ht="20.100000000000001" customHeight="1">
      <c r="A22" s="1442"/>
      <c r="B22" s="1442"/>
      <c r="C22" s="1442"/>
      <c r="D22" s="1443"/>
      <c r="E22" s="381" t="s">
        <v>1627</v>
      </c>
      <c r="F22" s="310" t="s">
        <v>1476</v>
      </c>
      <c r="G22" s="382">
        <v>140</v>
      </c>
      <c r="H22" s="382">
        <v>400</v>
      </c>
      <c r="I22" s="383">
        <f t="shared" si="2"/>
        <v>56000</v>
      </c>
      <c r="J22" s="380">
        <f t="shared" si="0"/>
        <v>53200</v>
      </c>
    </row>
    <row r="23" spans="1:10" s="384" customFormat="1" ht="20.100000000000001" customHeight="1">
      <c r="A23" s="1442"/>
      <c r="B23" s="1442"/>
      <c r="C23" s="1442"/>
      <c r="D23" s="1443"/>
      <c r="E23" s="381" t="s">
        <v>1628</v>
      </c>
      <c r="F23" s="310" t="s">
        <v>1476</v>
      </c>
      <c r="G23" s="382">
        <v>150</v>
      </c>
      <c r="H23" s="382">
        <v>400</v>
      </c>
      <c r="I23" s="383">
        <f t="shared" si="2"/>
        <v>60000</v>
      </c>
      <c r="J23" s="380">
        <f t="shared" si="0"/>
        <v>57000</v>
      </c>
    </row>
    <row r="24" spans="1:10" s="384" customFormat="1" ht="20.100000000000001" customHeight="1">
      <c r="A24" s="1442"/>
      <c r="B24" s="1442"/>
      <c r="C24" s="1442"/>
      <c r="D24" s="1443"/>
      <c r="E24" s="381" t="s">
        <v>1629</v>
      </c>
      <c r="F24" s="310" t="s">
        <v>1476</v>
      </c>
      <c r="G24" s="382">
        <v>96</v>
      </c>
      <c r="H24" s="382">
        <v>800</v>
      </c>
      <c r="I24" s="383">
        <f t="shared" si="2"/>
        <v>76800</v>
      </c>
      <c r="J24" s="380">
        <f t="shared" si="0"/>
        <v>72960</v>
      </c>
    </row>
    <row r="25" spans="1:10" s="384" customFormat="1" ht="20.100000000000001" customHeight="1">
      <c r="A25" s="1442"/>
      <c r="B25" s="1442"/>
      <c r="C25" s="1442"/>
      <c r="D25" s="1443"/>
      <c r="E25" s="381" t="s">
        <v>1630</v>
      </c>
      <c r="F25" s="310" t="s">
        <v>1476</v>
      </c>
      <c r="G25" s="382">
        <v>30</v>
      </c>
      <c r="H25" s="382">
        <v>400</v>
      </c>
      <c r="I25" s="383">
        <f t="shared" si="2"/>
        <v>12000</v>
      </c>
      <c r="J25" s="380">
        <f t="shared" si="0"/>
        <v>11400</v>
      </c>
    </row>
    <row r="26" spans="1:10" s="384" customFormat="1" ht="20.100000000000001" customHeight="1">
      <c r="A26" s="1442"/>
      <c r="B26" s="1442"/>
      <c r="C26" s="1442"/>
      <c r="D26" s="1443"/>
      <c r="E26" s="381" t="s">
        <v>1193</v>
      </c>
      <c r="F26" s="382" t="s">
        <v>1631</v>
      </c>
      <c r="G26" s="382">
        <v>24</v>
      </c>
      <c r="H26" s="382">
        <v>5000</v>
      </c>
      <c r="I26" s="383">
        <f t="shared" si="2"/>
        <v>120000</v>
      </c>
      <c r="J26" s="380">
        <f t="shared" si="0"/>
        <v>114000</v>
      </c>
    </row>
    <row r="27" spans="1:10" s="384" customFormat="1" ht="20.100000000000001" customHeight="1">
      <c r="A27" s="1442"/>
      <c r="B27" s="1442"/>
      <c r="C27" s="1442"/>
      <c r="D27" s="1443"/>
      <c r="E27" s="339" t="s">
        <v>1097</v>
      </c>
      <c r="F27" s="382"/>
      <c r="G27" s="382"/>
      <c r="H27" s="382"/>
      <c r="I27" s="383">
        <f>SUM(I18:I26)</f>
        <v>1540800</v>
      </c>
      <c r="J27" s="380">
        <f t="shared" si="0"/>
        <v>1463760</v>
      </c>
    </row>
    <row r="28" spans="1:10" s="384" customFormat="1" ht="20.100000000000001" customHeight="1">
      <c r="A28" s="1442"/>
      <c r="B28" s="1442"/>
      <c r="C28" s="1442"/>
      <c r="D28" s="1443"/>
      <c r="E28" s="339" t="s">
        <v>1408</v>
      </c>
      <c r="F28" s="382"/>
      <c r="G28" s="382"/>
      <c r="H28" s="382"/>
      <c r="I28" s="383">
        <f>I27*0.1</f>
        <v>154080</v>
      </c>
      <c r="J28" s="380">
        <f t="shared" si="0"/>
        <v>146376</v>
      </c>
    </row>
    <row r="29" spans="1:10" s="384" customFormat="1" ht="20.100000000000001" customHeight="1">
      <c r="A29" s="1442"/>
      <c r="B29" s="1442"/>
      <c r="C29" s="1442"/>
      <c r="D29" s="1443"/>
      <c r="E29" s="339" t="s">
        <v>1409</v>
      </c>
      <c r="F29" s="382"/>
      <c r="G29" s="382"/>
      <c r="H29" s="382"/>
      <c r="I29" s="382">
        <f>(I27+I28)*0.05</f>
        <v>84744</v>
      </c>
      <c r="J29" s="380">
        <f t="shared" si="0"/>
        <v>80507</v>
      </c>
    </row>
    <row r="30" spans="1:10" s="384" customFormat="1" ht="20.100000000000001" customHeight="1">
      <c r="A30" s="1442"/>
      <c r="B30" s="1442"/>
      <c r="C30" s="1442"/>
      <c r="D30" s="385"/>
      <c r="E30" s="339" t="s">
        <v>1410</v>
      </c>
      <c r="F30" s="382"/>
      <c r="G30" s="382"/>
      <c r="H30" s="382"/>
      <c r="I30" s="306">
        <f>ROUNDUP(I27+I28+I29,0)</f>
        <v>1779624</v>
      </c>
      <c r="J30" s="380">
        <f t="shared" si="0"/>
        <v>1690643</v>
      </c>
    </row>
    <row r="31" spans="1:10" s="331" customFormat="1" ht="20.100000000000001" customHeight="1">
      <c r="A31" s="1435">
        <v>4</v>
      </c>
      <c r="B31" s="1428" t="s">
        <v>1632</v>
      </c>
      <c r="C31" s="1428" t="s">
        <v>1633</v>
      </c>
      <c r="D31" s="1428" t="s">
        <v>1615</v>
      </c>
      <c r="E31" s="310" t="s">
        <v>1478</v>
      </c>
      <c r="F31" s="310" t="s">
        <v>1476</v>
      </c>
      <c r="G31" s="310">
        <v>1200</v>
      </c>
      <c r="H31" s="310">
        <v>300</v>
      </c>
      <c r="I31" s="332">
        <f>G31*H31</f>
        <v>360000</v>
      </c>
      <c r="J31" s="380">
        <f t="shared" si="0"/>
        <v>342000</v>
      </c>
    </row>
    <row r="32" spans="1:10" s="333" customFormat="1" ht="20.100000000000001" customHeight="1">
      <c r="A32" s="1435"/>
      <c r="B32" s="1428"/>
      <c r="C32" s="1428"/>
      <c r="D32" s="1428"/>
      <c r="E32" s="310" t="s">
        <v>1102</v>
      </c>
      <c r="F32" s="310" t="s">
        <v>1476</v>
      </c>
      <c r="G32" s="310">
        <f>G31</f>
        <v>1200</v>
      </c>
      <c r="H32" s="310">
        <v>30</v>
      </c>
      <c r="I32" s="311">
        <f>G32*H32</f>
        <v>36000</v>
      </c>
      <c r="J32" s="380">
        <f t="shared" si="0"/>
        <v>34200</v>
      </c>
    </row>
    <row r="33" spans="1:10" s="336" customFormat="1" ht="20.100000000000001" customHeight="1">
      <c r="A33" s="1435"/>
      <c r="B33" s="1428"/>
      <c r="C33" s="1428"/>
      <c r="D33" s="1428"/>
      <c r="E33" s="310" t="s">
        <v>1097</v>
      </c>
      <c r="F33" s="310"/>
      <c r="G33" s="310"/>
      <c r="H33" s="311"/>
      <c r="I33" s="312">
        <f>SUM(I31:I32)</f>
        <v>396000</v>
      </c>
      <c r="J33" s="380">
        <f t="shared" si="0"/>
        <v>376200</v>
      </c>
    </row>
    <row r="34" spans="1:10" s="336" customFormat="1" ht="20.100000000000001" customHeight="1">
      <c r="A34" s="1435"/>
      <c r="B34" s="1428"/>
      <c r="C34" s="1428"/>
      <c r="D34" s="1428"/>
      <c r="E34" s="310" t="s">
        <v>1408</v>
      </c>
      <c r="F34" s="310"/>
      <c r="G34" s="310"/>
      <c r="H34" s="315"/>
      <c r="I34" s="312">
        <f>I33*0.1</f>
        <v>39600</v>
      </c>
      <c r="J34" s="380">
        <f t="shared" si="0"/>
        <v>37620</v>
      </c>
    </row>
    <row r="35" spans="1:10" s="336" customFormat="1" ht="20.100000000000001" customHeight="1">
      <c r="A35" s="1435"/>
      <c r="B35" s="1428"/>
      <c r="C35" s="1428"/>
      <c r="D35" s="1428"/>
      <c r="E35" s="310" t="s">
        <v>1409</v>
      </c>
      <c r="F35" s="310"/>
      <c r="G35" s="310"/>
      <c r="H35" s="311"/>
      <c r="I35" s="312">
        <f>(I33+I34)*0.05</f>
        <v>21780</v>
      </c>
      <c r="J35" s="380">
        <f t="shared" si="0"/>
        <v>20691</v>
      </c>
    </row>
    <row r="36" spans="1:10" s="331" customFormat="1" ht="20.100000000000001" customHeight="1">
      <c r="A36" s="1435"/>
      <c r="B36" s="1428"/>
      <c r="C36" s="1428"/>
      <c r="D36" s="1428"/>
      <c r="E36" s="304" t="s">
        <v>1415</v>
      </c>
      <c r="F36" s="310" t="s">
        <v>1416</v>
      </c>
      <c r="G36" s="310">
        <v>1</v>
      </c>
      <c r="H36" s="310">
        <v>30000</v>
      </c>
      <c r="I36" s="332">
        <f>H36</f>
        <v>30000</v>
      </c>
      <c r="J36" s="380">
        <f t="shared" si="0"/>
        <v>28500</v>
      </c>
    </row>
    <row r="37" spans="1:10" s="331" customFormat="1" ht="20.100000000000001" customHeight="1">
      <c r="A37" s="1435"/>
      <c r="B37" s="1428"/>
      <c r="C37" s="1428"/>
      <c r="D37" s="365"/>
      <c r="E37" s="310" t="s">
        <v>1410</v>
      </c>
      <c r="F37" s="365"/>
      <c r="G37" s="365"/>
      <c r="H37" s="365"/>
      <c r="I37" s="306">
        <f>ROUNDUP(I33+I34+I35+I36,0)</f>
        <v>487380</v>
      </c>
      <c r="J37" s="380">
        <v>463010</v>
      </c>
    </row>
    <row r="38" spans="1:10" s="331" customFormat="1" ht="20.100000000000001" customHeight="1">
      <c r="A38" s="365"/>
      <c r="B38" s="310"/>
      <c r="C38" s="310"/>
      <c r="D38" s="338"/>
      <c r="E38" s="365" t="s">
        <v>1634</v>
      </c>
      <c r="F38" s="310"/>
      <c r="G38" s="310"/>
      <c r="H38" s="310"/>
      <c r="I38" s="332">
        <f>I11+I17+I37+I30</f>
        <v>4386399</v>
      </c>
      <c r="J38" s="380">
        <f t="shared" si="0"/>
        <v>4167079</v>
      </c>
    </row>
    <row r="39" spans="1:10">
      <c r="A39" s="386"/>
      <c r="B39" s="386"/>
      <c r="C39" s="386"/>
      <c r="D39" s="387"/>
      <c r="E39" s="387"/>
      <c r="F39" s="387"/>
      <c r="G39" s="387"/>
      <c r="H39" s="387"/>
      <c r="I39" s="388"/>
      <c r="J39" s="386"/>
    </row>
  </sheetData>
  <mergeCells count="18">
    <mergeCell ref="A1:J1"/>
    <mergeCell ref="A3:A11"/>
    <mergeCell ref="B3:B11"/>
    <mergeCell ref="C3:C11"/>
    <mergeCell ref="D3:D4"/>
    <mergeCell ref="D5:D6"/>
    <mergeCell ref="A31:A37"/>
    <mergeCell ref="B31:B37"/>
    <mergeCell ref="C31:C37"/>
    <mergeCell ref="D31:D36"/>
    <mergeCell ref="A12:A17"/>
    <mergeCell ref="B12:B17"/>
    <mergeCell ref="C12:C17"/>
    <mergeCell ref="D12:D14"/>
    <mergeCell ref="A18:A30"/>
    <mergeCell ref="B18:B30"/>
    <mergeCell ref="C18:C30"/>
    <mergeCell ref="D18:D29"/>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J22" activeCellId="2" sqref="J9 J16 J22"/>
    </sheetView>
  </sheetViews>
  <sheetFormatPr defaultRowHeight="13.5"/>
  <cols>
    <col min="1" max="1" width="5.875" style="303" customWidth="1"/>
    <col min="2" max="4" width="9" style="303"/>
    <col min="5" max="5" width="26.875" style="303" customWidth="1"/>
    <col min="6" max="8" width="9" style="303"/>
    <col min="9" max="9" width="12.375" style="303" customWidth="1"/>
    <col min="10" max="10" width="12" style="303" customWidth="1"/>
    <col min="11" max="11" width="42.75" style="303" hidden="1" customWidth="1"/>
    <col min="12" max="16384" width="9" style="303"/>
  </cols>
  <sheetData>
    <row r="1" spans="1:11" ht="35.1" customHeight="1">
      <c r="A1" s="1422" t="s">
        <v>1194</v>
      </c>
      <c r="B1" s="1422"/>
      <c r="C1" s="1422"/>
      <c r="D1" s="1422"/>
      <c r="E1" s="1422"/>
      <c r="F1" s="1422"/>
      <c r="G1" s="1422"/>
      <c r="H1" s="1422"/>
      <c r="I1" s="1422"/>
      <c r="J1" s="1422"/>
    </row>
    <row r="2" spans="1:11" s="309" customFormat="1" ht="20.100000000000001" customHeight="1">
      <c r="A2" s="304" t="s">
        <v>0</v>
      </c>
      <c r="B2" s="304" t="s">
        <v>1085</v>
      </c>
      <c r="C2" s="304" t="s">
        <v>1636</v>
      </c>
      <c r="D2" s="304" t="s">
        <v>1087</v>
      </c>
      <c r="E2" s="304" t="s">
        <v>1088</v>
      </c>
      <c r="F2" s="304" t="s">
        <v>129</v>
      </c>
      <c r="G2" s="304" t="s">
        <v>1089</v>
      </c>
      <c r="H2" s="304" t="s">
        <v>1090</v>
      </c>
      <c r="I2" s="306" t="s">
        <v>1091</v>
      </c>
      <c r="J2" s="307" t="s">
        <v>1395</v>
      </c>
      <c r="K2" s="316" t="s">
        <v>1396</v>
      </c>
    </row>
    <row r="3" spans="1:11" s="309" customFormat="1" ht="20.100000000000001" customHeight="1">
      <c r="A3" s="1428">
        <v>1</v>
      </c>
      <c r="B3" s="1428" t="s">
        <v>1637</v>
      </c>
      <c r="C3" s="1428" t="s">
        <v>1195</v>
      </c>
      <c r="D3" s="1428" t="s">
        <v>1157</v>
      </c>
      <c r="E3" s="310" t="s">
        <v>1638</v>
      </c>
      <c r="F3" s="310" t="s">
        <v>1093</v>
      </c>
      <c r="G3" s="310">
        <v>58</v>
      </c>
      <c r="H3" s="310">
        <v>350</v>
      </c>
      <c r="I3" s="311">
        <f>G3*H3</f>
        <v>20300</v>
      </c>
      <c r="J3" s="389">
        <f>ROUND(I3*0.95,0)</f>
        <v>19285</v>
      </c>
      <c r="K3" s="390" t="s">
        <v>1639</v>
      </c>
    </row>
    <row r="4" spans="1:11" s="309" customFormat="1" ht="20.100000000000001" customHeight="1">
      <c r="A4" s="1428"/>
      <c r="B4" s="1428"/>
      <c r="C4" s="1428"/>
      <c r="D4" s="1428"/>
      <c r="E4" s="310" t="s">
        <v>1479</v>
      </c>
      <c r="F4" s="310" t="s">
        <v>1093</v>
      </c>
      <c r="G4" s="310">
        <v>1160</v>
      </c>
      <c r="H4" s="310">
        <v>130</v>
      </c>
      <c r="I4" s="311">
        <f t="shared" ref="I4:I5" si="0">G4*H4</f>
        <v>150800</v>
      </c>
      <c r="J4" s="389">
        <f t="shared" ref="J4:J23" si="1">ROUND(I4*0.95,0)</f>
        <v>143260</v>
      </c>
      <c r="K4" s="316" t="s">
        <v>1640</v>
      </c>
    </row>
    <row r="5" spans="1:11" s="309" customFormat="1" ht="20.100000000000001" customHeight="1">
      <c r="A5" s="1428"/>
      <c r="B5" s="1428"/>
      <c r="C5" s="1428"/>
      <c r="D5" s="1428"/>
      <c r="E5" s="310" t="s">
        <v>1196</v>
      </c>
      <c r="F5" s="310" t="s">
        <v>1093</v>
      </c>
      <c r="G5" s="310">
        <v>215</v>
      </c>
      <c r="H5" s="310">
        <v>220</v>
      </c>
      <c r="I5" s="311">
        <f t="shared" si="0"/>
        <v>47300</v>
      </c>
      <c r="J5" s="389">
        <f t="shared" si="1"/>
        <v>44935</v>
      </c>
      <c r="K5" s="316" t="s">
        <v>1197</v>
      </c>
    </row>
    <row r="6" spans="1:11" s="314" customFormat="1" ht="20.100000000000001" customHeight="1">
      <c r="A6" s="1428"/>
      <c r="B6" s="1428"/>
      <c r="C6" s="1428"/>
      <c r="D6" s="310"/>
      <c r="E6" s="310" t="s">
        <v>1097</v>
      </c>
      <c r="F6" s="310"/>
      <c r="G6" s="310"/>
      <c r="H6" s="311"/>
      <c r="I6" s="312">
        <f>SUM(I3:I5)</f>
        <v>218400</v>
      </c>
      <c r="J6" s="389">
        <f t="shared" si="1"/>
        <v>207480</v>
      </c>
      <c r="K6" s="313"/>
    </row>
    <row r="7" spans="1:11" s="314" customFormat="1" ht="20.100000000000001" customHeight="1">
      <c r="A7" s="1428"/>
      <c r="B7" s="1428"/>
      <c r="C7" s="1428"/>
      <c r="D7" s="310"/>
      <c r="E7" s="310" t="s">
        <v>1098</v>
      </c>
      <c r="F7" s="310"/>
      <c r="G7" s="310"/>
      <c r="H7" s="315"/>
      <c r="I7" s="312">
        <f>I6*0.1</f>
        <v>21840</v>
      </c>
      <c r="J7" s="389">
        <f t="shared" si="1"/>
        <v>20748</v>
      </c>
      <c r="K7" s="313"/>
    </row>
    <row r="8" spans="1:11" s="314" customFormat="1" ht="20.100000000000001" customHeight="1">
      <c r="A8" s="1428"/>
      <c r="B8" s="1428"/>
      <c r="C8" s="1428"/>
      <c r="D8" s="310"/>
      <c r="E8" s="310" t="s">
        <v>1409</v>
      </c>
      <c r="F8" s="310"/>
      <c r="G8" s="310"/>
      <c r="H8" s="311"/>
      <c r="I8" s="312">
        <f>(I6+I7)*0.05</f>
        <v>12012</v>
      </c>
      <c r="J8" s="389">
        <f t="shared" si="1"/>
        <v>11411</v>
      </c>
      <c r="K8" s="313"/>
    </row>
    <row r="9" spans="1:11" s="309" customFormat="1" ht="20.100000000000001" customHeight="1">
      <c r="A9" s="1428"/>
      <c r="B9" s="1428"/>
      <c r="C9" s="1428"/>
      <c r="D9" s="310"/>
      <c r="E9" s="310" t="s">
        <v>1410</v>
      </c>
      <c r="F9" s="310"/>
      <c r="G9" s="310"/>
      <c r="H9" s="310"/>
      <c r="I9" s="306">
        <f>ROUNDUP(I6+I7+I8,0)</f>
        <v>252252</v>
      </c>
      <c r="J9" s="389">
        <f t="shared" si="1"/>
        <v>239639</v>
      </c>
      <c r="K9" s="316"/>
    </row>
    <row r="10" spans="1:11" s="309" customFormat="1" ht="20.100000000000001" customHeight="1">
      <c r="A10" s="1428">
        <v>2</v>
      </c>
      <c r="B10" s="1428" t="s">
        <v>1641</v>
      </c>
      <c r="C10" s="1428" t="s">
        <v>1198</v>
      </c>
      <c r="D10" s="1423" t="s">
        <v>1157</v>
      </c>
      <c r="E10" s="310" t="s">
        <v>1642</v>
      </c>
      <c r="F10" s="310" t="s">
        <v>582</v>
      </c>
      <c r="G10" s="310">
        <v>22</v>
      </c>
      <c r="H10" s="310">
        <v>300</v>
      </c>
      <c r="I10" s="311">
        <f t="shared" ref="I10:I12" si="2">G10*H10</f>
        <v>6600</v>
      </c>
      <c r="J10" s="389">
        <f t="shared" si="1"/>
        <v>6270</v>
      </c>
      <c r="K10" s="316" t="s">
        <v>1643</v>
      </c>
    </row>
    <row r="11" spans="1:11" s="309" customFormat="1" ht="20.100000000000001" customHeight="1">
      <c r="A11" s="1428"/>
      <c r="B11" s="1428"/>
      <c r="C11" s="1428"/>
      <c r="D11" s="1424"/>
      <c r="E11" s="310" t="s">
        <v>1644</v>
      </c>
      <c r="F11" s="310" t="s">
        <v>1093</v>
      </c>
      <c r="G11" s="310">
        <v>248</v>
      </c>
      <c r="H11" s="310">
        <v>200</v>
      </c>
      <c r="I11" s="311">
        <f t="shared" si="2"/>
        <v>49600</v>
      </c>
      <c r="J11" s="389">
        <f t="shared" si="1"/>
        <v>47120</v>
      </c>
      <c r="K11" s="390" t="s">
        <v>1199</v>
      </c>
    </row>
    <row r="12" spans="1:11" s="309" customFormat="1" ht="20.100000000000001" customHeight="1">
      <c r="A12" s="1428"/>
      <c r="B12" s="1428"/>
      <c r="C12" s="1428"/>
      <c r="D12" s="1424"/>
      <c r="E12" s="310" t="s">
        <v>1200</v>
      </c>
      <c r="F12" s="310" t="s">
        <v>1093</v>
      </c>
      <c r="G12" s="310">
        <v>1000</v>
      </c>
      <c r="H12" s="310">
        <v>220</v>
      </c>
      <c r="I12" s="311">
        <f t="shared" si="2"/>
        <v>220000</v>
      </c>
      <c r="J12" s="389">
        <f t="shared" si="1"/>
        <v>209000</v>
      </c>
      <c r="K12" s="316" t="s">
        <v>1201</v>
      </c>
    </row>
    <row r="13" spans="1:11" s="314" customFormat="1" ht="20.100000000000001" customHeight="1">
      <c r="A13" s="1428"/>
      <c r="B13" s="1428"/>
      <c r="C13" s="1428"/>
      <c r="D13" s="334"/>
      <c r="E13" s="310" t="s">
        <v>1097</v>
      </c>
      <c r="F13" s="310"/>
      <c r="G13" s="310"/>
      <c r="H13" s="311"/>
      <c r="I13" s="312">
        <f>SUM(I10:I12)</f>
        <v>276200</v>
      </c>
      <c r="J13" s="389">
        <f t="shared" si="1"/>
        <v>262390</v>
      </c>
      <c r="K13" s="313"/>
    </row>
    <row r="14" spans="1:11" s="314" customFormat="1" ht="20.100000000000001" customHeight="1">
      <c r="A14" s="1428"/>
      <c r="B14" s="1428"/>
      <c r="C14" s="1428"/>
      <c r="D14" s="334"/>
      <c r="E14" s="310" t="s">
        <v>1408</v>
      </c>
      <c r="F14" s="310"/>
      <c r="G14" s="310"/>
      <c r="H14" s="315"/>
      <c r="I14" s="312">
        <f>I13*0.1</f>
        <v>27620</v>
      </c>
      <c r="J14" s="389">
        <f t="shared" si="1"/>
        <v>26239</v>
      </c>
      <c r="K14" s="313"/>
    </row>
    <row r="15" spans="1:11" s="314" customFormat="1" ht="20.100000000000001" customHeight="1">
      <c r="A15" s="1428"/>
      <c r="B15" s="1428"/>
      <c r="C15" s="1428"/>
      <c r="D15" s="334"/>
      <c r="E15" s="310" t="s">
        <v>1409</v>
      </c>
      <c r="F15" s="310"/>
      <c r="G15" s="310"/>
      <c r="H15" s="311"/>
      <c r="I15" s="312">
        <f>(I13+I14)*0.05</f>
        <v>15191</v>
      </c>
      <c r="J15" s="389">
        <f t="shared" si="1"/>
        <v>14431</v>
      </c>
      <c r="K15" s="313"/>
    </row>
    <row r="16" spans="1:11" s="309" customFormat="1" ht="20.100000000000001" customHeight="1">
      <c r="A16" s="1428"/>
      <c r="B16" s="1428"/>
      <c r="C16" s="1428"/>
      <c r="D16" s="334"/>
      <c r="E16" s="310" t="s">
        <v>1410</v>
      </c>
      <c r="F16" s="310"/>
      <c r="G16" s="310"/>
      <c r="H16" s="310"/>
      <c r="I16" s="306">
        <f>ROUNDUP(I13+I14+I15,0)</f>
        <v>319011</v>
      </c>
      <c r="J16" s="389">
        <f t="shared" si="1"/>
        <v>303060</v>
      </c>
      <c r="K16" s="316"/>
    </row>
    <row r="17" spans="1:10" s="222" customFormat="1" ht="20.100000000000001" customHeight="1">
      <c r="A17" s="1445">
        <v>3</v>
      </c>
      <c r="B17" s="1448" t="s">
        <v>1649</v>
      </c>
      <c r="C17" s="1448" t="s">
        <v>1645</v>
      </c>
      <c r="D17" s="1445" t="s">
        <v>1411</v>
      </c>
      <c r="E17" s="385" t="s">
        <v>1646</v>
      </c>
      <c r="F17" s="385" t="s">
        <v>1635</v>
      </c>
      <c r="G17" s="385">
        <v>12</v>
      </c>
      <c r="H17" s="385">
        <v>50000</v>
      </c>
      <c r="I17" s="385">
        <f>G17*H17</f>
        <v>600000</v>
      </c>
      <c r="J17" s="389">
        <f t="shared" si="1"/>
        <v>570000</v>
      </c>
    </row>
    <row r="18" spans="1:10" s="222" customFormat="1" ht="20.100000000000001" customHeight="1">
      <c r="A18" s="1446"/>
      <c r="B18" s="1449"/>
      <c r="C18" s="1449"/>
      <c r="D18" s="1447"/>
      <c r="E18" s="385" t="s">
        <v>1648</v>
      </c>
      <c r="F18" s="385" t="s">
        <v>1647</v>
      </c>
      <c r="G18" s="385">
        <v>2</v>
      </c>
      <c r="H18" s="385">
        <v>17000</v>
      </c>
      <c r="I18" s="385">
        <f>G18*H18</f>
        <v>34000</v>
      </c>
      <c r="J18" s="389">
        <f t="shared" si="1"/>
        <v>32300</v>
      </c>
    </row>
    <row r="19" spans="1:10" s="222" customFormat="1" ht="20.100000000000001" customHeight="1">
      <c r="A19" s="1446"/>
      <c r="B19" s="1449"/>
      <c r="C19" s="1449"/>
      <c r="D19" s="385"/>
      <c r="E19" s="339" t="s">
        <v>1097</v>
      </c>
      <c r="F19" s="382"/>
      <c r="G19" s="382"/>
      <c r="H19" s="391"/>
      <c r="I19" s="392">
        <f>SUM(I17:I18)</f>
        <v>634000</v>
      </c>
      <c r="J19" s="389">
        <f t="shared" si="1"/>
        <v>602300</v>
      </c>
    </row>
    <row r="20" spans="1:10" s="222" customFormat="1" ht="20.100000000000001" customHeight="1">
      <c r="A20" s="1446"/>
      <c r="B20" s="1449"/>
      <c r="C20" s="1449"/>
      <c r="D20" s="385"/>
      <c r="E20" s="339" t="s">
        <v>1408</v>
      </c>
      <c r="F20" s="382"/>
      <c r="G20" s="382"/>
      <c r="H20" s="391"/>
      <c r="I20" s="392">
        <f>I19*0.1</f>
        <v>63400</v>
      </c>
      <c r="J20" s="389">
        <f t="shared" si="1"/>
        <v>60230</v>
      </c>
    </row>
    <row r="21" spans="1:10" s="222" customFormat="1" ht="20.100000000000001" customHeight="1">
      <c r="A21" s="1446"/>
      <c r="B21" s="1449"/>
      <c r="C21" s="1449"/>
      <c r="D21" s="385"/>
      <c r="E21" s="339" t="s">
        <v>1409</v>
      </c>
      <c r="F21" s="382"/>
      <c r="G21" s="382"/>
      <c r="H21" s="391"/>
      <c r="I21" s="391">
        <f>(I19+I20)*0.05</f>
        <v>34870</v>
      </c>
      <c r="J21" s="389">
        <f t="shared" si="1"/>
        <v>33127</v>
      </c>
    </row>
    <row r="22" spans="1:10" s="222" customFormat="1" ht="20.100000000000001" customHeight="1">
      <c r="A22" s="1447"/>
      <c r="B22" s="1450"/>
      <c r="C22" s="1450"/>
      <c r="D22" s="385"/>
      <c r="E22" s="339" t="s">
        <v>1410</v>
      </c>
      <c r="F22" s="382"/>
      <c r="G22" s="382"/>
      <c r="H22" s="391"/>
      <c r="I22" s="306">
        <f>ROUNDUP(I19+I20+I21,0)</f>
        <v>732270</v>
      </c>
      <c r="J22" s="389">
        <f t="shared" si="1"/>
        <v>695657</v>
      </c>
    </row>
    <row r="23" spans="1:10" s="362" customFormat="1" ht="20.100000000000001" customHeight="1">
      <c r="A23" s="310"/>
      <c r="B23" s="310"/>
      <c r="C23" s="310"/>
      <c r="D23" s="316"/>
      <c r="E23" s="310" t="s">
        <v>1634</v>
      </c>
      <c r="F23" s="310"/>
      <c r="G23" s="310"/>
      <c r="H23" s="310"/>
      <c r="I23" s="311">
        <f>I9+I16+I22</f>
        <v>1303533</v>
      </c>
      <c r="J23" s="389">
        <f t="shared" si="1"/>
        <v>1238356</v>
      </c>
    </row>
    <row r="24" spans="1:10" s="363" customFormat="1" ht="12"/>
  </sheetData>
  <mergeCells count="13">
    <mergeCell ref="A17:A22"/>
    <mergeCell ref="B17:B22"/>
    <mergeCell ref="C17:C22"/>
    <mergeCell ref="D17:D18"/>
    <mergeCell ref="A1:J1"/>
    <mergeCell ref="A3:A9"/>
    <mergeCell ref="B3:B9"/>
    <mergeCell ref="C3:C9"/>
    <mergeCell ref="D3:D5"/>
    <mergeCell ref="A10:A16"/>
    <mergeCell ref="B10:B16"/>
    <mergeCell ref="C10:C16"/>
    <mergeCell ref="D10:D12"/>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topLeftCell="A55" workbookViewId="0">
      <selection activeCell="J78" activeCellId="9" sqref="J8 J16 J25 J33 J42 J49 J54 J61 J70 J78"/>
    </sheetView>
  </sheetViews>
  <sheetFormatPr defaultRowHeight="14.25"/>
  <cols>
    <col min="1" max="1" width="5.375" style="393" customWidth="1"/>
    <col min="2" max="2" width="9" style="393" customWidth="1"/>
    <col min="3" max="3" width="8.125" style="393" customWidth="1"/>
    <col min="4" max="4" width="12.25" style="393" customWidth="1"/>
    <col min="5" max="5" width="23.125" style="393" customWidth="1"/>
    <col min="6" max="6" width="7.375" style="393" customWidth="1"/>
    <col min="7" max="7" width="9.75" style="393" customWidth="1"/>
    <col min="8" max="8" width="12.25" style="393" customWidth="1"/>
    <col min="9" max="9" width="11.25" style="398" customWidth="1"/>
    <col min="10" max="10" width="11.875" style="393" customWidth="1"/>
    <col min="11" max="11" width="5.25" style="393" customWidth="1"/>
    <col min="12" max="12" width="15.625" style="393" customWidth="1"/>
    <col min="13" max="255" width="9" style="393"/>
    <col min="256" max="256" width="5.375" style="393" customWidth="1"/>
    <col min="257" max="257" width="9" style="393" customWidth="1"/>
    <col min="258" max="258" width="8.125" style="393" customWidth="1"/>
    <col min="259" max="259" width="19.5" style="393" customWidth="1"/>
    <col min="260" max="260" width="31.75" style="393" customWidth="1"/>
    <col min="261" max="261" width="7.375" style="393" customWidth="1"/>
    <col min="262" max="262" width="9.75" style="393" customWidth="1"/>
    <col min="263" max="263" width="12.25" style="393" customWidth="1"/>
    <col min="264" max="264" width="16.375" style="393" customWidth="1"/>
    <col min="265" max="265" width="11.5" style="393" customWidth="1"/>
    <col min="266" max="511" width="9" style="393"/>
    <col min="512" max="512" width="5.375" style="393" customWidth="1"/>
    <col min="513" max="513" width="9" style="393" customWidth="1"/>
    <col min="514" max="514" width="8.125" style="393" customWidth="1"/>
    <col min="515" max="515" width="19.5" style="393" customWidth="1"/>
    <col min="516" max="516" width="31.75" style="393" customWidth="1"/>
    <col min="517" max="517" width="7.375" style="393" customWidth="1"/>
    <col min="518" max="518" width="9.75" style="393" customWidth="1"/>
    <col min="519" max="519" width="12.25" style="393" customWidth="1"/>
    <col min="520" max="520" width="16.375" style="393" customWidth="1"/>
    <col min="521" max="521" width="11.5" style="393" customWidth="1"/>
    <col min="522" max="767" width="9" style="393"/>
    <col min="768" max="768" width="5.375" style="393" customWidth="1"/>
    <col min="769" max="769" width="9" style="393" customWidth="1"/>
    <col min="770" max="770" width="8.125" style="393" customWidth="1"/>
    <col min="771" max="771" width="19.5" style="393" customWidth="1"/>
    <col min="772" max="772" width="31.75" style="393" customWidth="1"/>
    <col min="773" max="773" width="7.375" style="393" customWidth="1"/>
    <col min="774" max="774" width="9.75" style="393" customWidth="1"/>
    <col min="775" max="775" width="12.25" style="393" customWidth="1"/>
    <col min="776" max="776" width="16.375" style="393" customWidth="1"/>
    <col min="777" max="777" width="11.5" style="393" customWidth="1"/>
    <col min="778" max="1023" width="9" style="393"/>
    <col min="1024" max="1024" width="5.375" style="393" customWidth="1"/>
    <col min="1025" max="1025" width="9" style="393" customWidth="1"/>
    <col min="1026" max="1026" width="8.125" style="393" customWidth="1"/>
    <col min="1027" max="1027" width="19.5" style="393" customWidth="1"/>
    <col min="1028" max="1028" width="31.75" style="393" customWidth="1"/>
    <col min="1029" max="1029" width="7.375" style="393" customWidth="1"/>
    <col min="1030" max="1030" width="9.75" style="393" customWidth="1"/>
    <col min="1031" max="1031" width="12.25" style="393" customWidth="1"/>
    <col min="1032" max="1032" width="16.375" style="393" customWidth="1"/>
    <col min="1033" max="1033" width="11.5" style="393" customWidth="1"/>
    <col min="1034" max="1279" width="9" style="393"/>
    <col min="1280" max="1280" width="5.375" style="393" customWidth="1"/>
    <col min="1281" max="1281" width="9" style="393" customWidth="1"/>
    <col min="1282" max="1282" width="8.125" style="393" customWidth="1"/>
    <col min="1283" max="1283" width="19.5" style="393" customWidth="1"/>
    <col min="1284" max="1284" width="31.75" style="393" customWidth="1"/>
    <col min="1285" max="1285" width="7.375" style="393" customWidth="1"/>
    <col min="1286" max="1286" width="9.75" style="393" customWidth="1"/>
    <col min="1287" max="1287" width="12.25" style="393" customWidth="1"/>
    <col min="1288" max="1288" width="16.375" style="393" customWidth="1"/>
    <col min="1289" max="1289" width="11.5" style="393" customWidth="1"/>
    <col min="1290" max="1535" width="9" style="393"/>
    <col min="1536" max="1536" width="5.375" style="393" customWidth="1"/>
    <col min="1537" max="1537" width="9" style="393" customWidth="1"/>
    <col min="1538" max="1538" width="8.125" style="393" customWidth="1"/>
    <col min="1539" max="1539" width="19.5" style="393" customWidth="1"/>
    <col min="1540" max="1540" width="31.75" style="393" customWidth="1"/>
    <col min="1541" max="1541" width="7.375" style="393" customWidth="1"/>
    <col min="1542" max="1542" width="9.75" style="393" customWidth="1"/>
    <col min="1543" max="1543" width="12.25" style="393" customWidth="1"/>
    <col min="1544" max="1544" width="16.375" style="393" customWidth="1"/>
    <col min="1545" max="1545" width="11.5" style="393" customWidth="1"/>
    <col min="1546" max="1791" width="9" style="393"/>
    <col min="1792" max="1792" width="5.375" style="393" customWidth="1"/>
    <col min="1793" max="1793" width="9" style="393" customWidth="1"/>
    <col min="1794" max="1794" width="8.125" style="393" customWidth="1"/>
    <col min="1795" max="1795" width="19.5" style="393" customWidth="1"/>
    <col min="1796" max="1796" width="31.75" style="393" customWidth="1"/>
    <col min="1797" max="1797" width="7.375" style="393" customWidth="1"/>
    <col min="1798" max="1798" width="9.75" style="393" customWidth="1"/>
    <col min="1799" max="1799" width="12.25" style="393" customWidth="1"/>
    <col min="1800" max="1800" width="16.375" style="393" customWidth="1"/>
    <col min="1801" max="1801" width="11.5" style="393" customWidth="1"/>
    <col min="1802" max="2047" width="9" style="393"/>
    <col min="2048" max="2048" width="5.375" style="393" customWidth="1"/>
    <col min="2049" max="2049" width="9" style="393" customWidth="1"/>
    <col min="2050" max="2050" width="8.125" style="393" customWidth="1"/>
    <col min="2051" max="2051" width="19.5" style="393" customWidth="1"/>
    <col min="2052" max="2052" width="31.75" style="393" customWidth="1"/>
    <col min="2053" max="2053" width="7.375" style="393" customWidth="1"/>
    <col min="2054" max="2054" width="9.75" style="393" customWidth="1"/>
    <col min="2055" max="2055" width="12.25" style="393" customWidth="1"/>
    <col min="2056" max="2056" width="16.375" style="393" customWidth="1"/>
    <col min="2057" max="2057" width="11.5" style="393" customWidth="1"/>
    <col min="2058" max="2303" width="9" style="393"/>
    <col min="2304" max="2304" width="5.375" style="393" customWidth="1"/>
    <col min="2305" max="2305" width="9" style="393" customWidth="1"/>
    <col min="2306" max="2306" width="8.125" style="393" customWidth="1"/>
    <col min="2307" max="2307" width="19.5" style="393" customWidth="1"/>
    <col min="2308" max="2308" width="31.75" style="393" customWidth="1"/>
    <col min="2309" max="2309" width="7.375" style="393" customWidth="1"/>
    <col min="2310" max="2310" width="9.75" style="393" customWidth="1"/>
    <col min="2311" max="2311" width="12.25" style="393" customWidth="1"/>
    <col min="2312" max="2312" width="16.375" style="393" customWidth="1"/>
    <col min="2313" max="2313" width="11.5" style="393" customWidth="1"/>
    <col min="2314" max="2559" width="9" style="393"/>
    <col min="2560" max="2560" width="5.375" style="393" customWidth="1"/>
    <col min="2561" max="2561" width="9" style="393" customWidth="1"/>
    <col min="2562" max="2562" width="8.125" style="393" customWidth="1"/>
    <col min="2563" max="2563" width="19.5" style="393" customWidth="1"/>
    <col min="2564" max="2564" width="31.75" style="393" customWidth="1"/>
    <col min="2565" max="2565" width="7.375" style="393" customWidth="1"/>
    <col min="2566" max="2566" width="9.75" style="393" customWidth="1"/>
    <col min="2567" max="2567" width="12.25" style="393" customWidth="1"/>
    <col min="2568" max="2568" width="16.375" style="393" customWidth="1"/>
    <col min="2569" max="2569" width="11.5" style="393" customWidth="1"/>
    <col min="2570" max="2815" width="9" style="393"/>
    <col min="2816" max="2816" width="5.375" style="393" customWidth="1"/>
    <col min="2817" max="2817" width="9" style="393" customWidth="1"/>
    <col min="2818" max="2818" width="8.125" style="393" customWidth="1"/>
    <col min="2819" max="2819" width="19.5" style="393" customWidth="1"/>
    <col min="2820" max="2820" width="31.75" style="393" customWidth="1"/>
    <col min="2821" max="2821" width="7.375" style="393" customWidth="1"/>
    <col min="2822" max="2822" width="9.75" style="393" customWidth="1"/>
    <col min="2823" max="2823" width="12.25" style="393" customWidth="1"/>
    <col min="2824" max="2824" width="16.375" style="393" customWidth="1"/>
    <col min="2825" max="2825" width="11.5" style="393" customWidth="1"/>
    <col min="2826" max="3071" width="9" style="393"/>
    <col min="3072" max="3072" width="5.375" style="393" customWidth="1"/>
    <col min="3073" max="3073" width="9" style="393" customWidth="1"/>
    <col min="3074" max="3074" width="8.125" style="393" customWidth="1"/>
    <col min="3075" max="3075" width="19.5" style="393" customWidth="1"/>
    <col min="3076" max="3076" width="31.75" style="393" customWidth="1"/>
    <col min="3077" max="3077" width="7.375" style="393" customWidth="1"/>
    <col min="3078" max="3078" width="9.75" style="393" customWidth="1"/>
    <col min="3079" max="3079" width="12.25" style="393" customWidth="1"/>
    <col min="3080" max="3080" width="16.375" style="393" customWidth="1"/>
    <col min="3081" max="3081" width="11.5" style="393" customWidth="1"/>
    <col min="3082" max="3327" width="9" style="393"/>
    <col min="3328" max="3328" width="5.375" style="393" customWidth="1"/>
    <col min="3329" max="3329" width="9" style="393" customWidth="1"/>
    <col min="3330" max="3330" width="8.125" style="393" customWidth="1"/>
    <col min="3331" max="3331" width="19.5" style="393" customWidth="1"/>
    <col min="3332" max="3332" width="31.75" style="393" customWidth="1"/>
    <col min="3333" max="3333" width="7.375" style="393" customWidth="1"/>
    <col min="3334" max="3334" width="9.75" style="393" customWidth="1"/>
    <col min="3335" max="3335" width="12.25" style="393" customWidth="1"/>
    <col min="3336" max="3336" width="16.375" style="393" customWidth="1"/>
    <col min="3337" max="3337" width="11.5" style="393" customWidth="1"/>
    <col min="3338" max="3583" width="9" style="393"/>
    <col min="3584" max="3584" width="5.375" style="393" customWidth="1"/>
    <col min="3585" max="3585" width="9" style="393" customWidth="1"/>
    <col min="3586" max="3586" width="8.125" style="393" customWidth="1"/>
    <col min="3587" max="3587" width="19.5" style="393" customWidth="1"/>
    <col min="3588" max="3588" width="31.75" style="393" customWidth="1"/>
    <col min="3589" max="3589" width="7.375" style="393" customWidth="1"/>
    <col min="3590" max="3590" width="9.75" style="393" customWidth="1"/>
    <col min="3591" max="3591" width="12.25" style="393" customWidth="1"/>
    <col min="3592" max="3592" width="16.375" style="393" customWidth="1"/>
    <col min="3593" max="3593" width="11.5" style="393" customWidth="1"/>
    <col min="3594" max="3839" width="9" style="393"/>
    <col min="3840" max="3840" width="5.375" style="393" customWidth="1"/>
    <col min="3841" max="3841" width="9" style="393" customWidth="1"/>
    <col min="3842" max="3842" width="8.125" style="393" customWidth="1"/>
    <col min="3843" max="3843" width="19.5" style="393" customWidth="1"/>
    <col min="3844" max="3844" width="31.75" style="393" customWidth="1"/>
    <col min="3845" max="3845" width="7.375" style="393" customWidth="1"/>
    <col min="3846" max="3846" width="9.75" style="393" customWidth="1"/>
    <col min="3847" max="3847" width="12.25" style="393" customWidth="1"/>
    <col min="3848" max="3848" width="16.375" style="393" customWidth="1"/>
    <col min="3849" max="3849" width="11.5" style="393" customWidth="1"/>
    <col min="3850" max="4095" width="9" style="393"/>
    <col min="4096" max="4096" width="5.375" style="393" customWidth="1"/>
    <col min="4097" max="4097" width="9" style="393" customWidth="1"/>
    <col min="4098" max="4098" width="8.125" style="393" customWidth="1"/>
    <col min="4099" max="4099" width="19.5" style="393" customWidth="1"/>
    <col min="4100" max="4100" width="31.75" style="393" customWidth="1"/>
    <col min="4101" max="4101" width="7.375" style="393" customWidth="1"/>
    <col min="4102" max="4102" width="9.75" style="393" customWidth="1"/>
    <col min="4103" max="4103" width="12.25" style="393" customWidth="1"/>
    <col min="4104" max="4104" width="16.375" style="393" customWidth="1"/>
    <col min="4105" max="4105" width="11.5" style="393" customWidth="1"/>
    <col min="4106" max="4351" width="9" style="393"/>
    <col min="4352" max="4352" width="5.375" style="393" customWidth="1"/>
    <col min="4353" max="4353" width="9" style="393" customWidth="1"/>
    <col min="4354" max="4354" width="8.125" style="393" customWidth="1"/>
    <col min="4355" max="4355" width="19.5" style="393" customWidth="1"/>
    <col min="4356" max="4356" width="31.75" style="393" customWidth="1"/>
    <col min="4357" max="4357" width="7.375" style="393" customWidth="1"/>
    <col min="4358" max="4358" width="9.75" style="393" customWidth="1"/>
    <col min="4359" max="4359" width="12.25" style="393" customWidth="1"/>
    <col min="4360" max="4360" width="16.375" style="393" customWidth="1"/>
    <col min="4361" max="4361" width="11.5" style="393" customWidth="1"/>
    <col min="4362" max="4607" width="9" style="393"/>
    <col min="4608" max="4608" width="5.375" style="393" customWidth="1"/>
    <col min="4609" max="4609" width="9" style="393" customWidth="1"/>
    <col min="4610" max="4610" width="8.125" style="393" customWidth="1"/>
    <col min="4611" max="4611" width="19.5" style="393" customWidth="1"/>
    <col min="4612" max="4612" width="31.75" style="393" customWidth="1"/>
    <col min="4613" max="4613" width="7.375" style="393" customWidth="1"/>
    <col min="4614" max="4614" width="9.75" style="393" customWidth="1"/>
    <col min="4615" max="4615" width="12.25" style="393" customWidth="1"/>
    <col min="4616" max="4616" width="16.375" style="393" customWidth="1"/>
    <col min="4617" max="4617" width="11.5" style="393" customWidth="1"/>
    <col min="4618" max="4863" width="9" style="393"/>
    <col min="4864" max="4864" width="5.375" style="393" customWidth="1"/>
    <col min="4865" max="4865" width="9" style="393" customWidth="1"/>
    <col min="4866" max="4866" width="8.125" style="393" customWidth="1"/>
    <col min="4867" max="4867" width="19.5" style="393" customWidth="1"/>
    <col min="4868" max="4868" width="31.75" style="393" customWidth="1"/>
    <col min="4869" max="4869" width="7.375" style="393" customWidth="1"/>
    <col min="4870" max="4870" width="9.75" style="393" customWidth="1"/>
    <col min="4871" max="4871" width="12.25" style="393" customWidth="1"/>
    <col min="4872" max="4872" width="16.375" style="393" customWidth="1"/>
    <col min="4873" max="4873" width="11.5" style="393" customWidth="1"/>
    <col min="4874" max="5119" width="9" style="393"/>
    <col min="5120" max="5120" width="5.375" style="393" customWidth="1"/>
    <col min="5121" max="5121" width="9" style="393" customWidth="1"/>
    <col min="5122" max="5122" width="8.125" style="393" customWidth="1"/>
    <col min="5123" max="5123" width="19.5" style="393" customWidth="1"/>
    <col min="5124" max="5124" width="31.75" style="393" customWidth="1"/>
    <col min="5125" max="5125" width="7.375" style="393" customWidth="1"/>
    <col min="5126" max="5126" width="9.75" style="393" customWidth="1"/>
    <col min="5127" max="5127" width="12.25" style="393" customWidth="1"/>
    <col min="5128" max="5128" width="16.375" style="393" customWidth="1"/>
    <col min="5129" max="5129" width="11.5" style="393" customWidth="1"/>
    <col min="5130" max="5375" width="9" style="393"/>
    <col min="5376" max="5376" width="5.375" style="393" customWidth="1"/>
    <col min="5377" max="5377" width="9" style="393" customWidth="1"/>
    <col min="5378" max="5378" width="8.125" style="393" customWidth="1"/>
    <col min="5379" max="5379" width="19.5" style="393" customWidth="1"/>
    <col min="5380" max="5380" width="31.75" style="393" customWidth="1"/>
    <col min="5381" max="5381" width="7.375" style="393" customWidth="1"/>
    <col min="5382" max="5382" width="9.75" style="393" customWidth="1"/>
    <col min="5383" max="5383" width="12.25" style="393" customWidth="1"/>
    <col min="5384" max="5384" width="16.375" style="393" customWidth="1"/>
    <col min="5385" max="5385" width="11.5" style="393" customWidth="1"/>
    <col min="5386" max="5631" width="9" style="393"/>
    <col min="5632" max="5632" width="5.375" style="393" customWidth="1"/>
    <col min="5633" max="5633" width="9" style="393" customWidth="1"/>
    <col min="5634" max="5634" width="8.125" style="393" customWidth="1"/>
    <col min="5635" max="5635" width="19.5" style="393" customWidth="1"/>
    <col min="5636" max="5636" width="31.75" style="393" customWidth="1"/>
    <col min="5637" max="5637" width="7.375" style="393" customWidth="1"/>
    <col min="5638" max="5638" width="9.75" style="393" customWidth="1"/>
    <col min="5639" max="5639" width="12.25" style="393" customWidth="1"/>
    <col min="5640" max="5640" width="16.375" style="393" customWidth="1"/>
    <col min="5641" max="5641" width="11.5" style="393" customWidth="1"/>
    <col min="5642" max="5887" width="9" style="393"/>
    <col min="5888" max="5888" width="5.375" style="393" customWidth="1"/>
    <col min="5889" max="5889" width="9" style="393" customWidth="1"/>
    <col min="5890" max="5890" width="8.125" style="393" customWidth="1"/>
    <col min="5891" max="5891" width="19.5" style="393" customWidth="1"/>
    <col min="5892" max="5892" width="31.75" style="393" customWidth="1"/>
    <col min="5893" max="5893" width="7.375" style="393" customWidth="1"/>
    <col min="5894" max="5894" width="9.75" style="393" customWidth="1"/>
    <col min="5895" max="5895" width="12.25" style="393" customWidth="1"/>
    <col min="5896" max="5896" width="16.375" style="393" customWidth="1"/>
    <col min="5897" max="5897" width="11.5" style="393" customWidth="1"/>
    <col min="5898" max="6143" width="9" style="393"/>
    <col min="6144" max="6144" width="5.375" style="393" customWidth="1"/>
    <col min="6145" max="6145" width="9" style="393" customWidth="1"/>
    <col min="6146" max="6146" width="8.125" style="393" customWidth="1"/>
    <col min="6147" max="6147" width="19.5" style="393" customWidth="1"/>
    <col min="6148" max="6148" width="31.75" style="393" customWidth="1"/>
    <col min="6149" max="6149" width="7.375" style="393" customWidth="1"/>
    <col min="6150" max="6150" width="9.75" style="393" customWidth="1"/>
    <col min="6151" max="6151" width="12.25" style="393" customWidth="1"/>
    <col min="6152" max="6152" width="16.375" style="393" customWidth="1"/>
    <col min="6153" max="6153" width="11.5" style="393" customWidth="1"/>
    <col min="6154" max="6399" width="9" style="393"/>
    <col min="6400" max="6400" width="5.375" style="393" customWidth="1"/>
    <col min="6401" max="6401" width="9" style="393" customWidth="1"/>
    <col min="6402" max="6402" width="8.125" style="393" customWidth="1"/>
    <col min="6403" max="6403" width="19.5" style="393" customWidth="1"/>
    <col min="6404" max="6404" width="31.75" style="393" customWidth="1"/>
    <col min="6405" max="6405" width="7.375" style="393" customWidth="1"/>
    <col min="6406" max="6406" width="9.75" style="393" customWidth="1"/>
    <col min="6407" max="6407" width="12.25" style="393" customWidth="1"/>
    <col min="6408" max="6408" width="16.375" style="393" customWidth="1"/>
    <col min="6409" max="6409" width="11.5" style="393" customWidth="1"/>
    <col min="6410" max="6655" width="9" style="393"/>
    <col min="6656" max="6656" width="5.375" style="393" customWidth="1"/>
    <col min="6657" max="6657" width="9" style="393" customWidth="1"/>
    <col min="6658" max="6658" width="8.125" style="393" customWidth="1"/>
    <col min="6659" max="6659" width="19.5" style="393" customWidth="1"/>
    <col min="6660" max="6660" width="31.75" style="393" customWidth="1"/>
    <col min="6661" max="6661" width="7.375" style="393" customWidth="1"/>
    <col min="6662" max="6662" width="9.75" style="393" customWidth="1"/>
    <col min="6663" max="6663" width="12.25" style="393" customWidth="1"/>
    <col min="6664" max="6664" width="16.375" style="393" customWidth="1"/>
    <col min="6665" max="6665" width="11.5" style="393" customWidth="1"/>
    <col min="6666" max="6911" width="9" style="393"/>
    <col min="6912" max="6912" width="5.375" style="393" customWidth="1"/>
    <col min="6913" max="6913" width="9" style="393" customWidth="1"/>
    <col min="6914" max="6914" width="8.125" style="393" customWidth="1"/>
    <col min="6915" max="6915" width="19.5" style="393" customWidth="1"/>
    <col min="6916" max="6916" width="31.75" style="393" customWidth="1"/>
    <col min="6917" max="6917" width="7.375" style="393" customWidth="1"/>
    <col min="6918" max="6918" width="9.75" style="393" customWidth="1"/>
    <col min="6919" max="6919" width="12.25" style="393" customWidth="1"/>
    <col min="6920" max="6920" width="16.375" style="393" customWidth="1"/>
    <col min="6921" max="6921" width="11.5" style="393" customWidth="1"/>
    <col min="6922" max="7167" width="9" style="393"/>
    <col min="7168" max="7168" width="5.375" style="393" customWidth="1"/>
    <col min="7169" max="7169" width="9" style="393" customWidth="1"/>
    <col min="7170" max="7170" width="8.125" style="393" customWidth="1"/>
    <col min="7171" max="7171" width="19.5" style="393" customWidth="1"/>
    <col min="7172" max="7172" width="31.75" style="393" customWidth="1"/>
    <col min="7173" max="7173" width="7.375" style="393" customWidth="1"/>
    <col min="7174" max="7174" width="9.75" style="393" customWidth="1"/>
    <col min="7175" max="7175" width="12.25" style="393" customWidth="1"/>
    <col min="7176" max="7176" width="16.375" style="393" customWidth="1"/>
    <col min="7177" max="7177" width="11.5" style="393" customWidth="1"/>
    <col min="7178" max="7423" width="9" style="393"/>
    <col min="7424" max="7424" width="5.375" style="393" customWidth="1"/>
    <col min="7425" max="7425" width="9" style="393" customWidth="1"/>
    <col min="7426" max="7426" width="8.125" style="393" customWidth="1"/>
    <col min="7427" max="7427" width="19.5" style="393" customWidth="1"/>
    <col min="7428" max="7428" width="31.75" style="393" customWidth="1"/>
    <col min="7429" max="7429" width="7.375" style="393" customWidth="1"/>
    <col min="7430" max="7430" width="9.75" style="393" customWidth="1"/>
    <col min="7431" max="7431" width="12.25" style="393" customWidth="1"/>
    <col min="7432" max="7432" width="16.375" style="393" customWidth="1"/>
    <col min="7433" max="7433" width="11.5" style="393" customWidth="1"/>
    <col min="7434" max="7679" width="9" style="393"/>
    <col min="7680" max="7680" width="5.375" style="393" customWidth="1"/>
    <col min="7681" max="7681" width="9" style="393" customWidth="1"/>
    <col min="7682" max="7682" width="8.125" style="393" customWidth="1"/>
    <col min="7683" max="7683" width="19.5" style="393" customWidth="1"/>
    <col min="7684" max="7684" width="31.75" style="393" customWidth="1"/>
    <col min="7685" max="7685" width="7.375" style="393" customWidth="1"/>
    <col min="7686" max="7686" width="9.75" style="393" customWidth="1"/>
    <col min="7687" max="7687" width="12.25" style="393" customWidth="1"/>
    <col min="7688" max="7688" width="16.375" style="393" customWidth="1"/>
    <col min="7689" max="7689" width="11.5" style="393" customWidth="1"/>
    <col min="7690" max="7935" width="9" style="393"/>
    <col min="7936" max="7936" width="5.375" style="393" customWidth="1"/>
    <col min="7937" max="7937" width="9" style="393" customWidth="1"/>
    <col min="7938" max="7938" width="8.125" style="393" customWidth="1"/>
    <col min="7939" max="7939" width="19.5" style="393" customWidth="1"/>
    <col min="7940" max="7940" width="31.75" style="393" customWidth="1"/>
    <col min="7941" max="7941" width="7.375" style="393" customWidth="1"/>
    <col min="7942" max="7942" width="9.75" style="393" customWidth="1"/>
    <col min="7943" max="7943" width="12.25" style="393" customWidth="1"/>
    <col min="7944" max="7944" width="16.375" style="393" customWidth="1"/>
    <col min="7945" max="7945" width="11.5" style="393" customWidth="1"/>
    <col min="7946" max="8191" width="9" style="393"/>
    <col min="8192" max="8192" width="5.375" style="393" customWidth="1"/>
    <col min="8193" max="8193" width="9" style="393" customWidth="1"/>
    <col min="8194" max="8194" width="8.125" style="393" customWidth="1"/>
    <col min="8195" max="8195" width="19.5" style="393" customWidth="1"/>
    <col min="8196" max="8196" width="31.75" style="393" customWidth="1"/>
    <col min="8197" max="8197" width="7.375" style="393" customWidth="1"/>
    <col min="8198" max="8198" width="9.75" style="393" customWidth="1"/>
    <col min="8199" max="8199" width="12.25" style="393" customWidth="1"/>
    <col min="8200" max="8200" width="16.375" style="393" customWidth="1"/>
    <col min="8201" max="8201" width="11.5" style="393" customWidth="1"/>
    <col min="8202" max="8447" width="9" style="393"/>
    <col min="8448" max="8448" width="5.375" style="393" customWidth="1"/>
    <col min="8449" max="8449" width="9" style="393" customWidth="1"/>
    <col min="8450" max="8450" width="8.125" style="393" customWidth="1"/>
    <col min="8451" max="8451" width="19.5" style="393" customWidth="1"/>
    <col min="8452" max="8452" width="31.75" style="393" customWidth="1"/>
    <col min="8453" max="8453" width="7.375" style="393" customWidth="1"/>
    <col min="8454" max="8454" width="9.75" style="393" customWidth="1"/>
    <col min="8455" max="8455" width="12.25" style="393" customWidth="1"/>
    <col min="8456" max="8456" width="16.375" style="393" customWidth="1"/>
    <col min="8457" max="8457" width="11.5" style="393" customWidth="1"/>
    <col min="8458" max="8703" width="9" style="393"/>
    <col min="8704" max="8704" width="5.375" style="393" customWidth="1"/>
    <col min="8705" max="8705" width="9" style="393" customWidth="1"/>
    <col min="8706" max="8706" width="8.125" style="393" customWidth="1"/>
    <col min="8707" max="8707" width="19.5" style="393" customWidth="1"/>
    <col min="8708" max="8708" width="31.75" style="393" customWidth="1"/>
    <col min="8709" max="8709" width="7.375" style="393" customWidth="1"/>
    <col min="8710" max="8710" width="9.75" style="393" customWidth="1"/>
    <col min="8711" max="8711" width="12.25" style="393" customWidth="1"/>
    <col min="8712" max="8712" width="16.375" style="393" customWidth="1"/>
    <col min="8713" max="8713" width="11.5" style="393" customWidth="1"/>
    <col min="8714" max="8959" width="9" style="393"/>
    <col min="8960" max="8960" width="5.375" style="393" customWidth="1"/>
    <col min="8961" max="8961" width="9" style="393" customWidth="1"/>
    <col min="8962" max="8962" width="8.125" style="393" customWidth="1"/>
    <col min="8963" max="8963" width="19.5" style="393" customWidth="1"/>
    <col min="8964" max="8964" width="31.75" style="393" customWidth="1"/>
    <col min="8965" max="8965" width="7.375" style="393" customWidth="1"/>
    <col min="8966" max="8966" width="9.75" style="393" customWidth="1"/>
    <col min="8967" max="8967" width="12.25" style="393" customWidth="1"/>
    <col min="8968" max="8968" width="16.375" style="393" customWidth="1"/>
    <col min="8969" max="8969" width="11.5" style="393" customWidth="1"/>
    <col min="8970" max="9215" width="9" style="393"/>
    <col min="9216" max="9216" width="5.375" style="393" customWidth="1"/>
    <col min="9217" max="9217" width="9" style="393" customWidth="1"/>
    <col min="9218" max="9218" width="8.125" style="393" customWidth="1"/>
    <col min="9219" max="9219" width="19.5" style="393" customWidth="1"/>
    <col min="9220" max="9220" width="31.75" style="393" customWidth="1"/>
    <col min="9221" max="9221" width="7.375" style="393" customWidth="1"/>
    <col min="9222" max="9222" width="9.75" style="393" customWidth="1"/>
    <col min="9223" max="9223" width="12.25" style="393" customWidth="1"/>
    <col min="9224" max="9224" width="16.375" style="393" customWidth="1"/>
    <col min="9225" max="9225" width="11.5" style="393" customWidth="1"/>
    <col min="9226" max="9471" width="9" style="393"/>
    <col min="9472" max="9472" width="5.375" style="393" customWidth="1"/>
    <col min="9473" max="9473" width="9" style="393" customWidth="1"/>
    <col min="9474" max="9474" width="8.125" style="393" customWidth="1"/>
    <col min="9475" max="9475" width="19.5" style="393" customWidth="1"/>
    <col min="9476" max="9476" width="31.75" style="393" customWidth="1"/>
    <col min="9477" max="9477" width="7.375" style="393" customWidth="1"/>
    <col min="9478" max="9478" width="9.75" style="393" customWidth="1"/>
    <col min="9479" max="9479" width="12.25" style="393" customWidth="1"/>
    <col min="9480" max="9480" width="16.375" style="393" customWidth="1"/>
    <col min="9481" max="9481" width="11.5" style="393" customWidth="1"/>
    <col min="9482" max="9727" width="9" style="393"/>
    <col min="9728" max="9728" width="5.375" style="393" customWidth="1"/>
    <col min="9729" max="9729" width="9" style="393" customWidth="1"/>
    <col min="9730" max="9730" width="8.125" style="393" customWidth="1"/>
    <col min="9731" max="9731" width="19.5" style="393" customWidth="1"/>
    <col min="9732" max="9732" width="31.75" style="393" customWidth="1"/>
    <col min="9733" max="9733" width="7.375" style="393" customWidth="1"/>
    <col min="9734" max="9734" width="9.75" style="393" customWidth="1"/>
    <col min="9735" max="9735" width="12.25" style="393" customWidth="1"/>
    <col min="9736" max="9736" width="16.375" style="393" customWidth="1"/>
    <col min="9737" max="9737" width="11.5" style="393" customWidth="1"/>
    <col min="9738" max="9983" width="9" style="393"/>
    <col min="9984" max="9984" width="5.375" style="393" customWidth="1"/>
    <col min="9985" max="9985" width="9" style="393" customWidth="1"/>
    <col min="9986" max="9986" width="8.125" style="393" customWidth="1"/>
    <col min="9987" max="9987" width="19.5" style="393" customWidth="1"/>
    <col min="9988" max="9988" width="31.75" style="393" customWidth="1"/>
    <col min="9989" max="9989" width="7.375" style="393" customWidth="1"/>
    <col min="9990" max="9990" width="9.75" style="393" customWidth="1"/>
    <col min="9991" max="9991" width="12.25" style="393" customWidth="1"/>
    <col min="9992" max="9992" width="16.375" style="393" customWidth="1"/>
    <col min="9993" max="9993" width="11.5" style="393" customWidth="1"/>
    <col min="9994" max="10239" width="9" style="393"/>
    <col min="10240" max="10240" width="5.375" style="393" customWidth="1"/>
    <col min="10241" max="10241" width="9" style="393" customWidth="1"/>
    <col min="10242" max="10242" width="8.125" style="393" customWidth="1"/>
    <col min="10243" max="10243" width="19.5" style="393" customWidth="1"/>
    <col min="10244" max="10244" width="31.75" style="393" customWidth="1"/>
    <col min="10245" max="10245" width="7.375" style="393" customWidth="1"/>
    <col min="10246" max="10246" width="9.75" style="393" customWidth="1"/>
    <col min="10247" max="10247" width="12.25" style="393" customWidth="1"/>
    <col min="10248" max="10248" width="16.375" style="393" customWidth="1"/>
    <col min="10249" max="10249" width="11.5" style="393" customWidth="1"/>
    <col min="10250" max="10495" width="9" style="393"/>
    <col min="10496" max="10496" width="5.375" style="393" customWidth="1"/>
    <col min="10497" max="10497" width="9" style="393" customWidth="1"/>
    <col min="10498" max="10498" width="8.125" style="393" customWidth="1"/>
    <col min="10499" max="10499" width="19.5" style="393" customWidth="1"/>
    <col min="10500" max="10500" width="31.75" style="393" customWidth="1"/>
    <col min="10501" max="10501" width="7.375" style="393" customWidth="1"/>
    <col min="10502" max="10502" width="9.75" style="393" customWidth="1"/>
    <col min="10503" max="10503" width="12.25" style="393" customWidth="1"/>
    <col min="10504" max="10504" width="16.375" style="393" customWidth="1"/>
    <col min="10505" max="10505" width="11.5" style="393" customWidth="1"/>
    <col min="10506" max="10751" width="9" style="393"/>
    <col min="10752" max="10752" width="5.375" style="393" customWidth="1"/>
    <col min="10753" max="10753" width="9" style="393" customWidth="1"/>
    <col min="10754" max="10754" width="8.125" style="393" customWidth="1"/>
    <col min="10755" max="10755" width="19.5" style="393" customWidth="1"/>
    <col min="10756" max="10756" width="31.75" style="393" customWidth="1"/>
    <col min="10757" max="10757" width="7.375" style="393" customWidth="1"/>
    <col min="10758" max="10758" width="9.75" style="393" customWidth="1"/>
    <col min="10759" max="10759" width="12.25" style="393" customWidth="1"/>
    <col min="10760" max="10760" width="16.375" style="393" customWidth="1"/>
    <col min="10761" max="10761" width="11.5" style="393" customWidth="1"/>
    <col min="10762" max="11007" width="9" style="393"/>
    <col min="11008" max="11008" width="5.375" style="393" customWidth="1"/>
    <col min="11009" max="11009" width="9" style="393" customWidth="1"/>
    <col min="11010" max="11010" width="8.125" style="393" customWidth="1"/>
    <col min="11011" max="11011" width="19.5" style="393" customWidth="1"/>
    <col min="11012" max="11012" width="31.75" style="393" customWidth="1"/>
    <col min="11013" max="11013" width="7.375" style="393" customWidth="1"/>
    <col min="11014" max="11014" width="9.75" style="393" customWidth="1"/>
    <col min="11015" max="11015" width="12.25" style="393" customWidth="1"/>
    <col min="11016" max="11016" width="16.375" style="393" customWidth="1"/>
    <col min="11017" max="11017" width="11.5" style="393" customWidth="1"/>
    <col min="11018" max="11263" width="9" style="393"/>
    <col min="11264" max="11264" width="5.375" style="393" customWidth="1"/>
    <col min="11265" max="11265" width="9" style="393" customWidth="1"/>
    <col min="11266" max="11266" width="8.125" style="393" customWidth="1"/>
    <col min="11267" max="11267" width="19.5" style="393" customWidth="1"/>
    <col min="11268" max="11268" width="31.75" style="393" customWidth="1"/>
    <col min="11269" max="11269" width="7.375" style="393" customWidth="1"/>
    <col min="11270" max="11270" width="9.75" style="393" customWidth="1"/>
    <col min="11271" max="11271" width="12.25" style="393" customWidth="1"/>
    <col min="11272" max="11272" width="16.375" style="393" customWidth="1"/>
    <col min="11273" max="11273" width="11.5" style="393" customWidth="1"/>
    <col min="11274" max="11519" width="9" style="393"/>
    <col min="11520" max="11520" width="5.375" style="393" customWidth="1"/>
    <col min="11521" max="11521" width="9" style="393" customWidth="1"/>
    <col min="11522" max="11522" width="8.125" style="393" customWidth="1"/>
    <col min="11523" max="11523" width="19.5" style="393" customWidth="1"/>
    <col min="11524" max="11524" width="31.75" style="393" customWidth="1"/>
    <col min="11525" max="11525" width="7.375" style="393" customWidth="1"/>
    <col min="11526" max="11526" width="9.75" style="393" customWidth="1"/>
    <col min="11527" max="11527" width="12.25" style="393" customWidth="1"/>
    <col min="11528" max="11528" width="16.375" style="393" customWidth="1"/>
    <col min="11529" max="11529" width="11.5" style="393" customWidth="1"/>
    <col min="11530" max="11775" width="9" style="393"/>
    <col min="11776" max="11776" width="5.375" style="393" customWidth="1"/>
    <col min="11777" max="11777" width="9" style="393" customWidth="1"/>
    <col min="11778" max="11778" width="8.125" style="393" customWidth="1"/>
    <col min="11779" max="11779" width="19.5" style="393" customWidth="1"/>
    <col min="11780" max="11780" width="31.75" style="393" customWidth="1"/>
    <col min="11781" max="11781" width="7.375" style="393" customWidth="1"/>
    <col min="11782" max="11782" width="9.75" style="393" customWidth="1"/>
    <col min="11783" max="11783" width="12.25" style="393" customWidth="1"/>
    <col min="11784" max="11784" width="16.375" style="393" customWidth="1"/>
    <col min="11785" max="11785" width="11.5" style="393" customWidth="1"/>
    <col min="11786" max="12031" width="9" style="393"/>
    <col min="12032" max="12032" width="5.375" style="393" customWidth="1"/>
    <col min="12033" max="12033" width="9" style="393" customWidth="1"/>
    <col min="12034" max="12034" width="8.125" style="393" customWidth="1"/>
    <col min="12035" max="12035" width="19.5" style="393" customWidth="1"/>
    <col min="12036" max="12036" width="31.75" style="393" customWidth="1"/>
    <col min="12037" max="12037" width="7.375" style="393" customWidth="1"/>
    <col min="12038" max="12038" width="9.75" style="393" customWidth="1"/>
    <col min="12039" max="12039" width="12.25" style="393" customWidth="1"/>
    <col min="12040" max="12040" width="16.375" style="393" customWidth="1"/>
    <col min="12041" max="12041" width="11.5" style="393" customWidth="1"/>
    <col min="12042" max="12287" width="9" style="393"/>
    <col min="12288" max="12288" width="5.375" style="393" customWidth="1"/>
    <col min="12289" max="12289" width="9" style="393" customWidth="1"/>
    <col min="12290" max="12290" width="8.125" style="393" customWidth="1"/>
    <col min="12291" max="12291" width="19.5" style="393" customWidth="1"/>
    <col min="12292" max="12292" width="31.75" style="393" customWidth="1"/>
    <col min="12293" max="12293" width="7.375" style="393" customWidth="1"/>
    <col min="12294" max="12294" width="9.75" style="393" customWidth="1"/>
    <col min="12295" max="12295" width="12.25" style="393" customWidth="1"/>
    <col min="12296" max="12296" width="16.375" style="393" customWidth="1"/>
    <col min="12297" max="12297" width="11.5" style="393" customWidth="1"/>
    <col min="12298" max="12543" width="9" style="393"/>
    <col min="12544" max="12544" width="5.375" style="393" customWidth="1"/>
    <col min="12545" max="12545" width="9" style="393" customWidth="1"/>
    <col min="12546" max="12546" width="8.125" style="393" customWidth="1"/>
    <col min="12547" max="12547" width="19.5" style="393" customWidth="1"/>
    <col min="12548" max="12548" width="31.75" style="393" customWidth="1"/>
    <col min="12549" max="12549" width="7.375" style="393" customWidth="1"/>
    <col min="12550" max="12550" width="9.75" style="393" customWidth="1"/>
    <col min="12551" max="12551" width="12.25" style="393" customWidth="1"/>
    <col min="12552" max="12552" width="16.375" style="393" customWidth="1"/>
    <col min="12553" max="12553" width="11.5" style="393" customWidth="1"/>
    <col min="12554" max="12799" width="9" style="393"/>
    <col min="12800" max="12800" width="5.375" style="393" customWidth="1"/>
    <col min="12801" max="12801" width="9" style="393" customWidth="1"/>
    <col min="12802" max="12802" width="8.125" style="393" customWidth="1"/>
    <col min="12803" max="12803" width="19.5" style="393" customWidth="1"/>
    <col min="12804" max="12804" width="31.75" style="393" customWidth="1"/>
    <col min="12805" max="12805" width="7.375" style="393" customWidth="1"/>
    <col min="12806" max="12806" width="9.75" style="393" customWidth="1"/>
    <col min="12807" max="12807" width="12.25" style="393" customWidth="1"/>
    <col min="12808" max="12808" width="16.375" style="393" customWidth="1"/>
    <col min="12809" max="12809" width="11.5" style="393" customWidth="1"/>
    <col min="12810" max="13055" width="9" style="393"/>
    <col min="13056" max="13056" width="5.375" style="393" customWidth="1"/>
    <col min="13057" max="13057" width="9" style="393" customWidth="1"/>
    <col min="13058" max="13058" width="8.125" style="393" customWidth="1"/>
    <col min="13059" max="13059" width="19.5" style="393" customWidth="1"/>
    <col min="13060" max="13060" width="31.75" style="393" customWidth="1"/>
    <col min="13061" max="13061" width="7.375" style="393" customWidth="1"/>
    <col min="13062" max="13062" width="9.75" style="393" customWidth="1"/>
    <col min="13063" max="13063" width="12.25" style="393" customWidth="1"/>
    <col min="13064" max="13064" width="16.375" style="393" customWidth="1"/>
    <col min="13065" max="13065" width="11.5" style="393" customWidth="1"/>
    <col min="13066" max="13311" width="9" style="393"/>
    <col min="13312" max="13312" width="5.375" style="393" customWidth="1"/>
    <col min="13313" max="13313" width="9" style="393" customWidth="1"/>
    <col min="13314" max="13314" width="8.125" style="393" customWidth="1"/>
    <col min="13315" max="13315" width="19.5" style="393" customWidth="1"/>
    <col min="13316" max="13316" width="31.75" style="393" customWidth="1"/>
    <col min="13317" max="13317" width="7.375" style="393" customWidth="1"/>
    <col min="13318" max="13318" width="9.75" style="393" customWidth="1"/>
    <col min="13319" max="13319" width="12.25" style="393" customWidth="1"/>
    <col min="13320" max="13320" width="16.375" style="393" customWidth="1"/>
    <col min="13321" max="13321" width="11.5" style="393" customWidth="1"/>
    <col min="13322" max="13567" width="9" style="393"/>
    <col min="13568" max="13568" width="5.375" style="393" customWidth="1"/>
    <col min="13569" max="13569" width="9" style="393" customWidth="1"/>
    <col min="13570" max="13570" width="8.125" style="393" customWidth="1"/>
    <col min="13571" max="13571" width="19.5" style="393" customWidth="1"/>
    <col min="13572" max="13572" width="31.75" style="393" customWidth="1"/>
    <col min="13573" max="13573" width="7.375" style="393" customWidth="1"/>
    <col min="13574" max="13574" width="9.75" style="393" customWidth="1"/>
    <col min="13575" max="13575" width="12.25" style="393" customWidth="1"/>
    <col min="13576" max="13576" width="16.375" style="393" customWidth="1"/>
    <col min="13577" max="13577" width="11.5" style="393" customWidth="1"/>
    <col min="13578" max="13823" width="9" style="393"/>
    <col min="13824" max="13824" width="5.375" style="393" customWidth="1"/>
    <col min="13825" max="13825" width="9" style="393" customWidth="1"/>
    <col min="13826" max="13826" width="8.125" style="393" customWidth="1"/>
    <col min="13827" max="13827" width="19.5" style="393" customWidth="1"/>
    <col min="13828" max="13828" width="31.75" style="393" customWidth="1"/>
    <col min="13829" max="13829" width="7.375" style="393" customWidth="1"/>
    <col min="13830" max="13830" width="9.75" style="393" customWidth="1"/>
    <col min="13831" max="13831" width="12.25" style="393" customWidth="1"/>
    <col min="13832" max="13832" width="16.375" style="393" customWidth="1"/>
    <col min="13833" max="13833" width="11.5" style="393" customWidth="1"/>
    <col min="13834" max="14079" width="9" style="393"/>
    <col min="14080" max="14080" width="5.375" style="393" customWidth="1"/>
    <col min="14081" max="14081" width="9" style="393" customWidth="1"/>
    <col min="14082" max="14082" width="8.125" style="393" customWidth="1"/>
    <col min="14083" max="14083" width="19.5" style="393" customWidth="1"/>
    <col min="14084" max="14084" width="31.75" style="393" customWidth="1"/>
    <col min="14085" max="14085" width="7.375" style="393" customWidth="1"/>
    <col min="14086" max="14086" width="9.75" style="393" customWidth="1"/>
    <col min="14087" max="14087" width="12.25" style="393" customWidth="1"/>
    <col min="14088" max="14088" width="16.375" style="393" customWidth="1"/>
    <col min="14089" max="14089" width="11.5" style="393" customWidth="1"/>
    <col min="14090" max="14335" width="9" style="393"/>
    <col min="14336" max="14336" width="5.375" style="393" customWidth="1"/>
    <col min="14337" max="14337" width="9" style="393" customWidth="1"/>
    <col min="14338" max="14338" width="8.125" style="393" customWidth="1"/>
    <col min="14339" max="14339" width="19.5" style="393" customWidth="1"/>
    <col min="14340" max="14340" width="31.75" style="393" customWidth="1"/>
    <col min="14341" max="14341" width="7.375" style="393" customWidth="1"/>
    <col min="14342" max="14342" width="9.75" style="393" customWidth="1"/>
    <col min="14343" max="14343" width="12.25" style="393" customWidth="1"/>
    <col min="14344" max="14344" width="16.375" style="393" customWidth="1"/>
    <col min="14345" max="14345" width="11.5" style="393" customWidth="1"/>
    <col min="14346" max="14591" width="9" style="393"/>
    <col min="14592" max="14592" width="5.375" style="393" customWidth="1"/>
    <col min="14593" max="14593" width="9" style="393" customWidth="1"/>
    <col min="14594" max="14594" width="8.125" style="393" customWidth="1"/>
    <col min="14595" max="14595" width="19.5" style="393" customWidth="1"/>
    <col min="14596" max="14596" width="31.75" style="393" customWidth="1"/>
    <col min="14597" max="14597" width="7.375" style="393" customWidth="1"/>
    <col min="14598" max="14598" width="9.75" style="393" customWidth="1"/>
    <col min="14599" max="14599" width="12.25" style="393" customWidth="1"/>
    <col min="14600" max="14600" width="16.375" style="393" customWidth="1"/>
    <col min="14601" max="14601" width="11.5" style="393" customWidth="1"/>
    <col min="14602" max="14847" width="9" style="393"/>
    <col min="14848" max="14848" width="5.375" style="393" customWidth="1"/>
    <col min="14849" max="14849" width="9" style="393" customWidth="1"/>
    <col min="14850" max="14850" width="8.125" style="393" customWidth="1"/>
    <col min="14851" max="14851" width="19.5" style="393" customWidth="1"/>
    <col min="14852" max="14852" width="31.75" style="393" customWidth="1"/>
    <col min="14853" max="14853" width="7.375" style="393" customWidth="1"/>
    <col min="14854" max="14854" width="9.75" style="393" customWidth="1"/>
    <col min="14855" max="14855" width="12.25" style="393" customWidth="1"/>
    <col min="14856" max="14856" width="16.375" style="393" customWidth="1"/>
    <col min="14857" max="14857" width="11.5" style="393" customWidth="1"/>
    <col min="14858" max="15103" width="9" style="393"/>
    <col min="15104" max="15104" width="5.375" style="393" customWidth="1"/>
    <col min="15105" max="15105" width="9" style="393" customWidth="1"/>
    <col min="15106" max="15106" width="8.125" style="393" customWidth="1"/>
    <col min="15107" max="15107" width="19.5" style="393" customWidth="1"/>
    <col min="15108" max="15108" width="31.75" style="393" customWidth="1"/>
    <col min="15109" max="15109" width="7.375" style="393" customWidth="1"/>
    <col min="15110" max="15110" width="9.75" style="393" customWidth="1"/>
    <col min="15111" max="15111" width="12.25" style="393" customWidth="1"/>
    <col min="15112" max="15112" width="16.375" style="393" customWidth="1"/>
    <col min="15113" max="15113" width="11.5" style="393" customWidth="1"/>
    <col min="15114" max="15359" width="9" style="393"/>
    <col min="15360" max="15360" width="5.375" style="393" customWidth="1"/>
    <col min="15361" max="15361" width="9" style="393" customWidth="1"/>
    <col min="15362" max="15362" width="8.125" style="393" customWidth="1"/>
    <col min="15363" max="15363" width="19.5" style="393" customWidth="1"/>
    <col min="15364" max="15364" width="31.75" style="393" customWidth="1"/>
    <col min="15365" max="15365" width="7.375" style="393" customWidth="1"/>
    <col min="15366" max="15366" width="9.75" style="393" customWidth="1"/>
    <col min="15367" max="15367" width="12.25" style="393" customWidth="1"/>
    <col min="15368" max="15368" width="16.375" style="393" customWidth="1"/>
    <col min="15369" max="15369" width="11.5" style="393" customWidth="1"/>
    <col min="15370" max="15615" width="9" style="393"/>
    <col min="15616" max="15616" width="5.375" style="393" customWidth="1"/>
    <col min="15617" max="15617" width="9" style="393" customWidth="1"/>
    <col min="15618" max="15618" width="8.125" style="393" customWidth="1"/>
    <col min="15619" max="15619" width="19.5" style="393" customWidth="1"/>
    <col min="15620" max="15620" width="31.75" style="393" customWidth="1"/>
    <col min="15621" max="15621" width="7.375" style="393" customWidth="1"/>
    <col min="15622" max="15622" width="9.75" style="393" customWidth="1"/>
    <col min="15623" max="15623" width="12.25" style="393" customWidth="1"/>
    <col min="15624" max="15624" width="16.375" style="393" customWidth="1"/>
    <col min="15625" max="15625" width="11.5" style="393" customWidth="1"/>
    <col min="15626" max="15871" width="9" style="393"/>
    <col min="15872" max="15872" width="5.375" style="393" customWidth="1"/>
    <col min="15873" max="15873" width="9" style="393" customWidth="1"/>
    <col min="15874" max="15874" width="8.125" style="393" customWidth="1"/>
    <col min="15875" max="15875" width="19.5" style="393" customWidth="1"/>
    <col min="15876" max="15876" width="31.75" style="393" customWidth="1"/>
    <col min="15877" max="15877" width="7.375" style="393" customWidth="1"/>
    <col min="15878" max="15878" width="9.75" style="393" customWidth="1"/>
    <col min="15879" max="15879" width="12.25" style="393" customWidth="1"/>
    <col min="15880" max="15880" width="16.375" style="393" customWidth="1"/>
    <col min="15881" max="15881" width="11.5" style="393" customWidth="1"/>
    <col min="15882" max="16127" width="9" style="393"/>
    <col min="16128" max="16128" width="5.375" style="393" customWidth="1"/>
    <col min="16129" max="16129" width="9" style="393" customWidth="1"/>
    <col min="16130" max="16130" width="8.125" style="393" customWidth="1"/>
    <col min="16131" max="16131" width="19.5" style="393" customWidth="1"/>
    <col min="16132" max="16132" width="31.75" style="393" customWidth="1"/>
    <col min="16133" max="16133" width="7.375" style="393" customWidth="1"/>
    <col min="16134" max="16134" width="9.75" style="393" customWidth="1"/>
    <col min="16135" max="16135" width="12.25" style="393" customWidth="1"/>
    <col min="16136" max="16136" width="16.375" style="393" customWidth="1"/>
    <col min="16137" max="16137" width="11.5" style="393" customWidth="1"/>
    <col min="16138" max="16384" width="9" style="393"/>
  </cols>
  <sheetData>
    <row r="1" spans="1:10" ht="35.1" customHeight="1">
      <c r="A1" s="1422" t="s">
        <v>1202</v>
      </c>
      <c r="B1" s="1422"/>
      <c r="C1" s="1422"/>
      <c r="D1" s="1422"/>
      <c r="E1" s="1422"/>
      <c r="F1" s="1422"/>
      <c r="G1" s="1422"/>
      <c r="H1" s="1422"/>
      <c r="I1" s="1422"/>
      <c r="J1" s="1422"/>
    </row>
    <row r="2" spans="1:10" s="314" customFormat="1" ht="20.100000000000001" customHeight="1">
      <c r="A2" s="312" t="s">
        <v>0</v>
      </c>
      <c r="B2" s="312" t="s">
        <v>1085</v>
      </c>
      <c r="C2" s="312" t="s">
        <v>1086</v>
      </c>
      <c r="D2" s="312" t="s">
        <v>1087</v>
      </c>
      <c r="E2" s="312" t="s">
        <v>1088</v>
      </c>
      <c r="F2" s="312" t="s">
        <v>129</v>
      </c>
      <c r="G2" s="312" t="s">
        <v>1089</v>
      </c>
      <c r="H2" s="312" t="s">
        <v>1090</v>
      </c>
      <c r="I2" s="306" t="s">
        <v>1091</v>
      </c>
      <c r="J2" s="312" t="s">
        <v>1650</v>
      </c>
    </row>
    <row r="3" spans="1:10" s="314" customFormat="1" ht="20.100000000000001" customHeight="1">
      <c r="A3" s="1428">
        <v>1</v>
      </c>
      <c r="B3" s="1452" t="s">
        <v>1651</v>
      </c>
      <c r="C3" s="1452" t="s">
        <v>1203</v>
      </c>
      <c r="D3" s="310" t="s">
        <v>1204</v>
      </c>
      <c r="E3" s="310" t="s">
        <v>1205</v>
      </c>
      <c r="F3" s="310" t="s">
        <v>1111</v>
      </c>
      <c r="G3" s="310">
        <v>490</v>
      </c>
      <c r="H3" s="311">
        <v>1200</v>
      </c>
      <c r="I3" s="312">
        <f>G3*H3</f>
        <v>588000</v>
      </c>
      <c r="J3" s="312">
        <f>ROUND(I3*0.95,0)</f>
        <v>558600</v>
      </c>
    </row>
    <row r="4" spans="1:10" s="314" customFormat="1" ht="20.100000000000001" customHeight="1">
      <c r="A4" s="1428"/>
      <c r="B4" s="1452"/>
      <c r="C4" s="1452"/>
      <c r="D4" s="310" t="s">
        <v>1206</v>
      </c>
      <c r="E4" s="310" t="s">
        <v>1652</v>
      </c>
      <c r="F4" s="310" t="s">
        <v>1111</v>
      </c>
      <c r="G4" s="310">
        <v>490</v>
      </c>
      <c r="H4" s="311">
        <v>600</v>
      </c>
      <c r="I4" s="312">
        <f>G4*H4</f>
        <v>294000</v>
      </c>
      <c r="J4" s="312">
        <f t="shared" ref="J4:J67" si="0">ROUND(I4*0.95,0)</f>
        <v>279300</v>
      </c>
    </row>
    <row r="5" spans="1:10" s="314" customFormat="1" ht="20.100000000000001" customHeight="1">
      <c r="A5" s="1428"/>
      <c r="B5" s="1452"/>
      <c r="C5" s="1452"/>
      <c r="D5" s="310"/>
      <c r="E5" s="310" t="s">
        <v>1097</v>
      </c>
      <c r="F5" s="310"/>
      <c r="G5" s="310"/>
      <c r="H5" s="311"/>
      <c r="I5" s="312">
        <f>SUM(I3:I4)</f>
        <v>882000</v>
      </c>
      <c r="J5" s="312">
        <f t="shared" si="0"/>
        <v>837900</v>
      </c>
    </row>
    <row r="6" spans="1:10" s="314" customFormat="1" ht="20.100000000000001" customHeight="1">
      <c r="A6" s="1428"/>
      <c r="B6" s="1452"/>
      <c r="C6" s="1452"/>
      <c r="D6" s="310"/>
      <c r="E6" s="310" t="s">
        <v>1408</v>
      </c>
      <c r="F6" s="310"/>
      <c r="G6" s="310"/>
      <c r="H6" s="315"/>
      <c r="I6" s="312">
        <f>I5*0.1</f>
        <v>88200</v>
      </c>
      <c r="J6" s="312">
        <f t="shared" si="0"/>
        <v>83790</v>
      </c>
    </row>
    <row r="7" spans="1:10" s="314" customFormat="1" ht="20.100000000000001" customHeight="1">
      <c r="A7" s="1428"/>
      <c r="B7" s="1452"/>
      <c r="C7" s="1452"/>
      <c r="D7" s="310"/>
      <c r="E7" s="310" t="s">
        <v>1409</v>
      </c>
      <c r="F7" s="310"/>
      <c r="G7" s="310"/>
      <c r="H7" s="311"/>
      <c r="I7" s="312">
        <f>(I5+I6)*0.05</f>
        <v>48510</v>
      </c>
      <c r="J7" s="312">
        <f t="shared" si="0"/>
        <v>46085</v>
      </c>
    </row>
    <row r="8" spans="1:10" s="314" customFormat="1" ht="20.100000000000001" customHeight="1">
      <c r="A8" s="1428"/>
      <c r="B8" s="1452"/>
      <c r="C8" s="1452"/>
      <c r="D8" s="312"/>
      <c r="E8" s="394" t="s">
        <v>1410</v>
      </c>
      <c r="F8" s="394"/>
      <c r="G8" s="394"/>
      <c r="H8" s="394"/>
      <c r="I8" s="306">
        <f>ROUNDUP(I5+I6+I7,0)</f>
        <v>1018710</v>
      </c>
      <c r="J8" s="312">
        <v>967774</v>
      </c>
    </row>
    <row r="9" spans="1:10" s="314" customFormat="1" ht="20.100000000000001" customHeight="1">
      <c r="A9" s="1428">
        <v>2</v>
      </c>
      <c r="B9" s="1452" t="s">
        <v>1653</v>
      </c>
      <c r="C9" s="1452" t="s">
        <v>1654</v>
      </c>
      <c r="D9" s="310" t="s">
        <v>1157</v>
      </c>
      <c r="E9" s="310" t="s">
        <v>1207</v>
      </c>
      <c r="F9" s="310" t="s">
        <v>1096</v>
      </c>
      <c r="G9" s="310">
        <v>8</v>
      </c>
      <c r="H9" s="310">
        <v>50000</v>
      </c>
      <c r="I9" s="332">
        <f>G9*H9</f>
        <v>400000</v>
      </c>
      <c r="J9" s="312">
        <f t="shared" si="0"/>
        <v>380000</v>
      </c>
    </row>
    <row r="10" spans="1:10" s="314" customFormat="1" ht="20.100000000000001" customHeight="1">
      <c r="A10" s="1428"/>
      <c r="B10" s="1452"/>
      <c r="C10" s="1452"/>
      <c r="D10" s="1428" t="s">
        <v>1208</v>
      </c>
      <c r="E10" s="310" t="s">
        <v>1209</v>
      </c>
      <c r="F10" s="394" t="s">
        <v>1476</v>
      </c>
      <c r="G10" s="310">
        <v>1680</v>
      </c>
      <c r="H10" s="310">
        <v>150</v>
      </c>
      <c r="I10" s="332">
        <f t="shared" ref="I10:I12" si="1">G10*H10</f>
        <v>252000</v>
      </c>
      <c r="J10" s="312">
        <f t="shared" si="0"/>
        <v>239400</v>
      </c>
    </row>
    <row r="11" spans="1:10" s="309" customFormat="1" ht="20.100000000000001" customHeight="1">
      <c r="A11" s="1428"/>
      <c r="B11" s="1452"/>
      <c r="C11" s="1452"/>
      <c r="D11" s="1428"/>
      <c r="E11" s="316" t="s">
        <v>1412</v>
      </c>
      <c r="F11" s="310" t="s">
        <v>1111</v>
      </c>
      <c r="G11" s="310">
        <f>G10</f>
        <v>1680</v>
      </c>
      <c r="H11" s="310">
        <v>10</v>
      </c>
      <c r="I11" s="311">
        <f>G11*H11</f>
        <v>16800</v>
      </c>
      <c r="J11" s="312">
        <f t="shared" si="0"/>
        <v>15960</v>
      </c>
    </row>
    <row r="12" spans="1:10" s="314" customFormat="1" ht="20.100000000000001" customHeight="1">
      <c r="A12" s="1428"/>
      <c r="B12" s="1452"/>
      <c r="C12" s="1452"/>
      <c r="D12" s="310" t="s">
        <v>1157</v>
      </c>
      <c r="E12" s="310" t="s">
        <v>1210</v>
      </c>
      <c r="F12" s="310" t="s">
        <v>1416</v>
      </c>
      <c r="G12" s="310">
        <v>1</v>
      </c>
      <c r="H12" s="310">
        <v>300000</v>
      </c>
      <c r="I12" s="332">
        <f t="shared" si="1"/>
        <v>300000</v>
      </c>
      <c r="J12" s="312">
        <f t="shared" si="0"/>
        <v>285000</v>
      </c>
    </row>
    <row r="13" spans="1:10" s="314" customFormat="1" ht="20.100000000000001" customHeight="1">
      <c r="A13" s="1428"/>
      <c r="B13" s="1452"/>
      <c r="C13" s="1452"/>
      <c r="D13" s="310"/>
      <c r="E13" s="310" t="s">
        <v>1097</v>
      </c>
      <c r="F13" s="310"/>
      <c r="G13" s="310"/>
      <c r="H13" s="311"/>
      <c r="I13" s="312">
        <f>SUM(I9:I12)</f>
        <v>968800</v>
      </c>
      <c r="J13" s="312">
        <f t="shared" si="0"/>
        <v>920360</v>
      </c>
    </row>
    <row r="14" spans="1:10" s="314" customFormat="1" ht="20.100000000000001" customHeight="1">
      <c r="A14" s="1428"/>
      <c r="B14" s="1452"/>
      <c r="C14" s="1452"/>
      <c r="D14" s="310"/>
      <c r="E14" s="310" t="s">
        <v>1408</v>
      </c>
      <c r="F14" s="310"/>
      <c r="G14" s="310"/>
      <c r="H14" s="315"/>
      <c r="I14" s="312">
        <f>I13*0.1</f>
        <v>96880</v>
      </c>
      <c r="J14" s="312">
        <f t="shared" si="0"/>
        <v>92036</v>
      </c>
    </row>
    <row r="15" spans="1:10" s="314" customFormat="1" ht="20.100000000000001" customHeight="1">
      <c r="A15" s="1428"/>
      <c r="B15" s="1452"/>
      <c r="C15" s="1452"/>
      <c r="D15" s="310"/>
      <c r="E15" s="310" t="s">
        <v>1409</v>
      </c>
      <c r="F15" s="310"/>
      <c r="G15" s="310"/>
      <c r="H15" s="311"/>
      <c r="I15" s="312">
        <f>(I13+I14)*0.05</f>
        <v>53284</v>
      </c>
      <c r="J15" s="312">
        <f t="shared" si="0"/>
        <v>50620</v>
      </c>
    </row>
    <row r="16" spans="1:10" s="314" customFormat="1" ht="20.100000000000001" customHeight="1">
      <c r="A16" s="1428"/>
      <c r="B16" s="1452"/>
      <c r="C16" s="1452"/>
      <c r="D16" s="312"/>
      <c r="E16" s="394" t="s">
        <v>1410</v>
      </c>
      <c r="F16" s="394"/>
      <c r="G16" s="394"/>
      <c r="H16" s="394"/>
      <c r="I16" s="306">
        <f>ROUNDUP(I13+I14+I15,0)</f>
        <v>1118964</v>
      </c>
      <c r="J16" s="312">
        <f t="shared" si="0"/>
        <v>1063016</v>
      </c>
    </row>
    <row r="17" spans="1:10" s="314" customFormat="1" ht="20.100000000000001" customHeight="1">
      <c r="A17" s="1428">
        <v>3</v>
      </c>
      <c r="B17" s="1452" t="s">
        <v>1655</v>
      </c>
      <c r="C17" s="1452" t="s">
        <v>1656</v>
      </c>
      <c r="D17" s="1428" t="s">
        <v>1657</v>
      </c>
      <c r="E17" s="310" t="s">
        <v>1658</v>
      </c>
      <c r="F17" s="310" t="s">
        <v>1111</v>
      </c>
      <c r="G17" s="310">
        <v>1586</v>
      </c>
      <c r="H17" s="310">
        <v>150</v>
      </c>
      <c r="I17" s="332">
        <f>G17*H17</f>
        <v>237900</v>
      </c>
      <c r="J17" s="312">
        <f t="shared" si="0"/>
        <v>226005</v>
      </c>
    </row>
    <row r="18" spans="1:10" s="309" customFormat="1" ht="20.100000000000001" customHeight="1">
      <c r="A18" s="1428"/>
      <c r="B18" s="1452"/>
      <c r="C18" s="1452"/>
      <c r="D18" s="1428"/>
      <c r="E18" s="310" t="s">
        <v>1102</v>
      </c>
      <c r="F18" s="310" t="s">
        <v>1111</v>
      </c>
      <c r="G18" s="310">
        <f>G17</f>
        <v>1586</v>
      </c>
      <c r="H18" s="310">
        <v>20</v>
      </c>
      <c r="I18" s="332">
        <f>G18*H18</f>
        <v>31720</v>
      </c>
      <c r="J18" s="312">
        <f t="shared" si="0"/>
        <v>30134</v>
      </c>
    </row>
    <row r="19" spans="1:10" s="314" customFormat="1" ht="20.100000000000001" customHeight="1">
      <c r="A19" s="1428"/>
      <c r="B19" s="1452"/>
      <c r="C19" s="1452"/>
      <c r="D19" s="1428"/>
      <c r="E19" s="310" t="s">
        <v>1659</v>
      </c>
      <c r="F19" s="310" t="s">
        <v>1111</v>
      </c>
      <c r="G19" s="310">
        <v>2630</v>
      </c>
      <c r="H19" s="310">
        <v>270</v>
      </c>
      <c r="I19" s="332">
        <f>G19*H19</f>
        <v>710100</v>
      </c>
      <c r="J19" s="312">
        <f t="shared" si="0"/>
        <v>674595</v>
      </c>
    </row>
    <row r="20" spans="1:10" s="309" customFormat="1" ht="20.100000000000001" customHeight="1">
      <c r="A20" s="1428"/>
      <c r="B20" s="1452"/>
      <c r="C20" s="1452"/>
      <c r="D20" s="1428"/>
      <c r="E20" s="310" t="s">
        <v>1102</v>
      </c>
      <c r="F20" s="310" t="s">
        <v>1111</v>
      </c>
      <c r="G20" s="310">
        <f>G19</f>
        <v>2630</v>
      </c>
      <c r="H20" s="310">
        <v>30</v>
      </c>
      <c r="I20" s="332">
        <f>G20*H20</f>
        <v>78900</v>
      </c>
      <c r="J20" s="312">
        <f t="shared" si="0"/>
        <v>74955</v>
      </c>
    </row>
    <row r="21" spans="1:10" s="314" customFormat="1" ht="20.100000000000001" customHeight="1">
      <c r="A21" s="1428"/>
      <c r="B21" s="1452"/>
      <c r="C21" s="1452"/>
      <c r="D21" s="310"/>
      <c r="E21" s="310" t="s">
        <v>1097</v>
      </c>
      <c r="F21" s="310"/>
      <c r="G21" s="310"/>
      <c r="H21" s="311"/>
      <c r="I21" s="312">
        <f>SUM(I17:I20)</f>
        <v>1058620</v>
      </c>
      <c r="J21" s="312">
        <f t="shared" si="0"/>
        <v>1005689</v>
      </c>
    </row>
    <row r="22" spans="1:10" s="314" customFormat="1" ht="20.100000000000001" customHeight="1">
      <c r="A22" s="1428"/>
      <c r="B22" s="1452"/>
      <c r="C22" s="1452"/>
      <c r="D22" s="310"/>
      <c r="E22" s="310" t="s">
        <v>1408</v>
      </c>
      <c r="F22" s="310"/>
      <c r="G22" s="310"/>
      <c r="H22" s="315"/>
      <c r="I22" s="312">
        <f>I21*0.1</f>
        <v>105862</v>
      </c>
      <c r="J22" s="312">
        <f t="shared" si="0"/>
        <v>100569</v>
      </c>
    </row>
    <row r="23" spans="1:10" s="314" customFormat="1" ht="20.100000000000001" customHeight="1">
      <c r="A23" s="1428"/>
      <c r="B23" s="1452"/>
      <c r="C23" s="1452"/>
      <c r="D23" s="310"/>
      <c r="E23" s="310" t="s">
        <v>1409</v>
      </c>
      <c r="F23" s="310"/>
      <c r="G23" s="310"/>
      <c r="H23" s="311"/>
      <c r="I23" s="312">
        <f>(I21+I22)*0.05</f>
        <v>58224.100000000006</v>
      </c>
      <c r="J23" s="312">
        <f t="shared" si="0"/>
        <v>55313</v>
      </c>
    </row>
    <row r="24" spans="1:10" s="314" customFormat="1" ht="20.100000000000001" customHeight="1">
      <c r="A24" s="1428"/>
      <c r="B24" s="1452"/>
      <c r="C24" s="1452"/>
      <c r="D24" s="312"/>
      <c r="E24" s="304" t="s">
        <v>1415</v>
      </c>
      <c r="F24" s="310" t="s">
        <v>1416</v>
      </c>
      <c r="G24" s="310">
        <v>2</v>
      </c>
      <c r="H24" s="310">
        <v>30000</v>
      </c>
      <c r="I24" s="332">
        <f>G24*H24</f>
        <v>60000</v>
      </c>
      <c r="J24" s="312">
        <f t="shared" si="0"/>
        <v>57000</v>
      </c>
    </row>
    <row r="25" spans="1:10" s="314" customFormat="1" ht="20.100000000000001" customHeight="1">
      <c r="A25" s="1428"/>
      <c r="B25" s="1452"/>
      <c r="C25" s="1452"/>
      <c r="D25" s="312"/>
      <c r="E25" s="394" t="s">
        <v>1410</v>
      </c>
      <c r="F25" s="394"/>
      <c r="G25" s="394"/>
      <c r="H25" s="394"/>
      <c r="I25" s="306">
        <f>ROUNDUP(I21+I22+I23+I24,0)</f>
        <v>1282707</v>
      </c>
      <c r="J25" s="312">
        <f t="shared" si="0"/>
        <v>1218572</v>
      </c>
    </row>
    <row r="26" spans="1:10" s="314" customFormat="1" ht="20.100000000000001" customHeight="1">
      <c r="A26" s="1428">
        <v>4</v>
      </c>
      <c r="B26" s="1452" t="s">
        <v>1660</v>
      </c>
      <c r="C26" s="1452" t="s">
        <v>1661</v>
      </c>
      <c r="D26" s="1452" t="s">
        <v>1662</v>
      </c>
      <c r="E26" s="312" t="s">
        <v>1211</v>
      </c>
      <c r="F26" s="310" t="s">
        <v>1111</v>
      </c>
      <c r="G26" s="394">
        <v>220</v>
      </c>
      <c r="H26" s="394">
        <v>200</v>
      </c>
      <c r="I26" s="332">
        <f>G26*H26</f>
        <v>44000</v>
      </c>
      <c r="J26" s="312">
        <f t="shared" si="0"/>
        <v>41800</v>
      </c>
    </row>
    <row r="27" spans="1:10" s="314" customFormat="1" ht="20.100000000000001" customHeight="1">
      <c r="A27" s="1428"/>
      <c r="B27" s="1452"/>
      <c r="C27" s="1452"/>
      <c r="D27" s="1452"/>
      <c r="E27" s="312" t="s">
        <v>1212</v>
      </c>
      <c r="F27" s="310" t="s">
        <v>1111</v>
      </c>
      <c r="G27" s="394">
        <v>300</v>
      </c>
      <c r="H27" s="394">
        <v>350</v>
      </c>
      <c r="I27" s="332">
        <f t="shared" ref="I27:I29" si="2">G27*H27</f>
        <v>105000</v>
      </c>
      <c r="J27" s="312">
        <f t="shared" si="0"/>
        <v>99750</v>
      </c>
    </row>
    <row r="28" spans="1:10" s="309" customFormat="1" ht="20.100000000000001" customHeight="1">
      <c r="A28" s="1428"/>
      <c r="B28" s="1452"/>
      <c r="C28" s="1452"/>
      <c r="D28" s="1452"/>
      <c r="E28" s="316" t="s">
        <v>1412</v>
      </c>
      <c r="F28" s="310" t="s">
        <v>1111</v>
      </c>
      <c r="G28" s="310">
        <f>G27</f>
        <v>300</v>
      </c>
      <c r="H28" s="310">
        <v>50</v>
      </c>
      <c r="I28" s="311">
        <f>G28*H28</f>
        <v>15000</v>
      </c>
      <c r="J28" s="312">
        <f t="shared" si="0"/>
        <v>14250</v>
      </c>
    </row>
    <row r="29" spans="1:10" s="314" customFormat="1" ht="20.100000000000001" customHeight="1">
      <c r="A29" s="1428"/>
      <c r="B29" s="1452"/>
      <c r="C29" s="1452"/>
      <c r="D29" s="1452"/>
      <c r="E29" s="312" t="s">
        <v>1663</v>
      </c>
      <c r="F29" s="310" t="s">
        <v>1111</v>
      </c>
      <c r="G29" s="394">
        <v>210</v>
      </c>
      <c r="H29" s="394">
        <v>130</v>
      </c>
      <c r="I29" s="332">
        <f t="shared" si="2"/>
        <v>27300</v>
      </c>
      <c r="J29" s="312">
        <f t="shared" si="0"/>
        <v>25935</v>
      </c>
    </row>
    <row r="30" spans="1:10" s="314" customFormat="1" ht="20.100000000000001" customHeight="1">
      <c r="A30" s="1428"/>
      <c r="B30" s="1452"/>
      <c r="C30" s="1452"/>
      <c r="D30" s="310"/>
      <c r="E30" s="310" t="s">
        <v>1097</v>
      </c>
      <c r="F30" s="310"/>
      <c r="G30" s="310"/>
      <c r="H30" s="311"/>
      <c r="I30" s="312">
        <f>SUM(I26:I29)</f>
        <v>191300</v>
      </c>
      <c r="J30" s="312">
        <f t="shared" si="0"/>
        <v>181735</v>
      </c>
    </row>
    <row r="31" spans="1:10" s="314" customFormat="1" ht="20.100000000000001" customHeight="1">
      <c r="A31" s="1428"/>
      <c r="B31" s="1452"/>
      <c r="C31" s="1452"/>
      <c r="D31" s="310"/>
      <c r="E31" s="310" t="s">
        <v>1408</v>
      </c>
      <c r="F31" s="310"/>
      <c r="G31" s="310"/>
      <c r="H31" s="315"/>
      <c r="I31" s="312">
        <f>I30*0.1</f>
        <v>19130</v>
      </c>
      <c r="J31" s="312">
        <f t="shared" si="0"/>
        <v>18174</v>
      </c>
    </row>
    <row r="32" spans="1:10" s="314" customFormat="1" ht="20.100000000000001" customHeight="1">
      <c r="A32" s="1428"/>
      <c r="B32" s="1452"/>
      <c r="C32" s="1452"/>
      <c r="D32" s="310"/>
      <c r="E32" s="310" t="s">
        <v>1409</v>
      </c>
      <c r="F32" s="310"/>
      <c r="G32" s="310"/>
      <c r="H32" s="311"/>
      <c r="I32" s="312">
        <f>(I30+I31)*0.05</f>
        <v>10521.5</v>
      </c>
      <c r="J32" s="312">
        <f t="shared" si="0"/>
        <v>9995</v>
      </c>
    </row>
    <row r="33" spans="1:10" s="314" customFormat="1" ht="20.100000000000001" customHeight="1">
      <c r="A33" s="1428"/>
      <c r="B33" s="1452"/>
      <c r="C33" s="1452"/>
      <c r="D33" s="312"/>
      <c r="E33" s="312" t="s">
        <v>1410</v>
      </c>
      <c r="F33" s="310"/>
      <c r="G33" s="310"/>
      <c r="H33" s="310"/>
      <c r="I33" s="306">
        <f>ROUNDUP(I30+I31+I32,0)</f>
        <v>220952</v>
      </c>
      <c r="J33" s="312">
        <f t="shared" si="0"/>
        <v>209904</v>
      </c>
    </row>
    <row r="34" spans="1:10" s="314" customFormat="1" ht="20.100000000000001" customHeight="1">
      <c r="A34" s="1428">
        <v>5</v>
      </c>
      <c r="B34" s="1452" t="s">
        <v>1664</v>
      </c>
      <c r="C34" s="1452" t="s">
        <v>1665</v>
      </c>
      <c r="D34" s="1452" t="s">
        <v>1610</v>
      </c>
      <c r="E34" s="312" t="s">
        <v>1212</v>
      </c>
      <c r="F34" s="310" t="s">
        <v>1111</v>
      </c>
      <c r="G34" s="394">
        <v>1000</v>
      </c>
      <c r="H34" s="394">
        <v>350</v>
      </c>
      <c r="I34" s="332">
        <f>G34*H34</f>
        <v>350000</v>
      </c>
      <c r="J34" s="312">
        <f t="shared" si="0"/>
        <v>332500</v>
      </c>
    </row>
    <row r="35" spans="1:10" s="309" customFormat="1" ht="20.100000000000001" customHeight="1">
      <c r="A35" s="1428"/>
      <c r="B35" s="1452"/>
      <c r="C35" s="1452"/>
      <c r="D35" s="1452"/>
      <c r="E35" s="316" t="s">
        <v>1412</v>
      </c>
      <c r="F35" s="310" t="s">
        <v>1111</v>
      </c>
      <c r="G35" s="310">
        <f>G34</f>
        <v>1000</v>
      </c>
      <c r="H35" s="310">
        <v>50</v>
      </c>
      <c r="I35" s="311">
        <f>G35*H35</f>
        <v>50000</v>
      </c>
      <c r="J35" s="312">
        <f t="shared" si="0"/>
        <v>47500</v>
      </c>
    </row>
    <row r="36" spans="1:10" s="314" customFormat="1" ht="20.100000000000001" customHeight="1">
      <c r="A36" s="1428"/>
      <c r="B36" s="1452"/>
      <c r="C36" s="1452"/>
      <c r="D36" s="1452"/>
      <c r="E36" s="394" t="s">
        <v>1666</v>
      </c>
      <c r="F36" s="310" t="s">
        <v>1111</v>
      </c>
      <c r="G36" s="394">
        <v>48</v>
      </c>
      <c r="H36" s="394">
        <v>2000</v>
      </c>
      <c r="I36" s="332">
        <f t="shared" ref="I36:I38" si="3">G36*H36</f>
        <v>96000</v>
      </c>
      <c r="J36" s="312">
        <f t="shared" si="0"/>
        <v>91200</v>
      </c>
    </row>
    <row r="37" spans="1:10" s="314" customFormat="1" ht="20.100000000000001" customHeight="1">
      <c r="A37" s="1428"/>
      <c r="B37" s="1452"/>
      <c r="C37" s="1452"/>
      <c r="D37" s="1452"/>
      <c r="E37" s="394" t="s">
        <v>1667</v>
      </c>
      <c r="F37" s="310" t="s">
        <v>1111</v>
      </c>
      <c r="G37" s="394">
        <v>27</v>
      </c>
      <c r="H37" s="394">
        <v>1000</v>
      </c>
      <c r="I37" s="332">
        <f t="shared" si="3"/>
        <v>27000</v>
      </c>
      <c r="J37" s="312">
        <f t="shared" si="0"/>
        <v>25650</v>
      </c>
    </row>
    <row r="38" spans="1:10" s="314" customFormat="1" ht="20.100000000000001" customHeight="1">
      <c r="A38" s="1428"/>
      <c r="B38" s="1452"/>
      <c r="C38" s="1452"/>
      <c r="D38" s="1452"/>
      <c r="E38" s="394" t="s">
        <v>1668</v>
      </c>
      <c r="F38" s="310" t="s">
        <v>1111</v>
      </c>
      <c r="G38" s="394">
        <v>10</v>
      </c>
      <c r="H38" s="394">
        <v>1000</v>
      </c>
      <c r="I38" s="332">
        <f t="shared" si="3"/>
        <v>10000</v>
      </c>
      <c r="J38" s="312">
        <f t="shared" si="0"/>
        <v>9500</v>
      </c>
    </row>
    <row r="39" spans="1:10" s="314" customFormat="1" ht="20.100000000000001" customHeight="1">
      <c r="A39" s="1428"/>
      <c r="B39" s="1452"/>
      <c r="C39" s="1452"/>
      <c r="D39" s="310"/>
      <c r="E39" s="310" t="s">
        <v>1097</v>
      </c>
      <c r="F39" s="310"/>
      <c r="G39" s="310"/>
      <c r="H39" s="311"/>
      <c r="I39" s="312">
        <f>SUM(I34:I38)</f>
        <v>533000</v>
      </c>
      <c r="J39" s="312">
        <f t="shared" si="0"/>
        <v>506350</v>
      </c>
    </row>
    <row r="40" spans="1:10" s="314" customFormat="1" ht="20.100000000000001" customHeight="1">
      <c r="A40" s="1428"/>
      <c r="B40" s="1452"/>
      <c r="C40" s="1452"/>
      <c r="D40" s="310"/>
      <c r="E40" s="310" t="s">
        <v>1098</v>
      </c>
      <c r="F40" s="310"/>
      <c r="G40" s="310"/>
      <c r="H40" s="315"/>
      <c r="I40" s="312">
        <f>I39*0.1</f>
        <v>53300</v>
      </c>
      <c r="J40" s="312">
        <f t="shared" si="0"/>
        <v>50635</v>
      </c>
    </row>
    <row r="41" spans="1:10" s="314" customFormat="1" ht="20.100000000000001" customHeight="1">
      <c r="A41" s="1428"/>
      <c r="B41" s="1452"/>
      <c r="C41" s="1452"/>
      <c r="D41" s="310"/>
      <c r="E41" s="310" t="s">
        <v>1409</v>
      </c>
      <c r="F41" s="310"/>
      <c r="G41" s="310"/>
      <c r="H41" s="311"/>
      <c r="I41" s="312">
        <f>(I39+I40)*0.05</f>
        <v>29315</v>
      </c>
      <c r="J41" s="312">
        <f t="shared" si="0"/>
        <v>27849</v>
      </c>
    </row>
    <row r="42" spans="1:10" s="314" customFormat="1" ht="20.100000000000001" customHeight="1">
      <c r="A42" s="1428"/>
      <c r="B42" s="1452"/>
      <c r="C42" s="1452"/>
      <c r="D42" s="312"/>
      <c r="E42" s="312" t="s">
        <v>1100</v>
      </c>
      <c r="F42" s="310"/>
      <c r="G42" s="310"/>
      <c r="H42" s="310"/>
      <c r="I42" s="306">
        <f>ROUNDUP(I39+I40+I41,0)</f>
        <v>615615</v>
      </c>
      <c r="J42" s="312">
        <f t="shared" si="0"/>
        <v>584834</v>
      </c>
    </row>
    <row r="43" spans="1:10" s="314" customFormat="1" ht="20.100000000000001" customHeight="1">
      <c r="A43" s="1453">
        <v>6</v>
      </c>
      <c r="B43" s="1453" t="s">
        <v>1213</v>
      </c>
      <c r="C43" s="1453" t="s">
        <v>1214</v>
      </c>
      <c r="D43" s="1452" t="s">
        <v>1215</v>
      </c>
      <c r="E43" s="310" t="s">
        <v>1113</v>
      </c>
      <c r="F43" s="310" t="s">
        <v>1111</v>
      </c>
      <c r="G43" s="394">
        <v>400</v>
      </c>
      <c r="H43" s="394">
        <v>300</v>
      </c>
      <c r="I43" s="332">
        <f>G43*H43</f>
        <v>120000</v>
      </c>
      <c r="J43" s="312">
        <f t="shared" si="0"/>
        <v>114000</v>
      </c>
    </row>
    <row r="44" spans="1:10" s="309" customFormat="1" ht="20.100000000000001" customHeight="1">
      <c r="A44" s="1453"/>
      <c r="B44" s="1453"/>
      <c r="C44" s="1453"/>
      <c r="D44" s="1452"/>
      <c r="E44" s="310" t="s">
        <v>1102</v>
      </c>
      <c r="F44" s="310" t="s">
        <v>1111</v>
      </c>
      <c r="G44" s="310">
        <f>G43</f>
        <v>400</v>
      </c>
      <c r="H44" s="310">
        <v>30</v>
      </c>
      <c r="I44" s="332">
        <f>G44*H44</f>
        <v>12000</v>
      </c>
      <c r="J44" s="312">
        <f t="shared" si="0"/>
        <v>11400</v>
      </c>
    </row>
    <row r="45" spans="1:10" s="314" customFormat="1" ht="20.100000000000001" customHeight="1">
      <c r="A45" s="1453"/>
      <c r="B45" s="1453"/>
      <c r="C45" s="1453"/>
      <c r="D45" s="310"/>
      <c r="E45" s="310" t="s">
        <v>1097</v>
      </c>
      <c r="F45" s="310"/>
      <c r="G45" s="310"/>
      <c r="H45" s="311"/>
      <c r="I45" s="312">
        <f>SUM(I43:I44)</f>
        <v>132000</v>
      </c>
      <c r="J45" s="312">
        <f t="shared" si="0"/>
        <v>125400</v>
      </c>
    </row>
    <row r="46" spans="1:10" s="314" customFormat="1" ht="20.100000000000001" customHeight="1">
      <c r="A46" s="1453"/>
      <c r="B46" s="1453"/>
      <c r="C46" s="1453"/>
      <c r="D46" s="310"/>
      <c r="E46" s="310" t="s">
        <v>1098</v>
      </c>
      <c r="F46" s="310"/>
      <c r="G46" s="310"/>
      <c r="H46" s="315"/>
      <c r="I46" s="312">
        <f>I45*0.1</f>
        <v>13200</v>
      </c>
      <c r="J46" s="312">
        <f t="shared" si="0"/>
        <v>12540</v>
      </c>
    </row>
    <row r="47" spans="1:10" s="314" customFormat="1" ht="20.100000000000001" customHeight="1">
      <c r="A47" s="1453"/>
      <c r="B47" s="1453"/>
      <c r="C47" s="1453"/>
      <c r="D47" s="310"/>
      <c r="E47" s="310" t="s">
        <v>1099</v>
      </c>
      <c r="F47" s="310"/>
      <c r="G47" s="310"/>
      <c r="H47" s="311"/>
      <c r="I47" s="312">
        <f>(I45+I46)*0.05</f>
        <v>7260</v>
      </c>
      <c r="J47" s="312">
        <f t="shared" si="0"/>
        <v>6897</v>
      </c>
    </row>
    <row r="48" spans="1:10" s="314" customFormat="1" ht="20.100000000000001" customHeight="1">
      <c r="A48" s="1453"/>
      <c r="B48" s="1453"/>
      <c r="C48" s="1453"/>
      <c r="D48" s="312"/>
      <c r="E48" s="304" t="s">
        <v>1104</v>
      </c>
      <c r="F48" s="310" t="s">
        <v>1416</v>
      </c>
      <c r="G48" s="310">
        <v>1</v>
      </c>
      <c r="H48" s="310">
        <v>30000</v>
      </c>
      <c r="I48" s="332">
        <f>G48*H48</f>
        <v>30000</v>
      </c>
      <c r="J48" s="312">
        <f t="shared" si="0"/>
        <v>28500</v>
      </c>
    </row>
    <row r="49" spans="1:10" s="314" customFormat="1" ht="20.100000000000001" customHeight="1">
      <c r="A49" s="1453"/>
      <c r="B49" s="1453"/>
      <c r="C49" s="1453"/>
      <c r="D49" s="312"/>
      <c r="E49" s="310" t="s">
        <v>1100</v>
      </c>
      <c r="F49" s="310"/>
      <c r="G49" s="310"/>
      <c r="H49" s="310"/>
      <c r="I49" s="306">
        <f>ROUNDUP(I45+I46+I47+I48,0)</f>
        <v>182460</v>
      </c>
      <c r="J49" s="312">
        <f t="shared" si="0"/>
        <v>173337</v>
      </c>
    </row>
    <row r="50" spans="1:10" s="314" customFormat="1" ht="20.100000000000001" customHeight="1">
      <c r="A50" s="1428">
        <v>7</v>
      </c>
      <c r="B50" s="1452" t="s">
        <v>1216</v>
      </c>
      <c r="C50" s="1452" t="s">
        <v>1217</v>
      </c>
      <c r="D50" s="310" t="s">
        <v>1218</v>
      </c>
      <c r="E50" s="310" t="s">
        <v>1669</v>
      </c>
      <c r="F50" s="310" t="s">
        <v>1111</v>
      </c>
      <c r="G50" s="310">
        <v>2000</v>
      </c>
      <c r="H50" s="310">
        <v>150</v>
      </c>
      <c r="I50" s="311">
        <f t="shared" ref="I50" si="4">G50*H50</f>
        <v>300000</v>
      </c>
      <c r="J50" s="312">
        <f t="shared" si="0"/>
        <v>285000</v>
      </c>
    </row>
    <row r="51" spans="1:10" s="314" customFormat="1" ht="20.100000000000001" customHeight="1">
      <c r="A51" s="1428"/>
      <c r="B51" s="1452"/>
      <c r="C51" s="1452"/>
      <c r="D51" s="310"/>
      <c r="E51" s="310" t="s">
        <v>1097</v>
      </c>
      <c r="F51" s="310"/>
      <c r="G51" s="310"/>
      <c r="H51" s="311"/>
      <c r="I51" s="312">
        <f>SUM(I50:I50)</f>
        <v>300000</v>
      </c>
      <c r="J51" s="312">
        <f t="shared" si="0"/>
        <v>285000</v>
      </c>
    </row>
    <row r="52" spans="1:10" s="314" customFormat="1" ht="20.100000000000001" customHeight="1">
      <c r="A52" s="1428"/>
      <c r="B52" s="1452"/>
      <c r="C52" s="1452"/>
      <c r="D52" s="310"/>
      <c r="E52" s="310" t="s">
        <v>1408</v>
      </c>
      <c r="F52" s="310"/>
      <c r="G52" s="310"/>
      <c r="H52" s="315"/>
      <c r="I52" s="312">
        <f>I51*0.1</f>
        <v>30000</v>
      </c>
      <c r="J52" s="312">
        <f t="shared" si="0"/>
        <v>28500</v>
      </c>
    </row>
    <row r="53" spans="1:10" s="314" customFormat="1" ht="20.100000000000001" customHeight="1">
      <c r="A53" s="1428"/>
      <c r="B53" s="1452"/>
      <c r="C53" s="1452"/>
      <c r="D53" s="310"/>
      <c r="E53" s="310" t="s">
        <v>1099</v>
      </c>
      <c r="F53" s="310"/>
      <c r="G53" s="310"/>
      <c r="H53" s="311"/>
      <c r="I53" s="312">
        <f>(I51+I52)*0.05</f>
        <v>16500</v>
      </c>
      <c r="J53" s="312">
        <f t="shared" si="0"/>
        <v>15675</v>
      </c>
    </row>
    <row r="54" spans="1:10" s="314" customFormat="1" ht="20.100000000000001" customHeight="1">
      <c r="A54" s="1428"/>
      <c r="B54" s="1452"/>
      <c r="C54" s="1452"/>
      <c r="D54" s="312"/>
      <c r="E54" s="394" t="s">
        <v>1100</v>
      </c>
      <c r="F54" s="394"/>
      <c r="G54" s="394"/>
      <c r="H54" s="394"/>
      <c r="I54" s="306">
        <f>ROUNDUP(I51+I52+I53,0)</f>
        <v>346500</v>
      </c>
      <c r="J54" s="312">
        <f t="shared" si="0"/>
        <v>329175</v>
      </c>
    </row>
    <row r="55" spans="1:10" s="314" customFormat="1" ht="20.100000000000001" customHeight="1">
      <c r="A55" s="1428">
        <v>8</v>
      </c>
      <c r="B55" s="1452" t="s">
        <v>1219</v>
      </c>
      <c r="C55" s="1452" t="s">
        <v>1670</v>
      </c>
      <c r="D55" s="361" t="s">
        <v>1220</v>
      </c>
      <c r="E55" s="312" t="s">
        <v>1221</v>
      </c>
      <c r="F55" s="394" t="s">
        <v>1093</v>
      </c>
      <c r="G55" s="394">
        <v>2000</v>
      </c>
      <c r="H55" s="394">
        <v>200</v>
      </c>
      <c r="I55" s="332">
        <f>H55*G55</f>
        <v>400000</v>
      </c>
      <c r="J55" s="312">
        <f t="shared" si="0"/>
        <v>380000</v>
      </c>
    </row>
    <row r="56" spans="1:10" s="314" customFormat="1" ht="20.100000000000001" customHeight="1">
      <c r="A56" s="1428"/>
      <c r="B56" s="1452"/>
      <c r="C56" s="1452"/>
      <c r="D56" s="1452" t="s">
        <v>1222</v>
      </c>
      <c r="E56" s="394" t="s">
        <v>1223</v>
      </c>
      <c r="F56" s="394" t="s">
        <v>1103</v>
      </c>
      <c r="G56" s="394">
        <v>400</v>
      </c>
      <c r="H56" s="394">
        <v>570</v>
      </c>
      <c r="I56" s="332">
        <f>H56*G56</f>
        <v>228000</v>
      </c>
      <c r="J56" s="312">
        <f t="shared" si="0"/>
        <v>216600</v>
      </c>
    </row>
    <row r="57" spans="1:10" s="314" customFormat="1" ht="20.100000000000001" customHeight="1">
      <c r="A57" s="1428"/>
      <c r="B57" s="1452"/>
      <c r="C57" s="1452"/>
      <c r="D57" s="1452"/>
      <c r="E57" s="394" t="s">
        <v>1224</v>
      </c>
      <c r="F57" s="394" t="s">
        <v>1107</v>
      </c>
      <c r="G57" s="394">
        <v>1</v>
      </c>
      <c r="H57" s="394">
        <v>30000</v>
      </c>
      <c r="I57" s="332">
        <f>G57*H57</f>
        <v>30000</v>
      </c>
      <c r="J57" s="312">
        <f t="shared" si="0"/>
        <v>28500</v>
      </c>
    </row>
    <row r="58" spans="1:10" s="314" customFormat="1" ht="20.100000000000001" customHeight="1">
      <c r="A58" s="1428"/>
      <c r="B58" s="1452"/>
      <c r="C58" s="1452"/>
      <c r="D58" s="310"/>
      <c r="E58" s="310" t="s">
        <v>1097</v>
      </c>
      <c r="F58" s="310"/>
      <c r="G58" s="310"/>
      <c r="H58" s="311"/>
      <c r="I58" s="312">
        <f>SUM(I55:I57)</f>
        <v>658000</v>
      </c>
      <c r="J58" s="312">
        <f t="shared" si="0"/>
        <v>625100</v>
      </c>
    </row>
    <row r="59" spans="1:10" s="314" customFormat="1" ht="20.100000000000001" customHeight="1">
      <c r="A59" s="1428"/>
      <c r="B59" s="1452"/>
      <c r="C59" s="1452"/>
      <c r="D59" s="310"/>
      <c r="E59" s="310" t="s">
        <v>1098</v>
      </c>
      <c r="F59" s="310"/>
      <c r="G59" s="310"/>
      <c r="H59" s="315"/>
      <c r="I59" s="312">
        <f>I58*0.1</f>
        <v>65800</v>
      </c>
      <c r="J59" s="312">
        <f t="shared" si="0"/>
        <v>62510</v>
      </c>
    </row>
    <row r="60" spans="1:10" s="314" customFormat="1" ht="20.100000000000001" customHeight="1">
      <c r="A60" s="1428"/>
      <c r="B60" s="1452"/>
      <c r="C60" s="1452"/>
      <c r="D60" s="310"/>
      <c r="E60" s="310" t="s">
        <v>1099</v>
      </c>
      <c r="F60" s="310"/>
      <c r="G60" s="310"/>
      <c r="H60" s="311"/>
      <c r="I60" s="312">
        <f>(I58+I59)*0.05</f>
        <v>36190</v>
      </c>
      <c r="J60" s="312">
        <f t="shared" si="0"/>
        <v>34381</v>
      </c>
    </row>
    <row r="61" spans="1:10" s="314" customFormat="1" ht="20.100000000000001" customHeight="1">
      <c r="A61" s="1428"/>
      <c r="B61" s="1452"/>
      <c r="C61" s="1452"/>
      <c r="D61" s="312"/>
      <c r="E61" s="394" t="s">
        <v>1100</v>
      </c>
      <c r="F61" s="394"/>
      <c r="G61" s="394"/>
      <c r="H61" s="394"/>
      <c r="I61" s="306">
        <f>ROUNDUP(I58+I59+I60,0)</f>
        <v>759990</v>
      </c>
      <c r="J61" s="312">
        <f t="shared" si="0"/>
        <v>721991</v>
      </c>
    </row>
    <row r="62" spans="1:10" s="314" customFormat="1" ht="20.100000000000001" customHeight="1">
      <c r="A62" s="1428">
        <v>9</v>
      </c>
      <c r="B62" s="1428" t="s">
        <v>1225</v>
      </c>
      <c r="C62" s="1428" t="s">
        <v>1226</v>
      </c>
      <c r="D62" s="1452" t="s">
        <v>1671</v>
      </c>
      <c r="E62" s="394" t="s">
        <v>1672</v>
      </c>
      <c r="F62" s="361" t="s">
        <v>1687</v>
      </c>
      <c r="G62" s="394">
        <v>40</v>
      </c>
      <c r="H62" s="394">
        <v>300</v>
      </c>
      <c r="I62" s="332">
        <f>G62*H62</f>
        <v>12000</v>
      </c>
      <c r="J62" s="312">
        <f t="shared" si="0"/>
        <v>11400</v>
      </c>
    </row>
    <row r="63" spans="1:10" s="314" customFormat="1" ht="20.100000000000001" customHeight="1">
      <c r="A63" s="1428"/>
      <c r="B63" s="1428"/>
      <c r="C63" s="1428"/>
      <c r="D63" s="1452"/>
      <c r="E63" s="394" t="s">
        <v>1673</v>
      </c>
      <c r="F63" s="361" t="s">
        <v>1687</v>
      </c>
      <c r="G63" s="394">
        <v>8</v>
      </c>
      <c r="H63" s="394">
        <v>2000</v>
      </c>
      <c r="I63" s="332">
        <f t="shared" ref="I63:I66" si="5">G63*H63</f>
        <v>16000</v>
      </c>
      <c r="J63" s="312">
        <f t="shared" si="0"/>
        <v>15200</v>
      </c>
    </row>
    <row r="64" spans="1:10" s="314" customFormat="1" ht="20.100000000000001" customHeight="1">
      <c r="A64" s="1428"/>
      <c r="B64" s="1428"/>
      <c r="C64" s="1428"/>
      <c r="D64" s="394" t="s">
        <v>1674</v>
      </c>
      <c r="E64" s="312" t="s">
        <v>1675</v>
      </c>
      <c r="F64" s="361" t="s">
        <v>1687</v>
      </c>
      <c r="G64" s="312">
        <v>300</v>
      </c>
      <c r="H64" s="394">
        <v>100</v>
      </c>
      <c r="I64" s="332">
        <f t="shared" si="5"/>
        <v>30000</v>
      </c>
      <c r="J64" s="312">
        <f t="shared" si="0"/>
        <v>28500</v>
      </c>
    </row>
    <row r="65" spans="1:10" s="314" customFormat="1" ht="20.100000000000001" customHeight="1">
      <c r="A65" s="1428"/>
      <c r="B65" s="1428"/>
      <c r="C65" s="1428"/>
      <c r="D65" s="1452" t="s">
        <v>1676</v>
      </c>
      <c r="E65" s="312" t="s">
        <v>1677</v>
      </c>
      <c r="F65" s="361" t="s">
        <v>1687</v>
      </c>
      <c r="G65" s="312">
        <v>100</v>
      </c>
      <c r="H65" s="312">
        <v>45</v>
      </c>
      <c r="I65" s="332">
        <f t="shared" si="5"/>
        <v>4500</v>
      </c>
      <c r="J65" s="312">
        <f t="shared" si="0"/>
        <v>4275</v>
      </c>
    </row>
    <row r="66" spans="1:10" s="314" customFormat="1" ht="20.100000000000001" customHeight="1">
      <c r="A66" s="1428"/>
      <c r="B66" s="1428"/>
      <c r="C66" s="1428"/>
      <c r="D66" s="1452"/>
      <c r="E66" s="312" t="s">
        <v>1227</v>
      </c>
      <c r="F66" s="361" t="s">
        <v>1678</v>
      </c>
      <c r="G66" s="312">
        <v>16</v>
      </c>
      <c r="H66" s="312">
        <v>1000</v>
      </c>
      <c r="I66" s="332">
        <f t="shared" si="5"/>
        <v>16000</v>
      </c>
      <c r="J66" s="312">
        <f t="shared" si="0"/>
        <v>15200</v>
      </c>
    </row>
    <row r="67" spans="1:10" s="314" customFormat="1" ht="20.100000000000001" customHeight="1">
      <c r="A67" s="1428"/>
      <c r="B67" s="1428"/>
      <c r="C67" s="1428"/>
      <c r="D67" s="310"/>
      <c r="E67" s="310" t="s">
        <v>1097</v>
      </c>
      <c r="F67" s="310"/>
      <c r="G67" s="310"/>
      <c r="H67" s="311"/>
      <c r="I67" s="312">
        <f>SUM(I62:I66)</f>
        <v>78500</v>
      </c>
      <c r="J67" s="312">
        <f t="shared" si="0"/>
        <v>74575</v>
      </c>
    </row>
    <row r="68" spans="1:10" s="314" customFormat="1" ht="20.100000000000001" customHeight="1">
      <c r="A68" s="1428"/>
      <c r="B68" s="1428"/>
      <c r="C68" s="1428"/>
      <c r="D68" s="310"/>
      <c r="E68" s="310" t="s">
        <v>1408</v>
      </c>
      <c r="F68" s="310"/>
      <c r="G68" s="310"/>
      <c r="H68" s="315"/>
      <c r="I68" s="312">
        <f>I67*0.1</f>
        <v>7850</v>
      </c>
      <c r="J68" s="312">
        <f t="shared" ref="J68:J79" si="6">ROUND(I68*0.95,0)</f>
        <v>7458</v>
      </c>
    </row>
    <row r="69" spans="1:10" s="314" customFormat="1" ht="20.100000000000001" customHeight="1">
      <c r="A69" s="1428"/>
      <c r="B69" s="1428"/>
      <c r="C69" s="1428"/>
      <c r="D69" s="310"/>
      <c r="E69" s="310" t="s">
        <v>1409</v>
      </c>
      <c r="F69" s="310"/>
      <c r="G69" s="310"/>
      <c r="H69" s="311"/>
      <c r="I69" s="312">
        <f>(I67+I68)*0.05</f>
        <v>4317.5</v>
      </c>
      <c r="J69" s="312">
        <f t="shared" si="6"/>
        <v>4102</v>
      </c>
    </row>
    <row r="70" spans="1:10" s="314" customFormat="1" ht="20.100000000000001" customHeight="1">
      <c r="A70" s="1428"/>
      <c r="B70" s="1428"/>
      <c r="C70" s="1428"/>
      <c r="D70" s="312"/>
      <c r="E70" s="310" t="s">
        <v>1410</v>
      </c>
      <c r="F70" s="310"/>
      <c r="G70" s="310"/>
      <c r="H70" s="310"/>
      <c r="I70" s="306">
        <f>ROUNDUP(I67+I68+I69,0)</f>
        <v>90668</v>
      </c>
      <c r="J70" s="514">
        <f t="shared" si="6"/>
        <v>86135</v>
      </c>
    </row>
    <row r="71" spans="1:10" s="314" customFormat="1" ht="20.100000000000001" customHeight="1">
      <c r="A71" s="1428">
        <v>10</v>
      </c>
      <c r="B71" s="1428" t="s">
        <v>1679</v>
      </c>
      <c r="C71" s="1428" t="s">
        <v>1680</v>
      </c>
      <c r="D71" s="1428" t="s">
        <v>1610</v>
      </c>
      <c r="E71" s="310" t="s">
        <v>1681</v>
      </c>
      <c r="F71" s="394" t="s">
        <v>1093</v>
      </c>
      <c r="G71" s="310">
        <v>40</v>
      </c>
      <c r="H71" s="310">
        <v>1000</v>
      </c>
      <c r="I71" s="311">
        <f>G71*H71</f>
        <v>40000</v>
      </c>
      <c r="J71" s="312">
        <f t="shared" si="6"/>
        <v>38000</v>
      </c>
    </row>
    <row r="72" spans="1:10" s="314" customFormat="1" ht="20.100000000000001" customHeight="1">
      <c r="A72" s="1428"/>
      <c r="B72" s="1428"/>
      <c r="C72" s="1428"/>
      <c r="D72" s="1428"/>
      <c r="E72" s="310" t="s">
        <v>1682</v>
      </c>
      <c r="F72" s="394" t="s">
        <v>1093</v>
      </c>
      <c r="G72" s="310">
        <v>20</v>
      </c>
      <c r="H72" s="310">
        <v>1000</v>
      </c>
      <c r="I72" s="311">
        <f>G72*H72</f>
        <v>20000</v>
      </c>
      <c r="J72" s="312">
        <f t="shared" si="6"/>
        <v>19000</v>
      </c>
    </row>
    <row r="73" spans="1:10" s="314" customFormat="1" ht="20.100000000000001" customHeight="1">
      <c r="A73" s="1428"/>
      <c r="B73" s="1428"/>
      <c r="C73" s="1428"/>
      <c r="D73" s="1428" t="s">
        <v>1683</v>
      </c>
      <c r="E73" s="310" t="s">
        <v>1684</v>
      </c>
      <c r="F73" s="394" t="s">
        <v>1093</v>
      </c>
      <c r="G73" s="310">
        <v>10</v>
      </c>
      <c r="H73" s="310">
        <v>2000</v>
      </c>
      <c r="I73" s="311">
        <f>G73*H73</f>
        <v>20000</v>
      </c>
      <c r="J73" s="312">
        <f t="shared" si="6"/>
        <v>19000</v>
      </c>
    </row>
    <row r="74" spans="1:10" s="314" customFormat="1" ht="20.100000000000001" customHeight="1">
      <c r="A74" s="1428"/>
      <c r="B74" s="1428"/>
      <c r="C74" s="1428"/>
      <c r="D74" s="1428"/>
      <c r="E74" s="310" t="s">
        <v>1685</v>
      </c>
      <c r="F74" s="310" t="s">
        <v>1686</v>
      </c>
      <c r="G74" s="310">
        <v>20</v>
      </c>
      <c r="H74" s="310">
        <v>1000</v>
      </c>
      <c r="I74" s="311">
        <f>G74*H74</f>
        <v>20000</v>
      </c>
      <c r="J74" s="312">
        <f t="shared" si="6"/>
        <v>19000</v>
      </c>
    </row>
    <row r="75" spans="1:10" s="314" customFormat="1" ht="20.100000000000001" customHeight="1">
      <c r="A75" s="1428"/>
      <c r="B75" s="1428"/>
      <c r="C75" s="1428"/>
      <c r="D75" s="310"/>
      <c r="E75" s="310" t="s">
        <v>1097</v>
      </c>
      <c r="F75" s="310"/>
      <c r="G75" s="310"/>
      <c r="H75" s="311"/>
      <c r="I75" s="312">
        <f>SUM(I71:I74)</f>
        <v>100000</v>
      </c>
      <c r="J75" s="312">
        <f t="shared" si="6"/>
        <v>95000</v>
      </c>
    </row>
    <row r="76" spans="1:10" s="314" customFormat="1" ht="20.100000000000001" customHeight="1">
      <c r="A76" s="1428"/>
      <c r="B76" s="1428"/>
      <c r="C76" s="1428"/>
      <c r="D76" s="310"/>
      <c r="E76" s="310" t="s">
        <v>1408</v>
      </c>
      <c r="F76" s="310"/>
      <c r="G76" s="310"/>
      <c r="H76" s="315"/>
      <c r="I76" s="312">
        <f>I75*0.1</f>
        <v>10000</v>
      </c>
      <c r="J76" s="312">
        <f t="shared" si="6"/>
        <v>9500</v>
      </c>
    </row>
    <row r="77" spans="1:10" s="314" customFormat="1" ht="20.100000000000001" customHeight="1">
      <c r="A77" s="1428"/>
      <c r="B77" s="1428"/>
      <c r="C77" s="1428"/>
      <c r="D77" s="310"/>
      <c r="E77" s="310" t="s">
        <v>1409</v>
      </c>
      <c r="F77" s="310"/>
      <c r="G77" s="310"/>
      <c r="H77" s="311"/>
      <c r="I77" s="312">
        <f>(I75+I76)*0.05</f>
        <v>5500</v>
      </c>
      <c r="J77" s="312">
        <f t="shared" si="6"/>
        <v>5225</v>
      </c>
    </row>
    <row r="78" spans="1:10" s="314" customFormat="1" ht="20.100000000000001" customHeight="1">
      <c r="A78" s="1428"/>
      <c r="B78" s="1428"/>
      <c r="C78" s="1428"/>
      <c r="D78" s="312"/>
      <c r="E78" s="310" t="s">
        <v>1410</v>
      </c>
      <c r="F78" s="310"/>
      <c r="G78" s="310"/>
      <c r="H78" s="310"/>
      <c r="I78" s="306">
        <f>ROUNDUP(I75+I76+I77,0)</f>
        <v>115500</v>
      </c>
      <c r="J78" s="312">
        <f t="shared" si="6"/>
        <v>109725</v>
      </c>
    </row>
    <row r="79" spans="1:10" s="395" customFormat="1" ht="20.100000000000001" customHeight="1">
      <c r="A79" s="1451"/>
      <c r="B79" s="1451"/>
      <c r="C79" s="1451"/>
      <c r="D79" s="1451"/>
      <c r="E79" s="310" t="s">
        <v>1418</v>
      </c>
      <c r="F79" s="310"/>
      <c r="G79" s="310"/>
      <c r="H79" s="310"/>
      <c r="I79" s="306">
        <f>I8+I54+I16+I25+I33+I42+I49+I61+I70+I78</f>
        <v>5752066</v>
      </c>
      <c r="J79" s="312">
        <f t="shared" si="6"/>
        <v>5464463</v>
      </c>
    </row>
    <row r="80" spans="1:10" s="396" customFormat="1" ht="12">
      <c r="I80" s="397"/>
    </row>
  </sheetData>
  <mergeCells count="42">
    <mergeCell ref="A1:J1"/>
    <mergeCell ref="A3:A8"/>
    <mergeCell ref="B3:B8"/>
    <mergeCell ref="C3:C8"/>
    <mergeCell ref="A9:A16"/>
    <mergeCell ref="B9:B16"/>
    <mergeCell ref="C9:C16"/>
    <mergeCell ref="D10:D11"/>
    <mergeCell ref="A17:A25"/>
    <mergeCell ref="B17:B25"/>
    <mergeCell ref="C17:C25"/>
    <mergeCell ref="D17:D20"/>
    <mergeCell ref="A26:A33"/>
    <mergeCell ref="B26:B33"/>
    <mergeCell ref="C26:C33"/>
    <mergeCell ref="D26:D29"/>
    <mergeCell ref="A34:A42"/>
    <mergeCell ref="B34:B42"/>
    <mergeCell ref="C34:C42"/>
    <mergeCell ref="D34:D38"/>
    <mergeCell ref="A43:A49"/>
    <mergeCell ref="B43:B49"/>
    <mergeCell ref="C43:C49"/>
    <mergeCell ref="D43:D44"/>
    <mergeCell ref="A50:A54"/>
    <mergeCell ref="B50:B54"/>
    <mergeCell ref="C50:C54"/>
    <mergeCell ref="A55:A61"/>
    <mergeCell ref="B55:B61"/>
    <mergeCell ref="C55:C61"/>
    <mergeCell ref="A79:D79"/>
    <mergeCell ref="D56:D57"/>
    <mergeCell ref="A62:A70"/>
    <mergeCell ref="B62:B70"/>
    <mergeCell ref="C62:C70"/>
    <mergeCell ref="D62:D63"/>
    <mergeCell ref="D65:D66"/>
    <mergeCell ref="A71:A78"/>
    <mergeCell ref="B71:B78"/>
    <mergeCell ref="C71:C78"/>
    <mergeCell ref="D71:D72"/>
    <mergeCell ref="D73:D74"/>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sqref="A1:C1"/>
    </sheetView>
  </sheetViews>
  <sheetFormatPr defaultRowHeight="13.5"/>
  <cols>
    <col min="1" max="1" width="15.125" customWidth="1"/>
    <col min="2" max="2" width="15.625" customWidth="1"/>
    <col min="3" max="3" width="19.375" customWidth="1"/>
  </cols>
  <sheetData>
    <row r="1" spans="1:3" ht="20.25">
      <c r="A1" s="1334" t="s">
        <v>136</v>
      </c>
      <c r="B1" s="1334"/>
      <c r="C1" s="1334"/>
    </row>
    <row r="2" spans="1:3" ht="24.95" customHeight="1">
      <c r="A2" s="22" t="s">
        <v>4</v>
      </c>
      <c r="B2" s="22" t="s">
        <v>137</v>
      </c>
      <c r="C2" s="22" t="s">
        <v>138</v>
      </c>
    </row>
    <row r="3" spans="1:3" ht="24.95" customHeight="1">
      <c r="A3" s="4" t="s">
        <v>1</v>
      </c>
      <c r="B3" s="5">
        <v>252206</v>
      </c>
      <c r="C3" s="2">
        <f>B3*3</f>
        <v>756618</v>
      </c>
    </row>
    <row r="4" spans="1:3" ht="24.95" customHeight="1">
      <c r="A4" s="4" t="s">
        <v>5</v>
      </c>
      <c r="B4" s="5">
        <v>120044</v>
      </c>
      <c r="C4" s="2">
        <f t="shared" ref="C4:C12" si="0">B4*3</f>
        <v>360132</v>
      </c>
    </row>
    <row r="5" spans="1:3" ht="24.95" customHeight="1">
      <c r="A5" s="4" t="s">
        <v>6</v>
      </c>
      <c r="B5" s="5">
        <v>270670</v>
      </c>
      <c r="C5" s="2">
        <f t="shared" si="0"/>
        <v>812010</v>
      </c>
    </row>
    <row r="6" spans="1:3" ht="24.95" customHeight="1">
      <c r="A6" s="4" t="s">
        <v>7</v>
      </c>
      <c r="B6" s="5">
        <v>298341</v>
      </c>
      <c r="C6" s="2">
        <f t="shared" si="0"/>
        <v>895023</v>
      </c>
    </row>
    <row r="7" spans="1:3" ht="24.95" customHeight="1">
      <c r="A7" s="4" t="s">
        <v>8</v>
      </c>
      <c r="B7" s="5">
        <v>296597</v>
      </c>
      <c r="C7" s="2">
        <f t="shared" si="0"/>
        <v>889791</v>
      </c>
    </row>
    <row r="8" spans="1:3" ht="24.95" customHeight="1">
      <c r="A8" s="4" t="s">
        <v>9</v>
      </c>
      <c r="B8" s="5">
        <v>118136</v>
      </c>
      <c r="C8" s="2">
        <f t="shared" si="0"/>
        <v>354408</v>
      </c>
    </row>
    <row r="9" spans="1:3" ht="24.95" customHeight="1">
      <c r="A9" s="4" t="s">
        <v>2</v>
      </c>
      <c r="B9" s="5">
        <v>223550</v>
      </c>
      <c r="C9" s="2">
        <f t="shared" si="0"/>
        <v>670650</v>
      </c>
    </row>
    <row r="10" spans="1:3" ht="24.95" customHeight="1">
      <c r="A10" s="4" t="s">
        <v>10</v>
      </c>
      <c r="B10" s="5">
        <v>180227</v>
      </c>
      <c r="C10" s="2">
        <f t="shared" si="0"/>
        <v>540681</v>
      </c>
    </row>
    <row r="11" spans="1:3" ht="24.95" customHeight="1">
      <c r="A11" s="4" t="s">
        <v>11</v>
      </c>
      <c r="B11" s="5">
        <v>132326</v>
      </c>
      <c r="C11" s="2">
        <f t="shared" si="0"/>
        <v>396978</v>
      </c>
    </row>
    <row r="12" spans="1:3" ht="24.95" customHeight="1">
      <c r="A12" s="4" t="s">
        <v>12</v>
      </c>
      <c r="B12" s="5">
        <v>61933</v>
      </c>
      <c r="C12" s="2">
        <f t="shared" si="0"/>
        <v>185799</v>
      </c>
    </row>
    <row r="13" spans="1:3" ht="24.95" customHeight="1">
      <c r="A13" s="6" t="s">
        <v>3</v>
      </c>
      <c r="B13" s="7">
        <f>SUM(B3:B12)</f>
        <v>1954030</v>
      </c>
      <c r="C13" s="7">
        <f>SUM(C3:C12)</f>
        <v>5862090</v>
      </c>
    </row>
  </sheetData>
  <mergeCells count="1">
    <mergeCell ref="A1:C1"/>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20" workbookViewId="0">
      <selection activeCell="J38" activeCellId="3" sqref="J8 J14 J25 J38"/>
    </sheetView>
  </sheetViews>
  <sheetFormatPr defaultColWidth="9" defaultRowHeight="13.5"/>
  <cols>
    <col min="1" max="1" width="5.5" style="400" customWidth="1"/>
    <col min="2" max="2" width="14.875" style="400" customWidth="1"/>
    <col min="3" max="3" width="9" style="400"/>
    <col min="4" max="4" width="13.375" style="399" customWidth="1"/>
    <col min="5" max="5" width="21.75" style="303" customWidth="1"/>
    <col min="6" max="7" width="9" style="400"/>
    <col min="8" max="8" width="9" style="400" customWidth="1"/>
    <col min="9" max="9" width="9.625" style="303" customWidth="1"/>
    <col min="10" max="10" width="8.5" style="400" customWidth="1"/>
    <col min="11" max="11" width="23.5" style="399" hidden="1" customWidth="1"/>
    <col min="12" max="16384" width="9" style="400"/>
  </cols>
  <sheetData>
    <row r="1" spans="1:11" ht="35.1" customHeight="1">
      <c r="A1" s="1454" t="s">
        <v>1228</v>
      </c>
      <c r="B1" s="1454"/>
      <c r="C1" s="1454"/>
      <c r="D1" s="1454"/>
      <c r="E1" s="1454"/>
      <c r="F1" s="1454"/>
      <c r="G1" s="1454"/>
      <c r="H1" s="1454"/>
      <c r="I1" s="1454"/>
      <c r="J1" s="1454"/>
    </row>
    <row r="2" spans="1:11" s="401" customFormat="1" ht="20.100000000000001" customHeight="1">
      <c r="A2" s="355" t="s">
        <v>0</v>
      </c>
      <c r="B2" s="356" t="s">
        <v>1085</v>
      </c>
      <c r="C2" s="355" t="s">
        <v>1086</v>
      </c>
      <c r="D2" s="356" t="s">
        <v>1087</v>
      </c>
      <c r="E2" s="313" t="s">
        <v>1088</v>
      </c>
      <c r="F2" s="355" t="s">
        <v>129</v>
      </c>
      <c r="G2" s="355" t="s">
        <v>1089</v>
      </c>
      <c r="H2" s="355" t="s">
        <v>1090</v>
      </c>
      <c r="I2" s="306" t="s">
        <v>1091</v>
      </c>
      <c r="J2" s="307" t="s">
        <v>1395</v>
      </c>
      <c r="K2" s="305" t="s">
        <v>1092</v>
      </c>
    </row>
    <row r="3" spans="1:11" s="333" customFormat="1" ht="20.100000000000001" customHeight="1">
      <c r="A3" s="1428">
        <v>1</v>
      </c>
      <c r="B3" s="1428" t="s">
        <v>786</v>
      </c>
      <c r="C3" s="1428" t="s">
        <v>1229</v>
      </c>
      <c r="D3" s="1428" t="s">
        <v>1157</v>
      </c>
      <c r="E3" s="310" t="s">
        <v>1230</v>
      </c>
      <c r="F3" s="310" t="s">
        <v>1093</v>
      </c>
      <c r="G3" s="310">
        <v>1850</v>
      </c>
      <c r="H3" s="310">
        <v>350</v>
      </c>
      <c r="I3" s="311">
        <f>G3*H3</f>
        <v>647500</v>
      </c>
      <c r="J3" s="402">
        <f>ROUND(I3*0.95,0)</f>
        <v>615125</v>
      </c>
      <c r="K3" s="403" t="s">
        <v>1688</v>
      </c>
    </row>
    <row r="4" spans="1:11" s="309" customFormat="1" ht="20.100000000000001" customHeight="1">
      <c r="A4" s="1428"/>
      <c r="B4" s="1428"/>
      <c r="C4" s="1428"/>
      <c r="D4" s="1428"/>
      <c r="E4" s="316" t="s">
        <v>1101</v>
      </c>
      <c r="F4" s="310" t="s">
        <v>1093</v>
      </c>
      <c r="G4" s="310">
        <f>G3</f>
        <v>1850</v>
      </c>
      <c r="H4" s="310">
        <v>50</v>
      </c>
      <c r="I4" s="311">
        <f>G4*H4</f>
        <v>92500</v>
      </c>
      <c r="J4" s="402">
        <f t="shared" ref="J4:J39" si="0">ROUND(I4*0.95,0)</f>
        <v>87875</v>
      </c>
      <c r="K4" s="308"/>
    </row>
    <row r="5" spans="1:11" s="336" customFormat="1" ht="20.100000000000001" customHeight="1">
      <c r="A5" s="1428"/>
      <c r="B5" s="1428"/>
      <c r="C5" s="1428"/>
      <c r="D5" s="334"/>
      <c r="E5" s="310" t="s">
        <v>1097</v>
      </c>
      <c r="F5" s="310"/>
      <c r="G5" s="310"/>
      <c r="H5" s="335"/>
      <c r="I5" s="312">
        <f>SUM(I3:I4)</f>
        <v>740000</v>
      </c>
      <c r="J5" s="402">
        <f t="shared" si="0"/>
        <v>703000</v>
      </c>
      <c r="K5" s="404"/>
    </row>
    <row r="6" spans="1:11" s="336" customFormat="1" ht="20.100000000000001" customHeight="1">
      <c r="A6" s="1428"/>
      <c r="B6" s="1428"/>
      <c r="C6" s="1428"/>
      <c r="D6" s="334"/>
      <c r="E6" s="310" t="s">
        <v>1408</v>
      </c>
      <c r="F6" s="310"/>
      <c r="G6" s="310"/>
      <c r="H6" s="337"/>
      <c r="I6" s="312">
        <f>I5*0.1</f>
        <v>74000</v>
      </c>
      <c r="J6" s="402">
        <f t="shared" si="0"/>
        <v>70300</v>
      </c>
      <c r="K6" s="404"/>
    </row>
    <row r="7" spans="1:11" s="336" customFormat="1" ht="20.100000000000001" customHeight="1">
      <c r="A7" s="1428"/>
      <c r="B7" s="1428"/>
      <c r="C7" s="1428"/>
      <c r="D7" s="334"/>
      <c r="E7" s="310" t="s">
        <v>1099</v>
      </c>
      <c r="F7" s="310"/>
      <c r="G7" s="310"/>
      <c r="H7" s="335"/>
      <c r="I7" s="312">
        <f>(I5+I6)*0.05</f>
        <v>40700</v>
      </c>
      <c r="J7" s="402">
        <f t="shared" si="0"/>
        <v>38665</v>
      </c>
      <c r="K7" s="404"/>
    </row>
    <row r="8" spans="1:11" s="333" customFormat="1" ht="20.100000000000001" customHeight="1">
      <c r="A8" s="1428"/>
      <c r="B8" s="1428"/>
      <c r="C8" s="1428"/>
      <c r="D8" s="305"/>
      <c r="E8" s="310" t="s">
        <v>1477</v>
      </c>
      <c r="F8" s="310"/>
      <c r="G8" s="310"/>
      <c r="H8" s="310"/>
      <c r="I8" s="306">
        <f>ROUNDUP(I5+I6+I7,0)</f>
        <v>854700</v>
      </c>
      <c r="J8" s="402">
        <f t="shared" si="0"/>
        <v>811965</v>
      </c>
      <c r="K8" s="403"/>
    </row>
    <row r="9" spans="1:11" s="333" customFormat="1" ht="20.100000000000001" customHeight="1">
      <c r="A9" s="1428">
        <v>2</v>
      </c>
      <c r="B9" s="1428" t="s">
        <v>1231</v>
      </c>
      <c r="C9" s="1428" t="s">
        <v>1232</v>
      </c>
      <c r="D9" s="1416" t="s">
        <v>1157</v>
      </c>
      <c r="E9" s="310" t="s">
        <v>1233</v>
      </c>
      <c r="F9" s="310" t="s">
        <v>1093</v>
      </c>
      <c r="G9" s="310">
        <v>800</v>
      </c>
      <c r="H9" s="310">
        <v>350</v>
      </c>
      <c r="I9" s="311">
        <f>G9*H9</f>
        <v>280000</v>
      </c>
      <c r="J9" s="402">
        <f t="shared" si="0"/>
        <v>266000</v>
      </c>
      <c r="K9" s="403" t="s">
        <v>1689</v>
      </c>
    </row>
    <row r="10" spans="1:11" s="333" customFormat="1" ht="20.100000000000001" customHeight="1">
      <c r="A10" s="1428"/>
      <c r="B10" s="1428"/>
      <c r="C10" s="1428"/>
      <c r="D10" s="1416"/>
      <c r="E10" s="316" t="s">
        <v>1101</v>
      </c>
      <c r="F10" s="310" t="s">
        <v>1093</v>
      </c>
      <c r="G10" s="310">
        <v>800</v>
      </c>
      <c r="H10" s="310">
        <v>50</v>
      </c>
      <c r="I10" s="311">
        <f>G10*H10</f>
        <v>40000</v>
      </c>
      <c r="J10" s="402">
        <f t="shared" si="0"/>
        <v>38000</v>
      </c>
      <c r="K10" s="403"/>
    </row>
    <row r="11" spans="1:11" s="336" customFormat="1" ht="20.100000000000001" customHeight="1">
      <c r="A11" s="1428"/>
      <c r="B11" s="1428"/>
      <c r="C11" s="1428"/>
      <c r="D11" s="334"/>
      <c r="E11" s="310" t="s">
        <v>1097</v>
      </c>
      <c r="F11" s="310"/>
      <c r="G11" s="310"/>
      <c r="H11" s="335"/>
      <c r="I11" s="312">
        <f>SUM(I9:I10)</f>
        <v>320000</v>
      </c>
      <c r="J11" s="402">
        <f t="shared" si="0"/>
        <v>304000</v>
      </c>
      <c r="K11" s="404"/>
    </row>
    <row r="12" spans="1:11" s="336" customFormat="1" ht="20.100000000000001" customHeight="1">
      <c r="A12" s="1428"/>
      <c r="B12" s="1428"/>
      <c r="C12" s="1428"/>
      <c r="D12" s="334"/>
      <c r="E12" s="310" t="s">
        <v>1408</v>
      </c>
      <c r="F12" s="310"/>
      <c r="G12" s="310"/>
      <c r="H12" s="337"/>
      <c r="I12" s="312">
        <f>I11*0.1</f>
        <v>32000</v>
      </c>
      <c r="J12" s="402">
        <f t="shared" si="0"/>
        <v>30400</v>
      </c>
      <c r="K12" s="404"/>
    </row>
    <row r="13" spans="1:11" s="336" customFormat="1" ht="20.100000000000001" customHeight="1">
      <c r="A13" s="1428"/>
      <c r="B13" s="1428"/>
      <c r="C13" s="1428"/>
      <c r="D13" s="334"/>
      <c r="E13" s="310" t="s">
        <v>1099</v>
      </c>
      <c r="F13" s="310"/>
      <c r="G13" s="310"/>
      <c r="H13" s="335"/>
      <c r="I13" s="312">
        <f>(I11+I12)*0.05</f>
        <v>17600</v>
      </c>
      <c r="J13" s="402">
        <f t="shared" si="0"/>
        <v>16720</v>
      </c>
      <c r="K13" s="404"/>
    </row>
    <row r="14" spans="1:11" s="333" customFormat="1" ht="20.100000000000001" customHeight="1">
      <c r="A14" s="1428"/>
      <c r="B14" s="1428"/>
      <c r="C14" s="1428"/>
      <c r="D14" s="305"/>
      <c r="E14" s="310" t="s">
        <v>1477</v>
      </c>
      <c r="F14" s="310"/>
      <c r="G14" s="310"/>
      <c r="H14" s="310"/>
      <c r="I14" s="306">
        <f>ROUNDUP(I11+I12+I13,0)</f>
        <v>369600</v>
      </c>
      <c r="J14" s="402">
        <f t="shared" si="0"/>
        <v>351120</v>
      </c>
      <c r="K14" s="403"/>
    </row>
    <row r="15" spans="1:11" s="333" customFormat="1" ht="20.100000000000001" customHeight="1">
      <c r="A15" s="1428">
        <v>3</v>
      </c>
      <c r="B15" s="1428" t="s">
        <v>1234</v>
      </c>
      <c r="C15" s="1428" t="s">
        <v>1235</v>
      </c>
      <c r="D15" s="310" t="s">
        <v>1236</v>
      </c>
      <c r="E15" s="310" t="s">
        <v>1237</v>
      </c>
      <c r="F15" s="310" t="s">
        <v>1416</v>
      </c>
      <c r="G15" s="310">
        <v>1</v>
      </c>
      <c r="H15" s="310">
        <v>95000</v>
      </c>
      <c r="I15" s="311">
        <f>G15*H15</f>
        <v>95000</v>
      </c>
      <c r="J15" s="402">
        <f t="shared" si="0"/>
        <v>90250</v>
      </c>
      <c r="K15" s="403" t="s">
        <v>1690</v>
      </c>
    </row>
    <row r="16" spans="1:11" s="333" customFormat="1" ht="20.100000000000001" customHeight="1">
      <c r="A16" s="1428"/>
      <c r="B16" s="1428"/>
      <c r="C16" s="1428"/>
      <c r="D16" s="1428" t="s">
        <v>1691</v>
      </c>
      <c r="E16" s="310" t="s">
        <v>1168</v>
      </c>
      <c r="F16" s="310" t="s">
        <v>1093</v>
      </c>
      <c r="G16" s="310">
        <v>300</v>
      </c>
      <c r="H16" s="310">
        <v>350</v>
      </c>
      <c r="I16" s="311">
        <f t="shared" ref="I16:I19" si="1">G16*H16</f>
        <v>105000</v>
      </c>
      <c r="J16" s="402">
        <f t="shared" si="0"/>
        <v>99750</v>
      </c>
      <c r="K16" s="403" t="s">
        <v>1692</v>
      </c>
    </row>
    <row r="17" spans="1:11" s="333" customFormat="1" ht="20.100000000000001" customHeight="1">
      <c r="A17" s="1428"/>
      <c r="B17" s="1428"/>
      <c r="C17" s="1428"/>
      <c r="D17" s="1428"/>
      <c r="E17" s="316" t="s">
        <v>1412</v>
      </c>
      <c r="F17" s="310" t="s">
        <v>1093</v>
      </c>
      <c r="G17" s="310">
        <f>G16</f>
        <v>300</v>
      </c>
      <c r="H17" s="310">
        <v>50</v>
      </c>
      <c r="I17" s="311">
        <f>G17*H17</f>
        <v>15000</v>
      </c>
      <c r="J17" s="402">
        <f t="shared" si="0"/>
        <v>14250</v>
      </c>
      <c r="K17" s="403"/>
    </row>
    <row r="18" spans="1:11" s="333" customFormat="1" ht="20.100000000000001" customHeight="1">
      <c r="A18" s="1428"/>
      <c r="B18" s="1428"/>
      <c r="C18" s="1428"/>
      <c r="D18" s="1428" t="s">
        <v>1238</v>
      </c>
      <c r="E18" s="310" t="s">
        <v>1659</v>
      </c>
      <c r="F18" s="310" t="s">
        <v>1093</v>
      </c>
      <c r="G18" s="310">
        <v>260</v>
      </c>
      <c r="H18" s="310">
        <v>270</v>
      </c>
      <c r="I18" s="311">
        <f t="shared" si="1"/>
        <v>70200</v>
      </c>
      <c r="J18" s="402">
        <f t="shared" si="0"/>
        <v>66690</v>
      </c>
      <c r="K18" s="403" t="s">
        <v>1693</v>
      </c>
    </row>
    <row r="19" spans="1:11" s="333" customFormat="1" ht="20.100000000000001" customHeight="1">
      <c r="A19" s="1428"/>
      <c r="B19" s="1428"/>
      <c r="C19" s="1428"/>
      <c r="D19" s="1428"/>
      <c r="E19" s="304" t="s">
        <v>1694</v>
      </c>
      <c r="F19" s="310" t="s">
        <v>1093</v>
      </c>
      <c r="G19" s="310">
        <v>50</v>
      </c>
      <c r="H19" s="310">
        <v>200</v>
      </c>
      <c r="I19" s="311">
        <f t="shared" si="1"/>
        <v>10000</v>
      </c>
      <c r="J19" s="402">
        <f t="shared" si="0"/>
        <v>9500</v>
      </c>
      <c r="K19" s="403"/>
    </row>
    <row r="20" spans="1:11" s="333" customFormat="1" ht="20.100000000000001" customHeight="1">
      <c r="A20" s="1428"/>
      <c r="B20" s="1428"/>
      <c r="C20" s="1428"/>
      <c r="D20" s="1428"/>
      <c r="E20" s="310" t="s">
        <v>1102</v>
      </c>
      <c r="F20" s="310" t="s">
        <v>1093</v>
      </c>
      <c r="G20" s="310">
        <f>G18</f>
        <v>260</v>
      </c>
      <c r="H20" s="310">
        <v>30</v>
      </c>
      <c r="I20" s="311">
        <f>G20*H20</f>
        <v>7800</v>
      </c>
      <c r="J20" s="402">
        <f t="shared" si="0"/>
        <v>7410</v>
      </c>
      <c r="K20" s="403"/>
    </row>
    <row r="21" spans="1:11" s="336" customFormat="1" ht="20.100000000000001" customHeight="1">
      <c r="A21" s="1428"/>
      <c r="B21" s="1428"/>
      <c r="C21" s="1428"/>
      <c r="D21" s="334"/>
      <c r="E21" s="310" t="s">
        <v>1097</v>
      </c>
      <c r="F21" s="310"/>
      <c r="G21" s="310"/>
      <c r="H21" s="335"/>
      <c r="I21" s="312">
        <f>SUM(I15:I20)</f>
        <v>303000</v>
      </c>
      <c r="J21" s="402">
        <f t="shared" si="0"/>
        <v>287850</v>
      </c>
      <c r="K21" s="404"/>
    </row>
    <row r="22" spans="1:11" s="336" customFormat="1" ht="20.100000000000001" customHeight="1">
      <c r="A22" s="1428"/>
      <c r="B22" s="1428"/>
      <c r="C22" s="1428"/>
      <c r="D22" s="334"/>
      <c r="E22" s="310" t="s">
        <v>1408</v>
      </c>
      <c r="F22" s="310"/>
      <c r="G22" s="310"/>
      <c r="H22" s="337"/>
      <c r="I22" s="312">
        <f>I21*0.1</f>
        <v>30300</v>
      </c>
      <c r="J22" s="402">
        <f t="shared" si="0"/>
        <v>28785</v>
      </c>
      <c r="K22" s="404"/>
    </row>
    <row r="23" spans="1:11" s="336" customFormat="1" ht="20.100000000000001" customHeight="1">
      <c r="A23" s="1428"/>
      <c r="B23" s="1428"/>
      <c r="C23" s="1428"/>
      <c r="D23" s="334"/>
      <c r="E23" s="310" t="s">
        <v>1409</v>
      </c>
      <c r="F23" s="310"/>
      <c r="G23" s="310"/>
      <c r="H23" s="335"/>
      <c r="I23" s="312">
        <f>(I21+I22)*0.05</f>
        <v>16665</v>
      </c>
      <c r="J23" s="402">
        <f t="shared" si="0"/>
        <v>15832</v>
      </c>
      <c r="K23" s="404"/>
    </row>
    <row r="24" spans="1:11" s="331" customFormat="1" ht="20.100000000000001" customHeight="1">
      <c r="A24" s="1428"/>
      <c r="B24" s="1428"/>
      <c r="C24" s="1428"/>
      <c r="D24" s="358"/>
      <c r="E24" s="304" t="s">
        <v>1415</v>
      </c>
      <c r="F24" s="310" t="s">
        <v>1416</v>
      </c>
      <c r="G24" s="310">
        <v>1</v>
      </c>
      <c r="H24" s="310">
        <v>30000</v>
      </c>
      <c r="I24" s="310">
        <f>G24*H24</f>
        <v>30000</v>
      </c>
      <c r="J24" s="402">
        <f t="shared" si="0"/>
        <v>28500</v>
      </c>
      <c r="K24" s="358"/>
    </row>
    <row r="25" spans="1:11" s="333" customFormat="1" ht="20.100000000000001" customHeight="1">
      <c r="A25" s="1428"/>
      <c r="B25" s="1428"/>
      <c r="C25" s="1428"/>
      <c r="D25" s="305"/>
      <c r="E25" s="310" t="s">
        <v>1701</v>
      </c>
      <c r="F25" s="310"/>
      <c r="G25" s="310"/>
      <c r="H25" s="310"/>
      <c r="I25" s="306">
        <f>ROUNDUP(I21+I22+I23+I24,0)</f>
        <v>379965</v>
      </c>
      <c r="J25" s="402">
        <f t="shared" si="0"/>
        <v>360967</v>
      </c>
      <c r="K25" s="403"/>
    </row>
    <row r="26" spans="1:11" s="333" customFormat="1" ht="20.100000000000001" customHeight="1">
      <c r="A26" s="1428">
        <v>4</v>
      </c>
      <c r="B26" s="1428" t="s">
        <v>1695</v>
      </c>
      <c r="C26" s="1428" t="s">
        <v>1239</v>
      </c>
      <c r="D26" s="1416" t="s">
        <v>1240</v>
      </c>
      <c r="E26" s="305" t="s">
        <v>1241</v>
      </c>
      <c r="F26" s="310" t="s">
        <v>1093</v>
      </c>
      <c r="G26" s="304">
        <v>100</v>
      </c>
      <c r="H26" s="304">
        <v>300</v>
      </c>
      <c r="I26" s="306">
        <f t="shared" ref="I26:I32" si="2">G26*H26</f>
        <v>30000</v>
      </c>
      <c r="J26" s="402">
        <f t="shared" si="0"/>
        <v>28500</v>
      </c>
      <c r="K26" s="403" t="s">
        <v>1696</v>
      </c>
    </row>
    <row r="27" spans="1:11" s="333" customFormat="1" ht="20.100000000000001" customHeight="1">
      <c r="A27" s="1428"/>
      <c r="B27" s="1428"/>
      <c r="C27" s="1428"/>
      <c r="D27" s="1416"/>
      <c r="E27" s="304" t="s">
        <v>1697</v>
      </c>
      <c r="F27" s="310" t="s">
        <v>1093</v>
      </c>
      <c r="G27" s="304">
        <v>80</v>
      </c>
      <c r="H27" s="304">
        <v>300</v>
      </c>
      <c r="I27" s="306">
        <f t="shared" si="2"/>
        <v>24000</v>
      </c>
      <c r="J27" s="402">
        <f t="shared" si="0"/>
        <v>22800</v>
      </c>
      <c r="K27" s="403" t="s">
        <v>1698</v>
      </c>
    </row>
    <row r="28" spans="1:11" s="333" customFormat="1" ht="20.100000000000001" customHeight="1">
      <c r="A28" s="1428"/>
      <c r="B28" s="1428"/>
      <c r="C28" s="1428"/>
      <c r="D28" s="1416"/>
      <c r="E28" s="304" t="s">
        <v>1242</v>
      </c>
      <c r="F28" s="310" t="s">
        <v>1093</v>
      </c>
      <c r="G28" s="304">
        <v>10</v>
      </c>
      <c r="H28" s="304">
        <v>800</v>
      </c>
      <c r="I28" s="306">
        <f t="shared" si="2"/>
        <v>8000</v>
      </c>
      <c r="J28" s="402">
        <f t="shared" si="0"/>
        <v>7600</v>
      </c>
      <c r="K28" s="403"/>
    </row>
    <row r="29" spans="1:11" s="333" customFormat="1" ht="20.100000000000001" customHeight="1">
      <c r="A29" s="1428"/>
      <c r="B29" s="1428"/>
      <c r="C29" s="1428"/>
      <c r="D29" s="1416" t="s">
        <v>1243</v>
      </c>
      <c r="E29" s="305" t="s">
        <v>1241</v>
      </c>
      <c r="F29" s="310" t="s">
        <v>1093</v>
      </c>
      <c r="G29" s="304">
        <v>100</v>
      </c>
      <c r="H29" s="304">
        <v>300</v>
      </c>
      <c r="I29" s="306">
        <f t="shared" si="2"/>
        <v>30000</v>
      </c>
      <c r="J29" s="402">
        <f t="shared" si="0"/>
        <v>28500</v>
      </c>
      <c r="K29" s="403"/>
    </row>
    <row r="30" spans="1:11" s="333" customFormat="1" ht="20.100000000000001" customHeight="1">
      <c r="A30" s="1428"/>
      <c r="B30" s="1428"/>
      <c r="C30" s="1428"/>
      <c r="D30" s="1416"/>
      <c r="E30" s="304" t="s">
        <v>1697</v>
      </c>
      <c r="F30" s="310" t="s">
        <v>1093</v>
      </c>
      <c r="G30" s="304">
        <v>110</v>
      </c>
      <c r="H30" s="304">
        <v>300</v>
      </c>
      <c r="I30" s="306">
        <f t="shared" si="2"/>
        <v>33000</v>
      </c>
      <c r="J30" s="402">
        <f t="shared" si="0"/>
        <v>31350</v>
      </c>
      <c r="K30" s="403"/>
    </row>
    <row r="31" spans="1:11" s="333" customFormat="1" ht="20.100000000000001" customHeight="1">
      <c r="A31" s="1428"/>
      <c r="B31" s="1428"/>
      <c r="C31" s="1428"/>
      <c r="D31" s="1416"/>
      <c r="E31" s="304" t="s">
        <v>1242</v>
      </c>
      <c r="F31" s="310" t="s">
        <v>1093</v>
      </c>
      <c r="G31" s="304">
        <v>20</v>
      </c>
      <c r="H31" s="304">
        <v>800</v>
      </c>
      <c r="I31" s="306">
        <f t="shared" si="2"/>
        <v>16000</v>
      </c>
      <c r="J31" s="402">
        <f t="shared" si="0"/>
        <v>15200</v>
      </c>
      <c r="K31" s="403"/>
    </row>
    <row r="32" spans="1:11" s="333" customFormat="1" ht="20.100000000000001" customHeight="1">
      <c r="A32" s="1428"/>
      <c r="B32" s="1428"/>
      <c r="C32" s="1428"/>
      <c r="D32" s="305" t="s">
        <v>1244</v>
      </c>
      <c r="E32" s="304" t="s">
        <v>1242</v>
      </c>
      <c r="F32" s="310" t="s">
        <v>1093</v>
      </c>
      <c r="G32" s="304">
        <v>20</v>
      </c>
      <c r="H32" s="304">
        <v>800</v>
      </c>
      <c r="I32" s="306">
        <f t="shared" si="2"/>
        <v>16000</v>
      </c>
      <c r="J32" s="402">
        <f t="shared" si="0"/>
        <v>15200</v>
      </c>
      <c r="K32" s="403"/>
    </row>
    <row r="33" spans="1:11" s="333" customFormat="1" ht="20.100000000000001" customHeight="1">
      <c r="A33" s="1428"/>
      <c r="B33" s="1428"/>
      <c r="C33" s="1428"/>
      <c r="D33" s="1428" t="s">
        <v>1245</v>
      </c>
      <c r="E33" s="310" t="s">
        <v>1246</v>
      </c>
      <c r="F33" s="310" t="s">
        <v>1093</v>
      </c>
      <c r="G33" s="310">
        <v>700</v>
      </c>
      <c r="H33" s="310">
        <v>300</v>
      </c>
      <c r="I33" s="306">
        <f>G33*H33</f>
        <v>210000</v>
      </c>
      <c r="J33" s="402">
        <f t="shared" si="0"/>
        <v>199500</v>
      </c>
      <c r="K33" s="403" t="s">
        <v>1699</v>
      </c>
    </row>
    <row r="34" spans="1:11" s="333" customFormat="1" ht="20.100000000000001" customHeight="1">
      <c r="A34" s="1428"/>
      <c r="B34" s="1428"/>
      <c r="C34" s="1428"/>
      <c r="D34" s="1428"/>
      <c r="E34" s="310" t="s">
        <v>1700</v>
      </c>
      <c r="F34" s="310" t="s">
        <v>1093</v>
      </c>
      <c r="G34" s="310">
        <v>300</v>
      </c>
      <c r="H34" s="310">
        <v>300</v>
      </c>
      <c r="I34" s="306">
        <f>G34*H34</f>
        <v>90000</v>
      </c>
      <c r="J34" s="402">
        <f t="shared" si="0"/>
        <v>85500</v>
      </c>
      <c r="K34" s="403"/>
    </row>
    <row r="35" spans="1:11" s="336" customFormat="1" ht="20.100000000000001" customHeight="1">
      <c r="A35" s="1428"/>
      <c r="B35" s="1428"/>
      <c r="C35" s="1428"/>
      <c r="D35" s="334"/>
      <c r="E35" s="310" t="s">
        <v>1097</v>
      </c>
      <c r="F35" s="310"/>
      <c r="G35" s="310"/>
      <c r="H35" s="335"/>
      <c r="I35" s="312">
        <f>SUM(I26:I34)</f>
        <v>457000</v>
      </c>
      <c r="J35" s="402">
        <f t="shared" si="0"/>
        <v>434150</v>
      </c>
      <c r="K35" s="404"/>
    </row>
    <row r="36" spans="1:11" s="336" customFormat="1" ht="20.100000000000001" customHeight="1">
      <c r="A36" s="1428"/>
      <c r="B36" s="1428"/>
      <c r="C36" s="1428"/>
      <c r="D36" s="334"/>
      <c r="E36" s="310" t="s">
        <v>1098</v>
      </c>
      <c r="F36" s="310"/>
      <c r="G36" s="310"/>
      <c r="H36" s="337"/>
      <c r="I36" s="312">
        <f>I35*0.1</f>
        <v>45700</v>
      </c>
      <c r="J36" s="402">
        <f t="shared" si="0"/>
        <v>43415</v>
      </c>
      <c r="K36" s="404"/>
    </row>
    <row r="37" spans="1:11" s="336" customFormat="1" ht="20.100000000000001" customHeight="1">
      <c r="A37" s="1428"/>
      <c r="B37" s="1428"/>
      <c r="C37" s="1428"/>
      <c r="D37" s="334"/>
      <c r="E37" s="310" t="s">
        <v>1409</v>
      </c>
      <c r="F37" s="310"/>
      <c r="G37" s="310"/>
      <c r="H37" s="335"/>
      <c r="I37" s="312">
        <f>(I35+I36)*0.05</f>
        <v>25135</v>
      </c>
      <c r="J37" s="402">
        <f t="shared" si="0"/>
        <v>23878</v>
      </c>
      <c r="K37" s="404"/>
    </row>
    <row r="38" spans="1:11" s="333" customFormat="1" ht="20.100000000000001" customHeight="1">
      <c r="A38" s="1428"/>
      <c r="B38" s="1428"/>
      <c r="C38" s="1428"/>
      <c r="D38" s="305"/>
      <c r="E38" s="310" t="s">
        <v>1477</v>
      </c>
      <c r="F38" s="310"/>
      <c r="G38" s="310"/>
      <c r="H38" s="310"/>
      <c r="I38" s="306">
        <f>ROUNDUP(I35+I36+I37,0)</f>
        <v>527835</v>
      </c>
      <c r="J38" s="402">
        <f t="shared" si="0"/>
        <v>501443</v>
      </c>
      <c r="K38" s="403"/>
    </row>
    <row r="39" spans="1:11" s="333" customFormat="1" ht="20.100000000000001" customHeight="1">
      <c r="A39" s="334"/>
      <c r="B39" s="334"/>
      <c r="C39" s="334"/>
      <c r="D39" s="305"/>
      <c r="E39" s="310" t="s">
        <v>1418</v>
      </c>
      <c r="F39" s="310"/>
      <c r="G39" s="310"/>
      <c r="H39" s="310"/>
      <c r="I39" s="306">
        <f>I8+I14+I25+I38</f>
        <v>2132100</v>
      </c>
      <c r="J39" s="402">
        <f t="shared" si="0"/>
        <v>2025495</v>
      </c>
      <c r="K39" s="405"/>
    </row>
    <row r="40" spans="1:11" s="406" customFormat="1" ht="24.95" customHeight="1">
      <c r="D40" s="407"/>
      <c r="E40" s="363"/>
      <c r="I40" s="363"/>
      <c r="K40" s="407"/>
    </row>
  </sheetData>
  <mergeCells count="20">
    <mergeCell ref="A9:A14"/>
    <mergeCell ref="B9:B14"/>
    <mergeCell ref="C9:C14"/>
    <mergeCell ref="D9:D10"/>
    <mergeCell ref="A1:J1"/>
    <mergeCell ref="A3:A8"/>
    <mergeCell ref="B3:B8"/>
    <mergeCell ref="C3:C8"/>
    <mergeCell ref="D3:D4"/>
    <mergeCell ref="D33:D34"/>
    <mergeCell ref="A15:A25"/>
    <mergeCell ref="B15:B25"/>
    <mergeCell ref="C15:C25"/>
    <mergeCell ref="D16:D17"/>
    <mergeCell ref="D18:D20"/>
    <mergeCell ref="A26:A38"/>
    <mergeCell ref="B26:B38"/>
    <mergeCell ref="C26:C38"/>
    <mergeCell ref="D26:D28"/>
    <mergeCell ref="D29:D31"/>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sqref="A1:XFD1048576"/>
    </sheetView>
  </sheetViews>
  <sheetFormatPr defaultRowHeight="13.5"/>
  <cols>
    <col min="1" max="1" width="7.125" style="270" customWidth="1"/>
    <col min="2" max="2" width="7.375" style="414" customWidth="1"/>
    <col min="3" max="3" width="30.75" style="414" customWidth="1"/>
    <col min="4" max="4" width="24" style="414" customWidth="1"/>
    <col min="5" max="5" width="14.125" style="414" customWidth="1"/>
    <col min="6" max="16384" width="9" style="270"/>
  </cols>
  <sheetData>
    <row r="1" spans="1:5" s="408" customFormat="1" ht="35.1" customHeight="1">
      <c r="A1" s="1456" t="s">
        <v>1247</v>
      </c>
      <c r="B1" s="1456"/>
      <c r="C1" s="1456"/>
      <c r="D1" s="1456"/>
      <c r="E1" s="1456"/>
    </row>
    <row r="2" spans="1:5" s="400" customFormat="1" ht="26.25" customHeight="1">
      <c r="A2" s="1457" t="s">
        <v>1248</v>
      </c>
      <c r="B2" s="1457" t="s">
        <v>1153</v>
      </c>
      <c r="C2" s="1457" t="s">
        <v>1249</v>
      </c>
      <c r="D2" s="1457" t="s">
        <v>1250</v>
      </c>
      <c r="E2" s="1458" t="s">
        <v>1251</v>
      </c>
    </row>
    <row r="3" spans="1:5" s="400" customFormat="1" ht="30" customHeight="1">
      <c r="A3" s="1457"/>
      <c r="B3" s="1457"/>
      <c r="C3" s="1457"/>
      <c r="D3" s="1457"/>
      <c r="E3" s="1458"/>
    </row>
    <row r="4" spans="1:5" s="400" customFormat="1" ht="39.950000000000003" customHeight="1">
      <c r="A4" s="409" t="s">
        <v>1702</v>
      </c>
      <c r="B4" s="409">
        <v>1</v>
      </c>
      <c r="C4" s="409" t="s">
        <v>616</v>
      </c>
      <c r="D4" s="409" t="s">
        <v>1252</v>
      </c>
      <c r="E4" s="409">
        <v>30300</v>
      </c>
    </row>
    <row r="5" spans="1:5" s="400" customFormat="1" ht="39.950000000000003" customHeight="1">
      <c r="A5" s="410"/>
      <c r="B5" s="410"/>
      <c r="C5" s="410" t="s">
        <v>1253</v>
      </c>
      <c r="D5" s="410"/>
      <c r="E5" s="410">
        <f>E4</f>
        <v>30300</v>
      </c>
    </row>
    <row r="6" spans="1:5" s="400" customFormat="1" ht="39.950000000000003" customHeight="1">
      <c r="A6" s="1455" t="s">
        <v>152</v>
      </c>
      <c r="B6" s="409">
        <v>2</v>
      </c>
      <c r="C6" s="409" t="s">
        <v>1254</v>
      </c>
      <c r="D6" s="409" t="s">
        <v>1255</v>
      </c>
      <c r="E6" s="409">
        <v>14400</v>
      </c>
    </row>
    <row r="7" spans="1:5" s="400" customFormat="1" ht="39.950000000000003" customHeight="1">
      <c r="A7" s="1455"/>
      <c r="B7" s="409">
        <v>3</v>
      </c>
      <c r="C7" s="409" t="s">
        <v>1256</v>
      </c>
      <c r="D7" s="409" t="s">
        <v>1257</v>
      </c>
      <c r="E7" s="409">
        <v>15600</v>
      </c>
    </row>
    <row r="8" spans="1:5" s="400" customFormat="1" ht="39.950000000000003" customHeight="1">
      <c r="A8" s="1455"/>
      <c r="B8" s="409">
        <v>4</v>
      </c>
      <c r="C8" s="409" t="s">
        <v>1258</v>
      </c>
      <c r="D8" s="409" t="s">
        <v>1259</v>
      </c>
      <c r="E8" s="409">
        <v>22800</v>
      </c>
    </row>
    <row r="9" spans="1:5" s="400" customFormat="1" ht="39.950000000000003" customHeight="1">
      <c r="A9" s="410"/>
      <c r="B9" s="410"/>
      <c r="C9" s="410" t="s">
        <v>155</v>
      </c>
      <c r="D9" s="410"/>
      <c r="E9" s="410">
        <f>SUM(E6:E8)</f>
        <v>52800</v>
      </c>
    </row>
    <row r="10" spans="1:5" s="400" customFormat="1" ht="39.950000000000003" customHeight="1">
      <c r="A10" s="1455" t="s">
        <v>117</v>
      </c>
      <c r="B10" s="409">
        <v>5</v>
      </c>
      <c r="C10" s="409" t="s">
        <v>1260</v>
      </c>
      <c r="D10" s="409" t="s">
        <v>1261</v>
      </c>
      <c r="E10" s="409">
        <v>2000</v>
      </c>
    </row>
    <row r="11" spans="1:5" s="400" customFormat="1" ht="39.950000000000003" customHeight="1">
      <c r="A11" s="1455"/>
      <c r="B11" s="409">
        <v>6</v>
      </c>
      <c r="C11" s="411" t="s">
        <v>1262</v>
      </c>
      <c r="D11" s="409" t="s">
        <v>1263</v>
      </c>
      <c r="E11" s="409">
        <v>2500</v>
      </c>
    </row>
    <row r="12" spans="1:5" s="400" customFormat="1" ht="39.950000000000003" customHeight="1">
      <c r="A12" s="410"/>
      <c r="B12" s="410"/>
      <c r="C12" s="412" t="s">
        <v>1264</v>
      </c>
      <c r="D12" s="410"/>
      <c r="E12" s="410">
        <f>SUM(E10:E11)</f>
        <v>4500</v>
      </c>
    </row>
    <row r="13" spans="1:5" s="400" customFormat="1" ht="39.950000000000003" customHeight="1">
      <c r="A13" s="1455" t="s">
        <v>168</v>
      </c>
      <c r="B13" s="409">
        <v>7</v>
      </c>
      <c r="C13" s="409" t="s">
        <v>469</v>
      </c>
      <c r="D13" s="409" t="s">
        <v>1265</v>
      </c>
      <c r="E13" s="409">
        <v>30000</v>
      </c>
    </row>
    <row r="14" spans="1:5" s="400" customFormat="1" ht="39.950000000000003" customHeight="1">
      <c r="A14" s="1455"/>
      <c r="B14" s="409">
        <v>8</v>
      </c>
      <c r="C14" s="409" t="s">
        <v>1266</v>
      </c>
      <c r="D14" s="409" t="s">
        <v>1267</v>
      </c>
      <c r="E14" s="409">
        <v>18000</v>
      </c>
    </row>
    <row r="15" spans="1:5" s="400" customFormat="1" ht="39.950000000000003" customHeight="1">
      <c r="A15" s="410"/>
      <c r="B15" s="410"/>
      <c r="C15" s="410" t="s">
        <v>1268</v>
      </c>
      <c r="D15" s="410"/>
      <c r="E15" s="410">
        <f>SUM(E13:E14)</f>
        <v>48000</v>
      </c>
    </row>
    <row r="16" spans="1:5" s="400" customFormat="1" ht="30.75" customHeight="1">
      <c r="A16" s="413"/>
      <c r="B16" s="410"/>
      <c r="C16" s="410" t="s">
        <v>3</v>
      </c>
      <c r="D16" s="410"/>
      <c r="E16" s="410">
        <f>SUM(E5,E9,E12,E15)</f>
        <v>135600</v>
      </c>
    </row>
  </sheetData>
  <mergeCells count="9">
    <mergeCell ref="A6:A8"/>
    <mergeCell ref="A10:A11"/>
    <mergeCell ref="A13:A14"/>
    <mergeCell ref="A1:E1"/>
    <mergeCell ref="A2:A3"/>
    <mergeCell ref="B2:B3"/>
    <mergeCell ref="C2:C3"/>
    <mergeCell ref="D2:D3"/>
    <mergeCell ref="E2:E3"/>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headerFooter>
    <oddFooter>第 &amp;P 页，共 &amp;N 页</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topLeftCell="A21" workbookViewId="0">
      <selection activeCell="K48" activeCellId="7" sqref="K7 K9 K13 K24 K30 K38 K44 K48"/>
    </sheetView>
  </sheetViews>
  <sheetFormatPr defaultRowHeight="14.25"/>
  <cols>
    <col min="1" max="1" width="5.625" style="444" customWidth="1"/>
    <col min="2" max="2" width="4.875" style="444" customWidth="1"/>
    <col min="3" max="3" width="24.375" style="444" customWidth="1"/>
    <col min="4" max="4" width="14.625" style="444" hidden="1" customWidth="1"/>
    <col min="5" max="5" width="14.625" style="445" hidden="1" customWidth="1"/>
    <col min="6" max="6" width="15.25" style="445" customWidth="1"/>
    <col min="7" max="7" width="13.625" style="444" customWidth="1"/>
    <col min="8" max="8" width="8.125" style="444" customWidth="1"/>
    <col min="9" max="9" width="11.75" style="444" customWidth="1"/>
    <col min="10" max="10" width="11.625" style="444" customWidth="1"/>
    <col min="11" max="11" width="12.25" style="445" customWidth="1"/>
    <col min="12" max="16384" width="9" style="415"/>
  </cols>
  <sheetData>
    <row r="1" spans="1:15" ht="30" customHeight="1">
      <c r="A1" s="1459" t="s">
        <v>1318</v>
      </c>
      <c r="B1" s="1459"/>
      <c r="C1" s="1459"/>
      <c r="D1" s="1459"/>
      <c r="E1" s="1459"/>
      <c r="F1" s="1459"/>
      <c r="G1" s="1459"/>
      <c r="H1" s="1459"/>
      <c r="I1" s="1459"/>
      <c r="J1" s="1459"/>
      <c r="K1" s="1459"/>
    </row>
    <row r="2" spans="1:15" s="418" customFormat="1" ht="20.100000000000001" customHeight="1">
      <c r="A2" s="365" t="s">
        <v>1319</v>
      </c>
      <c r="B2" s="416" t="s">
        <v>0</v>
      </c>
      <c r="C2" s="416" t="s">
        <v>1085</v>
      </c>
      <c r="D2" s="365" t="s">
        <v>1320</v>
      </c>
      <c r="E2" s="358" t="s">
        <v>1321</v>
      </c>
      <c r="F2" s="417" t="s">
        <v>1086</v>
      </c>
      <c r="G2" s="417" t="s">
        <v>1322</v>
      </c>
      <c r="H2" s="416" t="s">
        <v>1323</v>
      </c>
      <c r="I2" s="416" t="s">
        <v>1324</v>
      </c>
      <c r="J2" s="416" t="s">
        <v>1325</v>
      </c>
      <c r="K2" s="417" t="s">
        <v>1326</v>
      </c>
    </row>
    <row r="3" spans="1:15" s="418" customFormat="1" ht="20.100000000000001" customHeight="1">
      <c r="A3" s="1435" t="s">
        <v>1703</v>
      </c>
      <c r="B3" s="365">
        <v>1</v>
      </c>
      <c r="C3" s="310" t="s">
        <v>1704</v>
      </c>
      <c r="D3" s="310" t="s">
        <v>1705</v>
      </c>
      <c r="E3" s="310" t="s">
        <v>1706</v>
      </c>
      <c r="F3" s="310" t="s">
        <v>1707</v>
      </c>
      <c r="G3" s="310" t="s">
        <v>1708</v>
      </c>
      <c r="H3" s="358" t="s">
        <v>1327</v>
      </c>
      <c r="I3" s="358">
        <v>414622</v>
      </c>
      <c r="J3" s="419">
        <v>409727</v>
      </c>
      <c r="K3" s="420">
        <v>101594</v>
      </c>
    </row>
    <row r="4" spans="1:15" s="418" customFormat="1" ht="20.100000000000001" customHeight="1">
      <c r="A4" s="1435"/>
      <c r="B4" s="365">
        <v>2</v>
      </c>
      <c r="C4" s="365" t="s">
        <v>677</v>
      </c>
      <c r="D4" s="365" t="s">
        <v>1709</v>
      </c>
      <c r="E4" s="421" t="s">
        <v>1710</v>
      </c>
      <c r="F4" s="421" t="s">
        <v>1711</v>
      </c>
      <c r="G4" s="310" t="s">
        <v>1328</v>
      </c>
      <c r="H4" s="358" t="s">
        <v>1329</v>
      </c>
      <c r="I4" s="358">
        <v>236683</v>
      </c>
      <c r="J4" s="419">
        <v>233279</v>
      </c>
      <c r="K4" s="420">
        <v>67107.5</v>
      </c>
    </row>
    <row r="5" spans="1:15" s="418" customFormat="1" ht="20.100000000000001" customHeight="1">
      <c r="A5" s="1435"/>
      <c r="B5" s="365">
        <v>3</v>
      </c>
      <c r="C5" s="310" t="s">
        <v>1712</v>
      </c>
      <c r="D5" s="421" t="s">
        <v>1713</v>
      </c>
      <c r="E5" s="310" t="s">
        <v>1714</v>
      </c>
      <c r="F5" s="310" t="s">
        <v>1661</v>
      </c>
      <c r="G5" s="310" t="s">
        <v>1328</v>
      </c>
      <c r="H5" s="358" t="s">
        <v>1329</v>
      </c>
      <c r="I5" s="358">
        <v>813992</v>
      </c>
      <c r="J5" s="419">
        <v>809879</v>
      </c>
      <c r="K5" s="420">
        <v>169196.9</v>
      </c>
    </row>
    <row r="6" spans="1:15" s="418" customFormat="1" ht="20.100000000000001" customHeight="1">
      <c r="A6" s="1435"/>
      <c r="B6" s="365">
        <v>4</v>
      </c>
      <c r="C6" s="421" t="s">
        <v>1715</v>
      </c>
      <c r="D6" s="421"/>
      <c r="E6" s="310"/>
      <c r="F6" s="310" t="s">
        <v>1716</v>
      </c>
      <c r="G6" s="310" t="s">
        <v>1717</v>
      </c>
      <c r="H6" s="305" t="s">
        <v>1718</v>
      </c>
      <c r="I6" s="305">
        <v>200670</v>
      </c>
      <c r="J6" s="419">
        <v>196471</v>
      </c>
      <c r="K6" s="422">
        <v>60246</v>
      </c>
    </row>
    <row r="7" spans="1:15" s="425" customFormat="1" ht="20.100000000000001" customHeight="1">
      <c r="A7" s="1435"/>
      <c r="B7" s="1460" t="s">
        <v>1719</v>
      </c>
      <c r="C7" s="1460"/>
      <c r="D7" s="1460"/>
      <c r="E7" s="1460"/>
      <c r="F7" s="1460"/>
      <c r="G7" s="1460"/>
      <c r="H7" s="1460"/>
      <c r="I7" s="423">
        <f>SUM(I3:I6)</f>
        <v>1665967</v>
      </c>
      <c r="J7" s="423">
        <f>SUM(J3:J6)</f>
        <v>1649356</v>
      </c>
      <c r="K7" s="424">
        <f>SUM(K3:K6)</f>
        <v>398144.4</v>
      </c>
      <c r="O7" s="418"/>
    </row>
    <row r="8" spans="1:15" s="418" customFormat="1" ht="20.100000000000001" customHeight="1">
      <c r="A8" s="1435" t="s">
        <v>1720</v>
      </c>
      <c r="B8" s="310">
        <v>1</v>
      </c>
      <c r="C8" s="310" t="s">
        <v>433</v>
      </c>
      <c r="D8" s="310">
        <v>2019.9</v>
      </c>
      <c r="E8" s="310" t="s">
        <v>1721</v>
      </c>
      <c r="F8" s="310" t="s">
        <v>1722</v>
      </c>
      <c r="G8" s="310" t="s">
        <v>1330</v>
      </c>
      <c r="H8" s="358" t="s">
        <v>1723</v>
      </c>
      <c r="I8" s="385">
        <v>1516857</v>
      </c>
      <c r="J8" s="417">
        <v>1511860</v>
      </c>
      <c r="K8" s="416">
        <v>490593</v>
      </c>
    </row>
    <row r="9" spans="1:15" s="418" customFormat="1" ht="20.100000000000001" customHeight="1">
      <c r="A9" s="1435"/>
      <c r="B9" s="1465" t="s">
        <v>25</v>
      </c>
      <c r="C9" s="1466"/>
      <c r="D9" s="426"/>
      <c r="E9" s="426"/>
      <c r="F9" s="426"/>
      <c r="G9" s="426"/>
      <c r="H9" s="427"/>
      <c r="I9" s="428">
        <f>SUM(I8:I8)</f>
        <v>1516857</v>
      </c>
      <c r="J9" s="429">
        <f>SUM(J8:J8)</f>
        <v>1511860</v>
      </c>
      <c r="K9" s="430">
        <f>SUM(K8)</f>
        <v>490593</v>
      </c>
    </row>
    <row r="10" spans="1:15" s="418" customFormat="1" ht="20.100000000000001" customHeight="1">
      <c r="A10" s="1435" t="s">
        <v>1724</v>
      </c>
      <c r="B10" s="416">
        <v>1</v>
      </c>
      <c r="C10" s="421" t="s">
        <v>1725</v>
      </c>
      <c r="D10" s="421">
        <v>2007</v>
      </c>
      <c r="E10" s="421" t="s">
        <v>1726</v>
      </c>
      <c r="F10" s="421" t="s">
        <v>1727</v>
      </c>
      <c r="G10" s="421" t="s">
        <v>1728</v>
      </c>
      <c r="H10" s="421" t="s">
        <v>1718</v>
      </c>
      <c r="I10" s="385">
        <v>395426</v>
      </c>
      <c r="J10" s="421">
        <v>393942</v>
      </c>
      <c r="K10" s="416">
        <v>89694</v>
      </c>
    </row>
    <row r="11" spans="1:15" s="418" customFormat="1" ht="20.100000000000001" customHeight="1">
      <c r="A11" s="1435"/>
      <c r="B11" s="416">
        <v>2</v>
      </c>
      <c r="C11" s="421" t="s">
        <v>1729</v>
      </c>
      <c r="D11" s="421" t="s">
        <v>1730</v>
      </c>
      <c r="E11" s="421" t="s">
        <v>1731</v>
      </c>
      <c r="F11" s="421" t="s">
        <v>1732</v>
      </c>
      <c r="G11" s="421" t="s">
        <v>1733</v>
      </c>
      <c r="H11" s="421" t="s">
        <v>1734</v>
      </c>
      <c r="I11" s="385">
        <v>1043511</v>
      </c>
      <c r="J11" s="421">
        <v>984844</v>
      </c>
      <c r="K11" s="416">
        <v>292196</v>
      </c>
    </row>
    <row r="12" spans="1:15" s="418" customFormat="1" ht="20.100000000000001" customHeight="1">
      <c r="A12" s="1435"/>
      <c r="B12" s="421">
        <v>3</v>
      </c>
      <c r="C12" s="421" t="s">
        <v>1331</v>
      </c>
      <c r="D12" s="421">
        <v>2012</v>
      </c>
      <c r="E12" s="421" t="s">
        <v>1735</v>
      </c>
      <c r="F12" s="421" t="s">
        <v>1736</v>
      </c>
      <c r="G12" s="421" t="s">
        <v>1737</v>
      </c>
      <c r="H12" s="421" t="s">
        <v>1734</v>
      </c>
      <c r="I12" s="385">
        <v>1054831</v>
      </c>
      <c r="J12" s="385">
        <v>908133</v>
      </c>
      <c r="K12" s="416">
        <v>150037</v>
      </c>
    </row>
    <row r="13" spans="1:15" s="425" customFormat="1" ht="20.100000000000001" customHeight="1">
      <c r="A13" s="1435"/>
      <c r="B13" s="1467" t="s">
        <v>1738</v>
      </c>
      <c r="C13" s="1467"/>
      <c r="D13" s="1467"/>
      <c r="E13" s="1467"/>
      <c r="F13" s="1467"/>
      <c r="G13" s="1467"/>
      <c r="H13" s="1467"/>
      <c r="I13" s="430">
        <f>SUM(I10:I12)</f>
        <v>2493768</v>
      </c>
      <c r="J13" s="423">
        <f>SUM(J10:J12)</f>
        <v>2286919</v>
      </c>
      <c r="K13" s="424">
        <f>SUM(K10:K12)</f>
        <v>531927</v>
      </c>
      <c r="O13" s="418"/>
    </row>
    <row r="14" spans="1:15" s="418" customFormat="1" ht="20.100000000000001" customHeight="1">
      <c r="A14" s="1435" t="s">
        <v>7</v>
      </c>
      <c r="B14" s="421">
        <v>1</v>
      </c>
      <c r="C14" s="358" t="s">
        <v>54</v>
      </c>
      <c r="D14" s="358">
        <v>2010.2</v>
      </c>
      <c r="E14" s="421" t="s">
        <v>1332</v>
      </c>
      <c r="F14" s="358" t="s">
        <v>1333</v>
      </c>
      <c r="G14" s="421" t="s">
        <v>1334</v>
      </c>
      <c r="H14" s="358" t="s">
        <v>1335</v>
      </c>
      <c r="I14" s="1461">
        <v>1057800</v>
      </c>
      <c r="J14" s="1461">
        <v>1057647</v>
      </c>
      <c r="K14" s="1462">
        <v>345560</v>
      </c>
    </row>
    <row r="15" spans="1:15" s="418" customFormat="1" ht="20.100000000000001" customHeight="1">
      <c r="A15" s="1435"/>
      <c r="B15" s="421">
        <v>2</v>
      </c>
      <c r="C15" s="358" t="s">
        <v>1336</v>
      </c>
      <c r="D15" s="358">
        <v>2014.9</v>
      </c>
      <c r="E15" s="421" t="s">
        <v>1337</v>
      </c>
      <c r="F15" s="358" t="s">
        <v>1338</v>
      </c>
      <c r="G15" s="421" t="s">
        <v>1339</v>
      </c>
      <c r="H15" s="358" t="s">
        <v>1335</v>
      </c>
      <c r="I15" s="1446"/>
      <c r="J15" s="1446"/>
      <c r="K15" s="1463"/>
    </row>
    <row r="16" spans="1:15" s="418" customFormat="1" ht="20.100000000000001" customHeight="1">
      <c r="A16" s="1435"/>
      <c r="B16" s="421">
        <v>3</v>
      </c>
      <c r="C16" s="358" t="s">
        <v>56</v>
      </c>
      <c r="D16" s="358">
        <v>1986.9</v>
      </c>
      <c r="E16" s="421" t="s">
        <v>1340</v>
      </c>
      <c r="F16" s="358" t="s">
        <v>1341</v>
      </c>
      <c r="G16" s="421" t="s">
        <v>1330</v>
      </c>
      <c r="H16" s="358" t="s">
        <v>1335</v>
      </c>
      <c r="I16" s="385">
        <v>3366200</v>
      </c>
      <c r="J16" s="431">
        <v>3365838.69</v>
      </c>
      <c r="K16" s="431">
        <v>894905</v>
      </c>
    </row>
    <row r="17" spans="1:15" s="418" customFormat="1" ht="20.100000000000001" customHeight="1">
      <c r="A17" s="1435"/>
      <c r="B17" s="421">
        <v>4</v>
      </c>
      <c r="C17" s="358" t="s">
        <v>60</v>
      </c>
      <c r="D17" s="358">
        <v>2016.9</v>
      </c>
      <c r="E17" s="421" t="s">
        <v>1342</v>
      </c>
      <c r="F17" s="358" t="s">
        <v>1343</v>
      </c>
      <c r="G17" s="421" t="s">
        <v>1330</v>
      </c>
      <c r="H17" s="358" t="s">
        <v>1335</v>
      </c>
      <c r="I17" s="1461">
        <v>1103000</v>
      </c>
      <c r="J17" s="1461">
        <v>1096797</v>
      </c>
      <c r="K17" s="1462">
        <v>357249.44999999995</v>
      </c>
    </row>
    <row r="18" spans="1:15" s="418" customFormat="1" ht="20.100000000000001" customHeight="1">
      <c r="A18" s="1435"/>
      <c r="B18" s="421">
        <v>5</v>
      </c>
      <c r="C18" s="358" t="s">
        <v>1344</v>
      </c>
      <c r="D18" s="358">
        <v>2011.9</v>
      </c>
      <c r="E18" s="421" t="s">
        <v>1345</v>
      </c>
      <c r="F18" s="358" t="s">
        <v>1346</v>
      </c>
      <c r="G18" s="421" t="s">
        <v>1339</v>
      </c>
      <c r="H18" s="358" t="s">
        <v>1335</v>
      </c>
      <c r="I18" s="1446"/>
      <c r="J18" s="1446"/>
      <c r="K18" s="1464"/>
    </row>
    <row r="19" spans="1:15" s="418" customFormat="1" ht="20.100000000000001" customHeight="1">
      <c r="A19" s="1435"/>
      <c r="B19" s="421">
        <v>6</v>
      </c>
      <c r="C19" s="358" t="s">
        <v>1347</v>
      </c>
      <c r="D19" s="358">
        <v>2018.9</v>
      </c>
      <c r="E19" s="421" t="s">
        <v>1348</v>
      </c>
      <c r="F19" s="358" t="s">
        <v>1349</v>
      </c>
      <c r="G19" s="421" t="s">
        <v>1339</v>
      </c>
      <c r="H19" s="358" t="s">
        <v>1335</v>
      </c>
      <c r="I19" s="1447"/>
      <c r="J19" s="1447"/>
      <c r="K19" s="1463"/>
    </row>
    <row r="20" spans="1:15" s="418" customFormat="1" ht="20.100000000000001" customHeight="1">
      <c r="A20" s="1435"/>
      <c r="B20" s="421">
        <v>7</v>
      </c>
      <c r="C20" s="358" t="s">
        <v>1350</v>
      </c>
      <c r="D20" s="358">
        <v>2015.1</v>
      </c>
      <c r="E20" s="421" t="s">
        <v>1345</v>
      </c>
      <c r="F20" s="358" t="s">
        <v>1351</v>
      </c>
      <c r="G20" s="421" t="s">
        <v>1339</v>
      </c>
      <c r="H20" s="358" t="s">
        <v>1335</v>
      </c>
      <c r="I20" s="1461">
        <v>1857761</v>
      </c>
      <c r="J20" s="1461">
        <v>1855300</v>
      </c>
      <c r="K20" s="1462">
        <f>591526-30300</f>
        <v>561226</v>
      </c>
    </row>
    <row r="21" spans="1:15" s="418" customFormat="1" ht="20.100000000000001" customHeight="1">
      <c r="A21" s="1435"/>
      <c r="B21" s="421">
        <v>8</v>
      </c>
      <c r="C21" s="358" t="s">
        <v>1352</v>
      </c>
      <c r="D21" s="358">
        <v>1997.9</v>
      </c>
      <c r="E21" s="421" t="s">
        <v>1353</v>
      </c>
      <c r="F21" s="358" t="s">
        <v>1252</v>
      </c>
      <c r="G21" s="421" t="s">
        <v>1339</v>
      </c>
      <c r="H21" s="358" t="s">
        <v>1335</v>
      </c>
      <c r="I21" s="1446"/>
      <c r="J21" s="1446"/>
      <c r="K21" s="1464"/>
    </row>
    <row r="22" spans="1:15" s="418" customFormat="1" ht="20.100000000000001" customHeight="1">
      <c r="A22" s="1435"/>
      <c r="B22" s="421">
        <v>9</v>
      </c>
      <c r="C22" s="358" t="s">
        <v>1354</v>
      </c>
      <c r="D22" s="358">
        <v>2018.9</v>
      </c>
      <c r="E22" s="421" t="s">
        <v>1355</v>
      </c>
      <c r="F22" s="358" t="s">
        <v>1356</v>
      </c>
      <c r="G22" s="421" t="s">
        <v>1339</v>
      </c>
      <c r="H22" s="358" t="s">
        <v>1335</v>
      </c>
      <c r="I22" s="1447"/>
      <c r="J22" s="1447"/>
      <c r="K22" s="1463"/>
    </row>
    <row r="23" spans="1:15" s="418" customFormat="1" ht="20.100000000000001" customHeight="1">
      <c r="A23" s="1435"/>
      <c r="B23" s="421">
        <v>10</v>
      </c>
      <c r="C23" s="358" t="s">
        <v>1739</v>
      </c>
      <c r="D23" s="358"/>
      <c r="E23" s="421"/>
      <c r="F23" s="358" t="s">
        <v>1357</v>
      </c>
      <c r="G23" s="421"/>
      <c r="H23" s="358" t="s">
        <v>1335</v>
      </c>
      <c r="I23" s="358">
        <v>19275805</v>
      </c>
      <c r="J23" s="358">
        <v>19262577</v>
      </c>
      <c r="K23" s="431">
        <v>4825871</v>
      </c>
    </row>
    <row r="24" spans="1:15" s="425" customFormat="1" ht="20.100000000000001" customHeight="1">
      <c r="A24" s="1435"/>
      <c r="B24" s="1460" t="s">
        <v>25</v>
      </c>
      <c r="C24" s="1466"/>
      <c r="D24" s="1468"/>
      <c r="E24" s="1465"/>
      <c r="F24" s="1466"/>
      <c r="G24" s="1466"/>
      <c r="H24" s="1468"/>
      <c r="I24" s="428">
        <f>SUM(I14:I22)</f>
        <v>7384761</v>
      </c>
      <c r="J24" s="428">
        <f>SUM(J14:J23)</f>
        <v>26638159.689999998</v>
      </c>
      <c r="K24" s="432">
        <f>SUM(K14:K23)</f>
        <v>6984811.4500000002</v>
      </c>
      <c r="O24" s="418"/>
    </row>
    <row r="25" spans="1:15" s="418" customFormat="1" ht="20.100000000000001" customHeight="1">
      <c r="A25" s="1435" t="s">
        <v>1740</v>
      </c>
      <c r="B25" s="421">
        <v>1</v>
      </c>
      <c r="C25" s="421" t="s">
        <v>1358</v>
      </c>
      <c r="D25" s="421">
        <v>2007</v>
      </c>
      <c r="E25" s="421" t="s">
        <v>1359</v>
      </c>
      <c r="F25" s="421" t="s">
        <v>1360</v>
      </c>
      <c r="G25" s="421" t="s">
        <v>1339</v>
      </c>
      <c r="H25" s="417" t="s">
        <v>1327</v>
      </c>
      <c r="I25" s="308">
        <v>484491</v>
      </c>
      <c r="J25" s="433">
        <v>274015.94</v>
      </c>
      <c r="K25" s="431">
        <v>-12983.89</v>
      </c>
    </row>
    <row r="26" spans="1:15" s="418" customFormat="1" ht="20.100000000000001" customHeight="1">
      <c r="A26" s="1435"/>
      <c r="B26" s="421">
        <v>2</v>
      </c>
      <c r="C26" s="421" t="s">
        <v>780</v>
      </c>
      <c r="D26" s="421">
        <v>1999</v>
      </c>
      <c r="E26" s="421" t="s">
        <v>1361</v>
      </c>
      <c r="F26" s="421" t="s">
        <v>1362</v>
      </c>
      <c r="G26" s="421" t="s">
        <v>1339</v>
      </c>
      <c r="H26" s="417" t="s">
        <v>1363</v>
      </c>
      <c r="I26" s="1469">
        <v>903379</v>
      </c>
      <c r="J26" s="1411">
        <v>767385.3</v>
      </c>
      <c r="K26" s="1462">
        <v>30522</v>
      </c>
    </row>
    <row r="27" spans="1:15" s="418" customFormat="1" ht="20.100000000000001" customHeight="1">
      <c r="A27" s="1435"/>
      <c r="B27" s="421">
        <v>3</v>
      </c>
      <c r="C27" s="421" t="s">
        <v>1364</v>
      </c>
      <c r="D27" s="421">
        <v>2004</v>
      </c>
      <c r="E27" s="421" t="s">
        <v>1361</v>
      </c>
      <c r="F27" s="421" t="s">
        <v>1365</v>
      </c>
      <c r="G27" s="421" t="s">
        <v>1339</v>
      </c>
      <c r="H27" s="417" t="s">
        <v>1335</v>
      </c>
      <c r="I27" s="1419"/>
      <c r="J27" s="1407"/>
      <c r="K27" s="1463"/>
    </row>
    <row r="28" spans="1:15" s="418" customFormat="1" ht="20.100000000000001" customHeight="1">
      <c r="A28" s="1435"/>
      <c r="B28" s="421">
        <v>4</v>
      </c>
      <c r="C28" s="421" t="s">
        <v>1366</v>
      </c>
      <c r="D28" s="421">
        <v>2004</v>
      </c>
      <c r="E28" s="421" t="s">
        <v>1367</v>
      </c>
      <c r="F28" s="421" t="s">
        <v>1232</v>
      </c>
      <c r="G28" s="421" t="s">
        <v>1339</v>
      </c>
      <c r="H28" s="417" t="s">
        <v>1335</v>
      </c>
      <c r="I28" s="308">
        <v>229111</v>
      </c>
      <c r="J28" s="433">
        <v>180244.96</v>
      </c>
      <c r="K28" s="431">
        <v>62846</v>
      </c>
    </row>
    <row r="29" spans="1:15" s="418" customFormat="1" ht="20.100000000000001" customHeight="1">
      <c r="A29" s="1435"/>
      <c r="B29" s="421">
        <v>5</v>
      </c>
      <c r="C29" s="421" t="s">
        <v>1368</v>
      </c>
      <c r="D29" s="434"/>
      <c r="E29" s="421"/>
      <c r="F29" s="435" t="s">
        <v>1369</v>
      </c>
      <c r="G29" s="421" t="s">
        <v>1330</v>
      </c>
      <c r="H29" s="417" t="s">
        <v>1335</v>
      </c>
      <c r="I29" s="308">
        <v>294775</v>
      </c>
      <c r="J29" s="433">
        <v>293646.18</v>
      </c>
      <c r="K29" s="431">
        <v>52164.34</v>
      </c>
    </row>
    <row r="30" spans="1:15" s="425" customFormat="1" ht="20.100000000000001" customHeight="1">
      <c r="A30" s="1435"/>
      <c r="B30" s="1467" t="s">
        <v>25</v>
      </c>
      <c r="C30" s="1470"/>
      <c r="D30" s="1471"/>
      <c r="E30" s="1472"/>
      <c r="F30" s="1470"/>
      <c r="G30" s="1470"/>
      <c r="H30" s="1471"/>
      <c r="I30" s="436">
        <f>SUM(I25:I29)</f>
        <v>1911756</v>
      </c>
      <c r="J30" s="436">
        <f>SUM(J25:J29)</f>
        <v>1515292.38</v>
      </c>
      <c r="K30" s="432">
        <f>SUM(K25:K29)</f>
        <v>132548.45000000001</v>
      </c>
      <c r="O30" s="418"/>
    </row>
    <row r="31" spans="1:15" s="437" customFormat="1" ht="20.100000000000001" customHeight="1">
      <c r="A31" s="1435" t="s">
        <v>6</v>
      </c>
      <c r="B31" s="365">
        <v>1</v>
      </c>
      <c r="C31" s="365" t="s">
        <v>1370</v>
      </c>
      <c r="D31" s="365">
        <v>2007</v>
      </c>
      <c r="E31" s="358" t="s">
        <v>1371</v>
      </c>
      <c r="F31" s="358" t="s">
        <v>1372</v>
      </c>
      <c r="G31" s="365" t="s">
        <v>1339</v>
      </c>
      <c r="H31" s="365" t="s">
        <v>1335</v>
      </c>
      <c r="I31" s="385">
        <v>460148</v>
      </c>
      <c r="J31" s="385">
        <v>458819</v>
      </c>
      <c r="K31" s="431">
        <v>102393.5</v>
      </c>
      <c r="O31" s="418"/>
    </row>
    <row r="32" spans="1:15" s="437" customFormat="1" ht="20.100000000000001" customHeight="1">
      <c r="A32" s="1435"/>
      <c r="B32" s="365">
        <v>2</v>
      </c>
      <c r="C32" s="365" t="s">
        <v>1373</v>
      </c>
      <c r="D32" s="365">
        <v>1997</v>
      </c>
      <c r="E32" s="358" t="s">
        <v>1374</v>
      </c>
      <c r="F32" s="358" t="s">
        <v>1375</v>
      </c>
      <c r="G32" s="365" t="s">
        <v>1330</v>
      </c>
      <c r="H32" s="365" t="s">
        <v>1335</v>
      </c>
      <c r="I32" s="385">
        <v>219794</v>
      </c>
      <c r="J32" s="385">
        <v>212826</v>
      </c>
      <c r="K32" s="431">
        <v>60691</v>
      </c>
      <c r="O32" s="418"/>
    </row>
    <row r="33" spans="1:15" s="437" customFormat="1" ht="20.100000000000001" customHeight="1">
      <c r="A33" s="1435"/>
      <c r="B33" s="365">
        <v>3</v>
      </c>
      <c r="C33" s="365" t="s">
        <v>1063</v>
      </c>
      <c r="D33" s="365">
        <v>2011</v>
      </c>
      <c r="E33" s="358" t="s">
        <v>1376</v>
      </c>
      <c r="F33" s="358" t="s">
        <v>1377</v>
      </c>
      <c r="G33" s="365" t="s">
        <v>1334</v>
      </c>
      <c r="H33" s="365" t="s">
        <v>1335</v>
      </c>
      <c r="I33" s="385">
        <v>143953</v>
      </c>
      <c r="J33" s="385">
        <v>134456</v>
      </c>
      <c r="K33" s="431">
        <v>34112</v>
      </c>
      <c r="O33" s="418"/>
    </row>
    <row r="34" spans="1:15" s="437" customFormat="1" ht="20.100000000000001" customHeight="1">
      <c r="A34" s="1435"/>
      <c r="B34" s="365">
        <v>4</v>
      </c>
      <c r="C34" s="365" t="s">
        <v>45</v>
      </c>
      <c r="D34" s="365"/>
      <c r="E34" s="358"/>
      <c r="F34" s="358" t="s">
        <v>1378</v>
      </c>
      <c r="G34" s="365" t="s">
        <v>1330</v>
      </c>
      <c r="H34" s="365" t="s">
        <v>1335</v>
      </c>
      <c r="I34" s="385">
        <v>465286</v>
      </c>
      <c r="J34" s="431">
        <v>463742.77</v>
      </c>
      <c r="K34" s="431">
        <v>125982.97000000002</v>
      </c>
      <c r="O34" s="418"/>
    </row>
    <row r="35" spans="1:15" s="437" customFormat="1" ht="20.100000000000001" customHeight="1">
      <c r="A35" s="1435"/>
      <c r="B35" s="365">
        <v>5</v>
      </c>
      <c r="C35" s="365" t="s">
        <v>1379</v>
      </c>
      <c r="D35" s="365">
        <v>1999</v>
      </c>
      <c r="E35" s="358" t="s">
        <v>1380</v>
      </c>
      <c r="F35" s="358" t="s">
        <v>1381</v>
      </c>
      <c r="G35" s="365" t="s">
        <v>1339</v>
      </c>
      <c r="H35" s="365" t="s">
        <v>1335</v>
      </c>
      <c r="I35" s="385">
        <v>74000</v>
      </c>
      <c r="J35" s="385">
        <v>73798</v>
      </c>
      <c r="K35" s="431">
        <v>24335</v>
      </c>
      <c r="O35" s="418"/>
    </row>
    <row r="36" spans="1:15" s="418" customFormat="1" ht="20.100000000000001" customHeight="1">
      <c r="A36" s="1435"/>
      <c r="B36" s="365">
        <v>6</v>
      </c>
      <c r="C36" s="310" t="s">
        <v>1741</v>
      </c>
      <c r="D36" s="310">
        <v>2019.9</v>
      </c>
      <c r="E36" s="310" t="s">
        <v>1721</v>
      </c>
      <c r="F36" s="310" t="s">
        <v>1742</v>
      </c>
      <c r="G36" s="310" t="s">
        <v>1728</v>
      </c>
      <c r="H36" s="305" t="s">
        <v>1718</v>
      </c>
      <c r="I36" s="385">
        <v>397798</v>
      </c>
      <c r="J36" s="385">
        <v>397082</v>
      </c>
      <c r="K36" s="438">
        <v>117902</v>
      </c>
    </row>
    <row r="37" spans="1:15" s="418" customFormat="1" ht="20.100000000000001" customHeight="1">
      <c r="A37" s="1435"/>
      <c r="B37" s="365">
        <v>7</v>
      </c>
      <c r="C37" s="421" t="s">
        <v>1382</v>
      </c>
      <c r="D37" s="421">
        <v>1969.9</v>
      </c>
      <c r="E37" s="310" t="s">
        <v>1743</v>
      </c>
      <c r="F37" s="310" t="s">
        <v>1383</v>
      </c>
      <c r="G37" s="310" t="s">
        <v>1744</v>
      </c>
      <c r="H37" s="305" t="s">
        <v>1718</v>
      </c>
      <c r="I37" s="385">
        <v>438000</v>
      </c>
      <c r="J37" s="385">
        <v>436811</v>
      </c>
      <c r="K37" s="438">
        <v>88765</v>
      </c>
    </row>
    <row r="38" spans="1:15" s="425" customFormat="1" ht="20.100000000000001" customHeight="1">
      <c r="A38" s="1435"/>
      <c r="B38" s="1460" t="s">
        <v>1384</v>
      </c>
      <c r="C38" s="1460"/>
      <c r="D38" s="1460"/>
      <c r="E38" s="1460"/>
      <c r="F38" s="1460"/>
      <c r="G38" s="1460"/>
      <c r="H38" s="1460"/>
      <c r="I38" s="423">
        <f>SUM(I31:I37)</f>
        <v>2198979</v>
      </c>
      <c r="J38" s="423">
        <f>SUM(J31:J37)</f>
        <v>2177534.77</v>
      </c>
      <c r="K38" s="432">
        <f>SUM(K31:K37)</f>
        <v>554181.47</v>
      </c>
      <c r="O38" s="418"/>
    </row>
    <row r="39" spans="1:15" s="418" customFormat="1" ht="20.100000000000001" customHeight="1">
      <c r="A39" s="1435" t="s">
        <v>8</v>
      </c>
      <c r="B39" s="421">
        <v>1</v>
      </c>
      <c r="C39" s="421" t="s">
        <v>1745</v>
      </c>
      <c r="D39" s="421" t="s">
        <v>1746</v>
      </c>
      <c r="E39" s="421" t="s">
        <v>1747</v>
      </c>
      <c r="F39" s="421" t="s">
        <v>1748</v>
      </c>
      <c r="G39" s="421" t="s">
        <v>1339</v>
      </c>
      <c r="H39" s="421" t="s">
        <v>1335</v>
      </c>
      <c r="I39" s="419">
        <v>445011</v>
      </c>
      <c r="J39" s="419">
        <v>443743.51</v>
      </c>
      <c r="K39" s="431">
        <v>137631.51</v>
      </c>
    </row>
    <row r="40" spans="1:15" s="418" customFormat="1" ht="20.100000000000001" customHeight="1">
      <c r="A40" s="1435"/>
      <c r="B40" s="421">
        <v>2</v>
      </c>
      <c r="C40" s="421" t="s">
        <v>1749</v>
      </c>
      <c r="D40" s="421"/>
      <c r="E40" s="421" t="s">
        <v>1750</v>
      </c>
      <c r="F40" s="421" t="s">
        <v>1751</v>
      </c>
      <c r="G40" s="421" t="s">
        <v>1339</v>
      </c>
      <c r="H40" s="417" t="s">
        <v>1335</v>
      </c>
      <c r="I40" s="419">
        <v>301696</v>
      </c>
      <c r="J40" s="419">
        <v>300666.18</v>
      </c>
      <c r="K40" s="431">
        <v>96740.18</v>
      </c>
    </row>
    <row r="41" spans="1:15" s="418" customFormat="1" ht="20.100000000000001" customHeight="1">
      <c r="A41" s="1435"/>
      <c r="B41" s="421">
        <v>3</v>
      </c>
      <c r="C41" s="310" t="s">
        <v>1752</v>
      </c>
      <c r="D41" s="310" t="s">
        <v>1753</v>
      </c>
      <c r="E41" s="310" t="s">
        <v>1754</v>
      </c>
      <c r="F41" s="310" t="s">
        <v>1755</v>
      </c>
      <c r="G41" s="310" t="s">
        <v>1330</v>
      </c>
      <c r="H41" s="358" t="s">
        <v>1335</v>
      </c>
      <c r="I41" s="419">
        <v>87562</v>
      </c>
      <c r="J41" s="419">
        <v>87562</v>
      </c>
      <c r="K41" s="431">
        <v>22222</v>
      </c>
    </row>
    <row r="42" spans="1:15" s="437" customFormat="1" ht="20.100000000000001" customHeight="1">
      <c r="A42" s="1435"/>
      <c r="B42" s="421">
        <v>4</v>
      </c>
      <c r="C42" s="310" t="s">
        <v>176</v>
      </c>
      <c r="D42" s="310" t="s">
        <v>1756</v>
      </c>
      <c r="E42" s="310" t="s">
        <v>1757</v>
      </c>
      <c r="F42" s="310" t="s">
        <v>1758</v>
      </c>
      <c r="G42" s="310" t="s">
        <v>1334</v>
      </c>
      <c r="H42" s="358" t="s">
        <v>1335</v>
      </c>
      <c r="I42" s="419">
        <v>428817</v>
      </c>
      <c r="J42" s="419">
        <v>426845</v>
      </c>
      <c r="K42" s="431">
        <v>137296</v>
      </c>
      <c r="O42" s="418"/>
    </row>
    <row r="43" spans="1:15" s="437" customFormat="1" ht="20.100000000000001" customHeight="1">
      <c r="A43" s="1435"/>
      <c r="B43" s="421">
        <v>5</v>
      </c>
      <c r="C43" s="416" t="s">
        <v>459</v>
      </c>
      <c r="D43" s="439" t="s">
        <v>1759</v>
      </c>
      <c r="E43" s="440" t="s">
        <v>1760</v>
      </c>
      <c r="F43" s="439" t="s">
        <v>1761</v>
      </c>
      <c r="G43" s="440" t="s">
        <v>1339</v>
      </c>
      <c r="H43" s="440" t="s">
        <v>1335</v>
      </c>
      <c r="I43" s="419">
        <v>2180000</v>
      </c>
      <c r="J43" s="419">
        <v>2179030.85</v>
      </c>
      <c r="K43" s="431">
        <v>663296.85000000009</v>
      </c>
      <c r="O43" s="418"/>
    </row>
    <row r="44" spans="1:15" s="425" customFormat="1" ht="20.100000000000001" customHeight="1">
      <c r="A44" s="1435"/>
      <c r="B44" s="1473" t="s">
        <v>25</v>
      </c>
      <c r="C44" s="1474"/>
      <c r="D44" s="1475"/>
      <c r="E44" s="1473"/>
      <c r="F44" s="1474"/>
      <c r="G44" s="1474"/>
      <c r="H44" s="1475"/>
      <c r="I44" s="441">
        <f>SUM(I39:I43)</f>
        <v>3443086</v>
      </c>
      <c r="J44" s="441">
        <f>SUM(J39:J43)</f>
        <v>3437847.54</v>
      </c>
      <c r="K44" s="432">
        <f>SUM(K39:K43)</f>
        <v>1057186.54</v>
      </c>
      <c r="O44" s="418"/>
    </row>
    <row r="45" spans="1:15" s="437" customFormat="1" ht="20.100000000000001" customHeight="1">
      <c r="A45" s="1435" t="s">
        <v>2</v>
      </c>
      <c r="B45" s="421">
        <v>1</v>
      </c>
      <c r="C45" s="421" t="s">
        <v>842</v>
      </c>
      <c r="D45" s="421">
        <v>2011.7</v>
      </c>
      <c r="E45" s="421" t="s">
        <v>1391</v>
      </c>
      <c r="F45" s="421" t="s">
        <v>1392</v>
      </c>
      <c r="G45" s="421" t="s">
        <v>1385</v>
      </c>
      <c r="H45" s="358" t="s">
        <v>1335</v>
      </c>
      <c r="I45" s="385">
        <v>624913</v>
      </c>
      <c r="J45" s="385">
        <v>623254</v>
      </c>
      <c r="K45" s="431">
        <v>124647.5</v>
      </c>
      <c r="O45" s="418"/>
    </row>
    <row r="46" spans="1:15" s="437" customFormat="1" ht="20.100000000000001" customHeight="1">
      <c r="A46" s="1435"/>
      <c r="B46" s="421">
        <v>2</v>
      </c>
      <c r="C46" s="310" t="s">
        <v>836</v>
      </c>
      <c r="D46" s="421">
        <v>2002.7</v>
      </c>
      <c r="E46" s="310" t="s">
        <v>1386</v>
      </c>
      <c r="F46" s="310" t="s">
        <v>1387</v>
      </c>
      <c r="G46" s="310" t="s">
        <v>1385</v>
      </c>
      <c r="H46" s="358" t="s">
        <v>1335</v>
      </c>
      <c r="I46" s="385">
        <v>1125275</v>
      </c>
      <c r="J46" s="385">
        <v>1110794.55</v>
      </c>
      <c r="K46" s="431">
        <v>271698.21999999997</v>
      </c>
      <c r="O46" s="418"/>
    </row>
    <row r="47" spans="1:15" s="437" customFormat="1" ht="20.100000000000001" customHeight="1">
      <c r="A47" s="1435"/>
      <c r="B47" s="421">
        <v>3</v>
      </c>
      <c r="C47" s="310" t="s">
        <v>791</v>
      </c>
      <c r="D47" s="310" t="s">
        <v>1388</v>
      </c>
      <c r="E47" s="310" t="s">
        <v>1389</v>
      </c>
      <c r="F47" s="310" t="s">
        <v>1390</v>
      </c>
      <c r="G47" s="310" t="s">
        <v>1339</v>
      </c>
      <c r="H47" s="358" t="s">
        <v>1335</v>
      </c>
      <c r="I47" s="385">
        <v>212180</v>
      </c>
      <c r="J47" s="385">
        <v>211713</v>
      </c>
      <c r="K47" s="431">
        <v>64868.5</v>
      </c>
      <c r="O47" s="418"/>
    </row>
    <row r="48" spans="1:15" s="425" customFormat="1" ht="20.100000000000001" customHeight="1">
      <c r="A48" s="1435"/>
      <c r="B48" s="1476" t="s">
        <v>25</v>
      </c>
      <c r="C48" s="1476"/>
      <c r="D48" s="1476"/>
      <c r="E48" s="1477"/>
      <c r="F48" s="1477"/>
      <c r="G48" s="1477"/>
      <c r="H48" s="1477"/>
      <c r="I48" s="442">
        <f>SUM(I45:I47)</f>
        <v>1962368</v>
      </c>
      <c r="J48" s="443">
        <f>SUM(J45:J47)</f>
        <v>1945761.55</v>
      </c>
      <c r="K48" s="432">
        <f>SUM(K45:K47)</f>
        <v>461214.22</v>
      </c>
    </row>
    <row r="49" spans="1:11" s="425" customFormat="1" ht="11.25">
      <c r="A49" s="1465" t="s">
        <v>1136</v>
      </c>
      <c r="B49" s="1466"/>
      <c r="C49" s="1466"/>
      <c r="D49" s="1466"/>
      <c r="E49" s="1466"/>
      <c r="F49" s="1466"/>
      <c r="G49" s="1466"/>
      <c r="H49" s="1468"/>
      <c r="I49" s="428">
        <f>I7+I9+I13+I24+I30+I38+I44+I48</f>
        <v>22577542</v>
      </c>
      <c r="J49" s="428">
        <f>J7+J9+J13+J24+J30+J38+J44+J48</f>
        <v>41162730.93</v>
      </c>
      <c r="K49" s="423">
        <f>K24+K30+K44+K38+K48+K7+K9+K13</f>
        <v>10610606.530000001</v>
      </c>
    </row>
    <row r="50" spans="1:11" s="437" customFormat="1" ht="11.25">
      <c r="A50" s="350"/>
      <c r="B50" s="350"/>
      <c r="C50" s="350"/>
      <c r="D50" s="350"/>
      <c r="E50" s="359"/>
      <c r="F50" s="359"/>
      <c r="G50" s="350"/>
      <c r="H50" s="350"/>
      <c r="I50" s="350"/>
      <c r="J50" s="350"/>
      <c r="K50" s="359"/>
    </row>
    <row r="51" spans="1:11" s="437" customFormat="1" ht="11.25">
      <c r="A51" s="350"/>
      <c r="B51" s="350"/>
      <c r="C51" s="350"/>
      <c r="D51" s="350"/>
      <c r="E51" s="359"/>
      <c r="F51" s="359"/>
      <c r="G51" s="350"/>
      <c r="H51" s="350"/>
      <c r="I51" s="350"/>
      <c r="J51" s="350"/>
      <c r="K51" s="359"/>
    </row>
    <row r="52" spans="1:11" s="437" customFormat="1" ht="11.25">
      <c r="A52" s="350"/>
      <c r="B52" s="350"/>
      <c r="C52" s="350"/>
      <c r="D52" s="350"/>
      <c r="E52" s="359"/>
      <c r="F52" s="359"/>
      <c r="G52" s="350"/>
      <c r="H52" s="350"/>
      <c r="I52" s="350"/>
      <c r="J52" s="350"/>
      <c r="K52" s="359"/>
    </row>
    <row r="53" spans="1:11" s="437" customFormat="1" ht="11.25">
      <c r="A53" s="350"/>
      <c r="B53" s="350"/>
      <c r="C53" s="350"/>
      <c r="D53" s="350"/>
      <c r="E53" s="359"/>
      <c r="F53" s="359"/>
      <c r="G53" s="350"/>
      <c r="H53" s="350"/>
      <c r="I53" s="350"/>
      <c r="J53" s="350"/>
      <c r="K53" s="359"/>
    </row>
    <row r="54" spans="1:11" s="437" customFormat="1" ht="11.25">
      <c r="A54" s="350"/>
      <c r="B54" s="350"/>
      <c r="C54" s="350"/>
      <c r="D54" s="350"/>
      <c r="E54" s="359"/>
      <c r="F54" s="359"/>
      <c r="G54" s="350"/>
      <c r="H54" s="350"/>
      <c r="I54" s="350"/>
      <c r="J54" s="350"/>
      <c r="K54" s="359"/>
    </row>
    <row r="55" spans="1:11" s="437" customFormat="1" ht="11.25">
      <c r="A55" s="350"/>
      <c r="B55" s="350"/>
      <c r="C55" s="350"/>
      <c r="D55" s="350"/>
      <c r="E55" s="359"/>
      <c r="F55" s="359"/>
      <c r="G55" s="350"/>
      <c r="H55" s="350"/>
      <c r="I55" s="350"/>
      <c r="J55" s="350"/>
      <c r="K55" s="359"/>
    </row>
    <row r="56" spans="1:11" s="437" customFormat="1" ht="11.25">
      <c r="A56" s="350"/>
      <c r="B56" s="350"/>
      <c r="C56" s="350"/>
      <c r="D56" s="350"/>
      <c r="E56" s="359"/>
      <c r="F56" s="359"/>
      <c r="G56" s="350"/>
      <c r="H56" s="350"/>
      <c r="I56" s="350"/>
      <c r="J56" s="350"/>
      <c r="K56" s="359"/>
    </row>
    <row r="57" spans="1:11" s="437" customFormat="1" ht="11.25">
      <c r="A57" s="350"/>
      <c r="B57" s="350"/>
      <c r="C57" s="350"/>
      <c r="D57" s="350"/>
      <c r="E57" s="359"/>
      <c r="F57" s="359"/>
      <c r="G57" s="350"/>
      <c r="H57" s="350"/>
      <c r="I57" s="350"/>
      <c r="J57" s="350"/>
      <c r="K57" s="359"/>
    </row>
  </sheetData>
  <mergeCells count="37">
    <mergeCell ref="A31:A38"/>
    <mergeCell ref="B38:D38"/>
    <mergeCell ref="E38:H38"/>
    <mergeCell ref="A49:H49"/>
    <mergeCell ref="A39:A44"/>
    <mergeCell ref="B44:D44"/>
    <mergeCell ref="E44:H44"/>
    <mergeCell ref="A45:A48"/>
    <mergeCell ref="B48:D48"/>
    <mergeCell ref="E48:H48"/>
    <mergeCell ref="A25:A30"/>
    <mergeCell ref="I26:I27"/>
    <mergeCell ref="J26:J27"/>
    <mergeCell ref="K26:K27"/>
    <mergeCell ref="B30:D30"/>
    <mergeCell ref="E30:H30"/>
    <mergeCell ref="A10:A13"/>
    <mergeCell ref="B13:D13"/>
    <mergeCell ref="E13:H13"/>
    <mergeCell ref="B24:D24"/>
    <mergeCell ref="E24:H24"/>
    <mergeCell ref="A1:K1"/>
    <mergeCell ref="A3:A7"/>
    <mergeCell ref="B7:D7"/>
    <mergeCell ref="E7:H7"/>
    <mergeCell ref="A14:A24"/>
    <mergeCell ref="I14:I15"/>
    <mergeCell ref="J14:J15"/>
    <mergeCell ref="K14:K15"/>
    <mergeCell ref="I17:I19"/>
    <mergeCell ref="J17:J19"/>
    <mergeCell ref="K17:K19"/>
    <mergeCell ref="I20:I22"/>
    <mergeCell ref="J20:J22"/>
    <mergeCell ref="K20:K22"/>
    <mergeCell ref="A8:A9"/>
    <mergeCell ref="B9:C9"/>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8"/>
  <sheetViews>
    <sheetView workbookViewId="0">
      <selection activeCell="C15" sqref="C15"/>
    </sheetView>
  </sheetViews>
  <sheetFormatPr defaultRowHeight="20.100000000000001" customHeight="1"/>
  <cols>
    <col min="1" max="1" width="4.125" style="516" customWidth="1"/>
    <col min="2" max="2" width="12.875" style="516" customWidth="1"/>
    <col min="3" max="3" width="22.625" style="516" customWidth="1"/>
    <col min="4" max="5" width="23.125" style="516" customWidth="1"/>
    <col min="6" max="6" width="0" style="516" hidden="1" customWidth="1"/>
    <col min="7" max="7" width="9" style="516"/>
    <col min="8" max="8" width="6.125" style="516" customWidth="1"/>
    <col min="9" max="9" width="11.25" style="556" customWidth="1"/>
    <col min="10" max="16384" width="9" style="516"/>
  </cols>
  <sheetData>
    <row r="1" spans="1:9" ht="30" customHeight="1">
      <c r="A1" s="1478" t="s">
        <v>3441</v>
      </c>
      <c r="B1" s="1478"/>
      <c r="C1" s="1478"/>
      <c r="D1" s="1478"/>
      <c r="E1" s="1478"/>
      <c r="F1" s="1478"/>
      <c r="G1" s="1478"/>
      <c r="H1" s="1478"/>
      <c r="I1" s="1478"/>
    </row>
    <row r="2" spans="1:9" ht="20.100000000000001" customHeight="1">
      <c r="A2" s="517" t="s">
        <v>1826</v>
      </c>
      <c r="B2" s="518" t="s">
        <v>1827</v>
      </c>
      <c r="C2" s="519" t="s">
        <v>180</v>
      </c>
      <c r="D2" s="518" t="s">
        <v>1828</v>
      </c>
      <c r="E2" s="518" t="s">
        <v>1829</v>
      </c>
      <c r="F2" s="518" t="s">
        <v>1830</v>
      </c>
      <c r="G2" s="518" t="s">
        <v>1831</v>
      </c>
      <c r="H2" s="518" t="s">
        <v>1832</v>
      </c>
      <c r="I2" s="519" t="s">
        <v>1833</v>
      </c>
    </row>
    <row r="3" spans="1:9" ht="20.100000000000001" customHeight="1">
      <c r="A3" s="520">
        <v>1</v>
      </c>
      <c r="B3" s="521" t="s">
        <v>54</v>
      </c>
      <c r="C3" s="522" t="s">
        <v>1834</v>
      </c>
      <c r="D3" s="522" t="s">
        <v>1834</v>
      </c>
      <c r="E3" s="522" t="s">
        <v>1834</v>
      </c>
      <c r="F3" s="520"/>
      <c r="G3" s="520">
        <v>265995</v>
      </c>
      <c r="H3" s="520">
        <v>1</v>
      </c>
      <c r="I3" s="520">
        <f t="shared" ref="I3:I5" si="0">G3*1</f>
        <v>265995</v>
      </c>
    </row>
    <row r="4" spans="1:9" ht="20.100000000000001" customHeight="1">
      <c r="A4" s="520">
        <v>1</v>
      </c>
      <c r="B4" s="521" t="s">
        <v>54</v>
      </c>
      <c r="C4" s="523" t="s">
        <v>1835</v>
      </c>
      <c r="D4" s="523" t="s">
        <v>1835</v>
      </c>
      <c r="E4" s="523" t="s">
        <v>1835</v>
      </c>
      <c r="F4" s="520"/>
      <c r="G4" s="520">
        <v>68316</v>
      </c>
      <c r="H4" s="520">
        <v>1</v>
      </c>
      <c r="I4" s="520">
        <f t="shared" si="0"/>
        <v>68316</v>
      </c>
    </row>
    <row r="5" spans="1:9" ht="20.100000000000001" customHeight="1">
      <c r="A5" s="520">
        <v>1</v>
      </c>
      <c r="B5" s="524" t="s">
        <v>54</v>
      </c>
      <c r="C5" s="525" t="s">
        <v>1836</v>
      </c>
      <c r="D5" s="525" t="s">
        <v>1836</v>
      </c>
      <c r="E5" s="525" t="s">
        <v>1836</v>
      </c>
      <c r="F5" s="520"/>
      <c r="G5" s="520">
        <v>56636</v>
      </c>
      <c r="H5" s="520">
        <v>1</v>
      </c>
      <c r="I5" s="520">
        <f t="shared" si="0"/>
        <v>56636</v>
      </c>
    </row>
    <row r="6" spans="1:9" s="530" customFormat="1" ht="20.100000000000001" customHeight="1">
      <c r="A6" s="526"/>
      <c r="B6" s="527" t="s">
        <v>1837</v>
      </c>
      <c r="C6" s="528"/>
      <c r="D6" s="529"/>
      <c r="E6" s="528"/>
      <c r="F6" s="526"/>
      <c r="G6" s="526"/>
      <c r="H6" s="526"/>
      <c r="I6" s="526">
        <f>SUM(I3:I5)</f>
        <v>390947</v>
      </c>
    </row>
    <row r="7" spans="1:9" ht="20.100000000000001" customHeight="1">
      <c r="A7" s="520">
        <v>2</v>
      </c>
      <c r="B7" s="531" t="s">
        <v>1838</v>
      </c>
      <c r="C7" s="522" t="s">
        <v>1834</v>
      </c>
      <c r="D7" s="522" t="s">
        <v>1834</v>
      </c>
      <c r="E7" s="522" t="s">
        <v>1834</v>
      </c>
      <c r="F7" s="520"/>
      <c r="G7" s="520">
        <v>269435</v>
      </c>
      <c r="H7" s="520">
        <v>1</v>
      </c>
      <c r="I7" s="520">
        <f t="shared" ref="I7:I9" si="1">G7*H7</f>
        <v>269435</v>
      </c>
    </row>
    <row r="8" spans="1:9" ht="20.100000000000001" customHeight="1">
      <c r="A8" s="520">
        <v>2</v>
      </c>
      <c r="B8" s="531" t="s">
        <v>1838</v>
      </c>
      <c r="C8" s="523" t="s">
        <v>1835</v>
      </c>
      <c r="D8" s="523" t="s">
        <v>1835</v>
      </c>
      <c r="E8" s="523" t="s">
        <v>1835</v>
      </c>
      <c r="F8" s="520"/>
      <c r="G8" s="520">
        <v>68316</v>
      </c>
      <c r="H8" s="520">
        <v>1</v>
      </c>
      <c r="I8" s="520">
        <f t="shared" si="1"/>
        <v>68316</v>
      </c>
    </row>
    <row r="9" spans="1:9" ht="20.100000000000001" customHeight="1">
      <c r="A9" s="520">
        <v>2</v>
      </c>
      <c r="B9" s="524" t="s">
        <v>1839</v>
      </c>
      <c r="C9" s="525" t="s">
        <v>1836</v>
      </c>
      <c r="D9" s="525" t="s">
        <v>1836</v>
      </c>
      <c r="E9" s="525" t="s">
        <v>1836</v>
      </c>
      <c r="F9" s="520"/>
      <c r="G9" s="532">
        <v>56636</v>
      </c>
      <c r="H9" s="532">
        <v>1</v>
      </c>
      <c r="I9" s="520">
        <f t="shared" si="1"/>
        <v>56636</v>
      </c>
    </row>
    <row r="10" spans="1:9" s="530" customFormat="1" ht="20.100000000000001" customHeight="1">
      <c r="A10" s="526"/>
      <c r="B10" s="527" t="s">
        <v>1840</v>
      </c>
      <c r="C10" s="533"/>
      <c r="D10" s="534"/>
      <c r="E10" s="534"/>
      <c r="F10" s="526"/>
      <c r="G10" s="535"/>
      <c r="H10" s="536"/>
      <c r="I10" s="536">
        <f>SUM(I7:I9)</f>
        <v>394387</v>
      </c>
    </row>
    <row r="11" spans="1:9" s="530" customFormat="1" ht="20.100000000000001" customHeight="1">
      <c r="A11" s="537"/>
      <c r="B11" s="538"/>
      <c r="C11" s="539" t="s">
        <v>1868</v>
      </c>
      <c r="D11" s="540"/>
      <c r="E11" s="540"/>
      <c r="F11" s="537"/>
      <c r="G11" s="539"/>
      <c r="H11" s="539"/>
      <c r="I11" s="539">
        <f>I6+I10</f>
        <v>785334</v>
      </c>
    </row>
    <row r="12" spans="1:9" ht="20.100000000000001" customHeight="1">
      <c r="A12" s="520">
        <v>3</v>
      </c>
      <c r="B12" s="521" t="s">
        <v>31</v>
      </c>
      <c r="C12" s="522" t="s">
        <v>1834</v>
      </c>
      <c r="D12" s="522" t="s">
        <v>1834</v>
      </c>
      <c r="E12" s="522" t="s">
        <v>1834</v>
      </c>
      <c r="F12" s="520"/>
      <c r="G12" s="520">
        <v>91705</v>
      </c>
      <c r="H12" s="520">
        <v>1</v>
      </c>
      <c r="I12" s="520">
        <f t="shared" ref="I12:I14" si="2">G12*H12</f>
        <v>91705</v>
      </c>
    </row>
    <row r="13" spans="1:9" ht="20.100000000000001" customHeight="1">
      <c r="A13" s="520">
        <v>3</v>
      </c>
      <c r="B13" s="521" t="s">
        <v>31</v>
      </c>
      <c r="C13" s="523" t="s">
        <v>1835</v>
      </c>
      <c r="D13" s="523" t="s">
        <v>1835</v>
      </c>
      <c r="E13" s="523" t="s">
        <v>1835</v>
      </c>
      <c r="F13" s="520"/>
      <c r="G13" s="520">
        <v>68316</v>
      </c>
      <c r="H13" s="520">
        <v>1</v>
      </c>
      <c r="I13" s="520">
        <f t="shared" si="2"/>
        <v>68316</v>
      </c>
    </row>
    <row r="14" spans="1:9" ht="20.100000000000001" customHeight="1">
      <c r="A14" s="520">
        <v>3</v>
      </c>
      <c r="B14" s="521" t="s">
        <v>31</v>
      </c>
      <c r="C14" s="525" t="s">
        <v>1836</v>
      </c>
      <c r="D14" s="525" t="s">
        <v>1836</v>
      </c>
      <c r="E14" s="525" t="s">
        <v>1836</v>
      </c>
      <c r="F14" s="520"/>
      <c r="G14" s="520">
        <v>56636</v>
      </c>
      <c r="H14" s="520">
        <v>1</v>
      </c>
      <c r="I14" s="520">
        <f t="shared" si="2"/>
        <v>56636</v>
      </c>
    </row>
    <row r="15" spans="1:9" s="530" customFormat="1" ht="20.100000000000001" customHeight="1">
      <c r="A15" s="526"/>
      <c r="B15" s="527" t="s">
        <v>1841</v>
      </c>
      <c r="C15" s="529"/>
      <c r="D15" s="529"/>
      <c r="E15" s="528"/>
      <c r="F15" s="526"/>
      <c r="G15" s="526"/>
      <c r="H15" s="526"/>
      <c r="I15" s="526">
        <f>SUM(I12:I14)</f>
        <v>216657</v>
      </c>
    </row>
    <row r="16" spans="1:9" s="530" customFormat="1" ht="20.100000000000001" customHeight="1">
      <c r="A16" s="537"/>
      <c r="B16" s="538"/>
      <c r="C16" s="541" t="s">
        <v>1869</v>
      </c>
      <c r="D16" s="542"/>
      <c r="E16" s="537"/>
      <c r="F16" s="537"/>
      <c r="G16" s="537"/>
      <c r="H16" s="537"/>
      <c r="I16" s="537">
        <f>I15</f>
        <v>216657</v>
      </c>
    </row>
    <row r="17" spans="1:9" ht="20.100000000000001" customHeight="1">
      <c r="A17" s="520">
        <v>4</v>
      </c>
      <c r="B17" s="521" t="s">
        <v>85</v>
      </c>
      <c r="C17" s="522" t="s">
        <v>1834</v>
      </c>
      <c r="D17" s="522" t="s">
        <v>1834</v>
      </c>
      <c r="E17" s="522" t="s">
        <v>1834</v>
      </c>
      <c r="F17" s="520"/>
      <c r="G17" s="520">
        <v>265995</v>
      </c>
      <c r="H17" s="520">
        <v>1</v>
      </c>
      <c r="I17" s="520">
        <f t="shared" ref="I17:I19" si="3">G17*H17</f>
        <v>265995</v>
      </c>
    </row>
    <row r="18" spans="1:9" ht="20.100000000000001" customHeight="1">
      <c r="A18" s="520">
        <v>4</v>
      </c>
      <c r="B18" s="521" t="s">
        <v>85</v>
      </c>
      <c r="C18" s="523" t="s">
        <v>1835</v>
      </c>
      <c r="D18" s="523" t="s">
        <v>1835</v>
      </c>
      <c r="E18" s="523" t="s">
        <v>1835</v>
      </c>
      <c r="F18" s="520"/>
      <c r="G18" s="520">
        <v>68316</v>
      </c>
      <c r="H18" s="520">
        <v>1</v>
      </c>
      <c r="I18" s="520">
        <f t="shared" si="3"/>
        <v>68316</v>
      </c>
    </row>
    <row r="19" spans="1:9" ht="20.100000000000001" customHeight="1">
      <c r="A19" s="520">
        <v>4</v>
      </c>
      <c r="B19" s="524" t="s">
        <v>1842</v>
      </c>
      <c r="C19" s="525" t="s">
        <v>1836</v>
      </c>
      <c r="D19" s="525" t="s">
        <v>1836</v>
      </c>
      <c r="E19" s="525" t="s">
        <v>1836</v>
      </c>
      <c r="F19" s="520"/>
      <c r="G19" s="520">
        <v>56636</v>
      </c>
      <c r="H19" s="520">
        <v>1</v>
      </c>
      <c r="I19" s="520">
        <f t="shared" si="3"/>
        <v>56636</v>
      </c>
    </row>
    <row r="20" spans="1:9" s="530" customFormat="1" ht="20.100000000000001" customHeight="1">
      <c r="A20" s="526"/>
      <c r="B20" s="543" t="s">
        <v>1843</v>
      </c>
      <c r="C20" s="529"/>
      <c r="D20" s="529"/>
      <c r="E20" s="528"/>
      <c r="F20" s="526"/>
      <c r="G20" s="526"/>
      <c r="H20" s="526"/>
      <c r="I20" s="526">
        <f>SUM(I17:I19)</f>
        <v>390947</v>
      </c>
    </row>
    <row r="21" spans="1:9" s="530" customFormat="1" ht="20.100000000000001" customHeight="1">
      <c r="A21" s="537"/>
      <c r="B21" s="544"/>
      <c r="C21" s="541" t="s">
        <v>1870</v>
      </c>
      <c r="D21" s="542"/>
      <c r="E21" s="537"/>
      <c r="F21" s="537"/>
      <c r="G21" s="537"/>
      <c r="H21" s="537"/>
      <c r="I21" s="537">
        <f>I20</f>
        <v>390947</v>
      </c>
    </row>
    <row r="22" spans="1:9" ht="20.100000000000001" customHeight="1">
      <c r="A22" s="520">
        <v>5</v>
      </c>
      <c r="B22" s="531" t="s">
        <v>105</v>
      </c>
      <c r="C22" s="522" t="s">
        <v>1834</v>
      </c>
      <c r="D22" s="522" t="s">
        <v>1834</v>
      </c>
      <c r="E22" s="522" t="s">
        <v>1834</v>
      </c>
      <c r="F22" s="520"/>
      <c r="G22" s="520">
        <v>269435</v>
      </c>
      <c r="H22" s="520">
        <v>1</v>
      </c>
      <c r="I22" s="520">
        <f t="shared" ref="I22:I24" si="4">G22*H22</f>
        <v>269435</v>
      </c>
    </row>
    <row r="23" spans="1:9" ht="20.100000000000001" customHeight="1">
      <c r="A23" s="520">
        <v>5</v>
      </c>
      <c r="B23" s="531" t="s">
        <v>105</v>
      </c>
      <c r="C23" s="523" t="s">
        <v>1835</v>
      </c>
      <c r="D23" s="523" t="s">
        <v>1835</v>
      </c>
      <c r="E23" s="523" t="s">
        <v>1835</v>
      </c>
      <c r="F23" s="520"/>
      <c r="G23" s="520">
        <v>68316</v>
      </c>
      <c r="H23" s="520">
        <v>1</v>
      </c>
      <c r="I23" s="520">
        <f t="shared" si="4"/>
        <v>68316</v>
      </c>
    </row>
    <row r="24" spans="1:9" ht="20.100000000000001" customHeight="1">
      <c r="A24" s="520">
        <v>5</v>
      </c>
      <c r="B24" s="524" t="s">
        <v>105</v>
      </c>
      <c r="C24" s="525" t="s">
        <v>1836</v>
      </c>
      <c r="D24" s="525" t="s">
        <v>1836</v>
      </c>
      <c r="E24" s="525" t="s">
        <v>1836</v>
      </c>
      <c r="F24" s="520"/>
      <c r="G24" s="520">
        <v>56636</v>
      </c>
      <c r="H24" s="520">
        <v>1</v>
      </c>
      <c r="I24" s="520">
        <f t="shared" si="4"/>
        <v>56636</v>
      </c>
    </row>
    <row r="25" spans="1:9" s="530" customFormat="1" ht="20.100000000000001" customHeight="1">
      <c r="A25" s="526"/>
      <c r="B25" s="545" t="s">
        <v>1844</v>
      </c>
      <c r="C25" s="529"/>
      <c r="D25" s="529"/>
      <c r="E25" s="528"/>
      <c r="F25" s="526"/>
      <c r="G25" s="526"/>
      <c r="H25" s="526"/>
      <c r="I25" s="526">
        <f>SUM(I22:I24)</f>
        <v>394387</v>
      </c>
    </row>
    <row r="26" spans="1:9" ht="20.100000000000001" customHeight="1">
      <c r="A26" s="520">
        <v>6</v>
      </c>
      <c r="B26" s="521" t="s">
        <v>104</v>
      </c>
      <c r="C26" s="522" t="s">
        <v>1834</v>
      </c>
      <c r="D26" s="522" t="s">
        <v>1834</v>
      </c>
      <c r="E26" s="522" t="s">
        <v>1834</v>
      </c>
      <c r="F26" s="520"/>
      <c r="G26" s="520">
        <v>98585</v>
      </c>
      <c r="H26" s="520">
        <v>1</v>
      </c>
      <c r="I26" s="520">
        <f t="shared" ref="I26:I28" si="5">G26*H26</f>
        <v>98585</v>
      </c>
    </row>
    <row r="27" spans="1:9" ht="20.100000000000001" customHeight="1">
      <c r="A27" s="520">
        <v>6</v>
      </c>
      <c r="B27" s="521" t="s">
        <v>104</v>
      </c>
      <c r="C27" s="523" t="s">
        <v>1835</v>
      </c>
      <c r="D27" s="523" t="s">
        <v>1835</v>
      </c>
      <c r="E27" s="523" t="s">
        <v>1835</v>
      </c>
      <c r="F27" s="520"/>
      <c r="G27" s="520">
        <v>68316</v>
      </c>
      <c r="H27" s="520">
        <v>1</v>
      </c>
      <c r="I27" s="520">
        <f t="shared" si="5"/>
        <v>68316</v>
      </c>
    </row>
    <row r="28" spans="1:9" ht="20.100000000000001" customHeight="1">
      <c r="A28" s="520">
        <v>6</v>
      </c>
      <c r="B28" s="524" t="s">
        <v>104</v>
      </c>
      <c r="C28" s="525" t="s">
        <v>1836</v>
      </c>
      <c r="D28" s="525" t="s">
        <v>1836</v>
      </c>
      <c r="E28" s="525" t="s">
        <v>1836</v>
      </c>
      <c r="F28" s="520"/>
      <c r="G28" s="520">
        <v>56636</v>
      </c>
      <c r="H28" s="520">
        <v>1</v>
      </c>
      <c r="I28" s="520">
        <f t="shared" si="5"/>
        <v>56636</v>
      </c>
    </row>
    <row r="29" spans="1:9" s="530" customFormat="1" ht="20.100000000000001" customHeight="1">
      <c r="A29" s="526"/>
      <c r="B29" s="527" t="s">
        <v>1845</v>
      </c>
      <c r="C29" s="529"/>
      <c r="D29" s="529"/>
      <c r="E29" s="528"/>
      <c r="F29" s="526"/>
      <c r="G29" s="526"/>
      <c r="H29" s="526"/>
      <c r="I29" s="526">
        <f>SUM(I26:I28)</f>
        <v>223537</v>
      </c>
    </row>
    <row r="30" spans="1:9" ht="20.100000000000001" customHeight="1">
      <c r="A30" s="520">
        <v>7</v>
      </c>
      <c r="B30" s="521" t="s">
        <v>1846</v>
      </c>
      <c r="C30" s="522" t="s">
        <v>1834</v>
      </c>
      <c r="D30" s="522" t="s">
        <v>1834</v>
      </c>
      <c r="E30" s="522" t="s">
        <v>1834</v>
      </c>
      <c r="F30" s="520"/>
      <c r="G30" s="520">
        <v>269435</v>
      </c>
      <c r="H30" s="520">
        <v>1</v>
      </c>
      <c r="I30" s="520">
        <f t="shared" ref="I30:I32" si="6">G30*H30</f>
        <v>269435</v>
      </c>
    </row>
    <row r="31" spans="1:9" ht="20.100000000000001" customHeight="1">
      <c r="A31" s="520">
        <v>7</v>
      </c>
      <c r="B31" s="521" t="s">
        <v>1846</v>
      </c>
      <c r="C31" s="523" t="s">
        <v>1835</v>
      </c>
      <c r="D31" s="523" t="s">
        <v>1835</v>
      </c>
      <c r="E31" s="523" t="s">
        <v>1835</v>
      </c>
      <c r="F31" s="520"/>
      <c r="G31" s="520">
        <v>68316</v>
      </c>
      <c r="H31" s="520">
        <v>1</v>
      </c>
      <c r="I31" s="520">
        <f t="shared" si="6"/>
        <v>68316</v>
      </c>
    </row>
    <row r="32" spans="1:9" ht="20.100000000000001" customHeight="1">
      <c r="A32" s="520">
        <v>7</v>
      </c>
      <c r="B32" s="524" t="s">
        <v>1847</v>
      </c>
      <c r="C32" s="525" t="s">
        <v>1836</v>
      </c>
      <c r="D32" s="525" t="s">
        <v>1836</v>
      </c>
      <c r="E32" s="525" t="s">
        <v>1836</v>
      </c>
      <c r="F32" s="520"/>
      <c r="G32" s="520">
        <v>56636</v>
      </c>
      <c r="H32" s="520">
        <v>1</v>
      </c>
      <c r="I32" s="520">
        <f t="shared" si="6"/>
        <v>56636</v>
      </c>
    </row>
    <row r="33" spans="1:9" s="530" customFormat="1" ht="20.100000000000001" customHeight="1">
      <c r="A33" s="526"/>
      <c r="B33" s="543" t="s">
        <v>1848</v>
      </c>
      <c r="C33" s="529"/>
      <c r="D33" s="529"/>
      <c r="E33" s="528"/>
      <c r="F33" s="526"/>
      <c r="G33" s="526"/>
      <c r="H33" s="526"/>
      <c r="I33" s="526">
        <f>SUM(I30:I32)</f>
        <v>394387</v>
      </c>
    </row>
    <row r="34" spans="1:9" s="530" customFormat="1" ht="20.100000000000001" customHeight="1">
      <c r="A34" s="537"/>
      <c r="B34" s="544"/>
      <c r="C34" s="541" t="s">
        <v>1871</v>
      </c>
      <c r="D34" s="542"/>
      <c r="E34" s="537"/>
      <c r="F34" s="537"/>
      <c r="G34" s="537"/>
      <c r="H34" s="537"/>
      <c r="I34" s="537">
        <f>I25+I29+I33</f>
        <v>1012311</v>
      </c>
    </row>
    <row r="35" spans="1:9" ht="20.100000000000001" customHeight="1">
      <c r="A35" s="520">
        <v>8</v>
      </c>
      <c r="B35" s="521" t="s">
        <v>69</v>
      </c>
      <c r="C35" s="522" t="s">
        <v>1849</v>
      </c>
      <c r="D35" s="522" t="s">
        <v>1849</v>
      </c>
      <c r="E35" s="522" t="s">
        <v>1849</v>
      </c>
      <c r="F35" s="520"/>
      <c r="G35" s="520">
        <v>269435</v>
      </c>
      <c r="H35" s="520">
        <v>1</v>
      </c>
      <c r="I35" s="520">
        <f t="shared" ref="I35:I37" si="7">G35*H35</f>
        <v>269435</v>
      </c>
    </row>
    <row r="36" spans="1:9" ht="20.100000000000001" customHeight="1">
      <c r="A36" s="520">
        <v>8</v>
      </c>
      <c r="B36" s="521" t="s">
        <v>69</v>
      </c>
      <c r="C36" s="523" t="s">
        <v>1850</v>
      </c>
      <c r="D36" s="523" t="s">
        <v>1850</v>
      </c>
      <c r="E36" s="523" t="s">
        <v>1850</v>
      </c>
      <c r="F36" s="520"/>
      <c r="G36" s="520">
        <v>68316</v>
      </c>
      <c r="H36" s="520">
        <v>1</v>
      </c>
      <c r="I36" s="520">
        <f t="shared" si="7"/>
        <v>68316</v>
      </c>
    </row>
    <row r="37" spans="1:9" ht="20.100000000000001" customHeight="1">
      <c r="A37" s="520">
        <v>8</v>
      </c>
      <c r="B37" s="524" t="s">
        <v>69</v>
      </c>
      <c r="C37" s="525" t="s">
        <v>1851</v>
      </c>
      <c r="D37" s="525" t="s">
        <v>1851</v>
      </c>
      <c r="E37" s="525" t="s">
        <v>1851</v>
      </c>
      <c r="F37" s="520"/>
      <c r="G37" s="520">
        <v>56636</v>
      </c>
      <c r="H37" s="520">
        <v>1</v>
      </c>
      <c r="I37" s="520">
        <f t="shared" si="7"/>
        <v>56636</v>
      </c>
    </row>
    <row r="38" spans="1:9" s="530" customFormat="1" ht="20.100000000000001" customHeight="1">
      <c r="A38" s="526"/>
      <c r="B38" s="527" t="s">
        <v>1852</v>
      </c>
      <c r="C38" s="529"/>
      <c r="D38" s="529"/>
      <c r="E38" s="528"/>
      <c r="F38" s="526"/>
      <c r="G38" s="526"/>
      <c r="H38" s="526"/>
      <c r="I38" s="526">
        <f>SUM(I35:I37)</f>
        <v>394387</v>
      </c>
    </row>
    <row r="39" spans="1:9" ht="20.100000000000001" customHeight="1">
      <c r="A39" s="520">
        <v>9</v>
      </c>
      <c r="B39" s="521" t="s">
        <v>72</v>
      </c>
      <c r="C39" s="522" t="s">
        <v>1849</v>
      </c>
      <c r="D39" s="522" t="s">
        <v>1849</v>
      </c>
      <c r="E39" s="522" t="s">
        <v>1849</v>
      </c>
      <c r="F39" s="520"/>
      <c r="G39" s="520">
        <v>119225</v>
      </c>
      <c r="H39" s="520">
        <v>1</v>
      </c>
      <c r="I39" s="520">
        <f t="shared" ref="I39:I41" si="8">G39*H39</f>
        <v>119225</v>
      </c>
    </row>
    <row r="40" spans="1:9" ht="20.100000000000001" customHeight="1">
      <c r="A40" s="520">
        <v>9</v>
      </c>
      <c r="B40" s="521" t="s">
        <v>72</v>
      </c>
      <c r="C40" s="523" t="s">
        <v>1850</v>
      </c>
      <c r="D40" s="523" t="s">
        <v>1850</v>
      </c>
      <c r="E40" s="523" t="s">
        <v>1850</v>
      </c>
      <c r="F40" s="520"/>
      <c r="G40" s="520">
        <v>68316</v>
      </c>
      <c r="H40" s="520">
        <v>1</v>
      </c>
      <c r="I40" s="520">
        <f t="shared" si="8"/>
        <v>68316</v>
      </c>
    </row>
    <row r="41" spans="1:9" ht="20.100000000000001" customHeight="1">
      <c r="A41" s="520">
        <v>9</v>
      </c>
      <c r="B41" s="524" t="s">
        <v>72</v>
      </c>
      <c r="C41" s="525" t="s">
        <v>1851</v>
      </c>
      <c r="D41" s="525" t="s">
        <v>1851</v>
      </c>
      <c r="E41" s="525" t="s">
        <v>1851</v>
      </c>
      <c r="F41" s="520"/>
      <c r="G41" s="520">
        <v>56636</v>
      </c>
      <c r="H41" s="520">
        <v>1</v>
      </c>
      <c r="I41" s="520">
        <f t="shared" si="8"/>
        <v>56636</v>
      </c>
    </row>
    <row r="42" spans="1:9" s="530" customFormat="1" ht="20.100000000000001" customHeight="1">
      <c r="A42" s="526"/>
      <c r="B42" s="543" t="s">
        <v>1853</v>
      </c>
      <c r="C42" s="529"/>
      <c r="D42" s="529"/>
      <c r="E42" s="528"/>
      <c r="F42" s="526"/>
      <c r="G42" s="526"/>
      <c r="H42" s="526"/>
      <c r="I42" s="526">
        <f>SUM(I39:I41)</f>
        <v>244177</v>
      </c>
    </row>
    <row r="43" spans="1:9" s="530" customFormat="1" ht="20.100000000000001" customHeight="1">
      <c r="A43" s="537"/>
      <c r="B43" s="544"/>
      <c r="C43" s="541" t="s">
        <v>1872</v>
      </c>
      <c r="D43" s="542"/>
      <c r="E43" s="537"/>
      <c r="F43" s="537"/>
      <c r="G43" s="537"/>
      <c r="H43" s="537"/>
      <c r="I43" s="537">
        <f>I38+I42</f>
        <v>638564</v>
      </c>
    </row>
    <row r="44" spans="1:9" ht="20.100000000000001" customHeight="1">
      <c r="A44" s="520">
        <v>10</v>
      </c>
      <c r="B44" s="521" t="s">
        <v>42</v>
      </c>
      <c r="C44" s="546" t="s">
        <v>1849</v>
      </c>
      <c r="D44" s="546" t="s">
        <v>1849</v>
      </c>
      <c r="E44" s="546" t="s">
        <v>1849</v>
      </c>
      <c r="F44" s="520"/>
      <c r="G44" s="520">
        <v>98585</v>
      </c>
      <c r="H44" s="520">
        <v>1</v>
      </c>
      <c r="I44" s="520">
        <f t="shared" ref="I44:I46" si="9">G44*H44</f>
        <v>98585</v>
      </c>
    </row>
    <row r="45" spans="1:9" ht="20.100000000000001" customHeight="1">
      <c r="A45" s="520">
        <v>10</v>
      </c>
      <c r="B45" s="521" t="s">
        <v>42</v>
      </c>
      <c r="C45" s="547" t="s">
        <v>1850</v>
      </c>
      <c r="D45" s="547" t="s">
        <v>1850</v>
      </c>
      <c r="E45" s="547" t="s">
        <v>1850</v>
      </c>
      <c r="F45" s="520"/>
      <c r="G45" s="520">
        <v>68316</v>
      </c>
      <c r="H45" s="520">
        <v>1</v>
      </c>
      <c r="I45" s="520">
        <f t="shared" si="9"/>
        <v>68316</v>
      </c>
    </row>
    <row r="46" spans="1:9" ht="20.100000000000001" customHeight="1">
      <c r="A46" s="520">
        <v>10</v>
      </c>
      <c r="B46" s="524" t="s">
        <v>42</v>
      </c>
      <c r="C46" s="548" t="s">
        <v>1851</v>
      </c>
      <c r="D46" s="548" t="s">
        <v>1851</v>
      </c>
      <c r="E46" s="548" t="s">
        <v>1851</v>
      </c>
      <c r="F46" s="520"/>
      <c r="G46" s="520">
        <v>56636</v>
      </c>
      <c r="H46" s="520">
        <v>1</v>
      </c>
      <c r="I46" s="520">
        <f t="shared" si="9"/>
        <v>56636</v>
      </c>
    </row>
    <row r="47" spans="1:9" s="530" customFormat="1" ht="20.100000000000001" customHeight="1">
      <c r="A47" s="526"/>
      <c r="B47" s="543" t="s">
        <v>1854</v>
      </c>
      <c r="C47" s="549"/>
      <c r="D47" s="549"/>
      <c r="E47" s="550"/>
      <c r="F47" s="526"/>
      <c r="G47" s="526"/>
      <c r="H47" s="526"/>
      <c r="I47" s="526">
        <f>SUM(I44:I46)</f>
        <v>223537</v>
      </c>
    </row>
    <row r="48" spans="1:9" ht="20.100000000000001" customHeight="1">
      <c r="A48" s="520">
        <v>11</v>
      </c>
      <c r="B48" s="521" t="s">
        <v>1855</v>
      </c>
      <c r="C48" s="546" t="s">
        <v>1849</v>
      </c>
      <c r="D48" s="546" t="s">
        <v>1849</v>
      </c>
      <c r="E48" s="546" t="s">
        <v>1849</v>
      </c>
      <c r="F48" s="520"/>
      <c r="G48" s="520">
        <v>105465</v>
      </c>
      <c r="H48" s="520">
        <v>1</v>
      </c>
      <c r="I48" s="520">
        <f t="shared" ref="I48:I50" si="10">G48*H48</f>
        <v>105465</v>
      </c>
    </row>
    <row r="49" spans="1:9" ht="20.100000000000001" customHeight="1">
      <c r="A49" s="520">
        <v>11</v>
      </c>
      <c r="B49" s="521" t="s">
        <v>1855</v>
      </c>
      <c r="C49" s="547" t="s">
        <v>1850</v>
      </c>
      <c r="D49" s="547" t="s">
        <v>1850</v>
      </c>
      <c r="E49" s="547" t="s">
        <v>1850</v>
      </c>
      <c r="F49" s="520"/>
      <c r="G49" s="520">
        <v>68316</v>
      </c>
      <c r="H49" s="520">
        <v>1</v>
      </c>
      <c r="I49" s="520">
        <f t="shared" si="10"/>
        <v>68316</v>
      </c>
    </row>
    <row r="50" spans="1:9" ht="20.100000000000001" customHeight="1">
      <c r="A50" s="520">
        <v>11</v>
      </c>
      <c r="B50" s="524" t="s">
        <v>1855</v>
      </c>
      <c r="C50" s="548" t="s">
        <v>1851</v>
      </c>
      <c r="D50" s="548" t="s">
        <v>1851</v>
      </c>
      <c r="E50" s="548" t="s">
        <v>1851</v>
      </c>
      <c r="F50" s="520"/>
      <c r="G50" s="520">
        <v>56636</v>
      </c>
      <c r="H50" s="520">
        <v>1</v>
      </c>
      <c r="I50" s="520">
        <f t="shared" si="10"/>
        <v>56636</v>
      </c>
    </row>
    <row r="51" spans="1:9" s="530" customFormat="1" ht="20.100000000000001" customHeight="1">
      <c r="A51" s="526"/>
      <c r="B51" s="527" t="s">
        <v>1856</v>
      </c>
      <c r="C51" s="549"/>
      <c r="D51" s="549"/>
      <c r="E51" s="550"/>
      <c r="F51" s="526"/>
      <c r="G51" s="526"/>
      <c r="H51" s="526"/>
      <c r="I51" s="526">
        <f>SUM(I48:I50)</f>
        <v>230417</v>
      </c>
    </row>
    <row r="52" spans="1:9" ht="20.100000000000001" customHeight="1">
      <c r="A52" s="520">
        <v>12</v>
      </c>
      <c r="B52" s="521" t="s">
        <v>38</v>
      </c>
      <c r="C52" s="546" t="s">
        <v>1849</v>
      </c>
      <c r="D52" s="546" t="s">
        <v>1849</v>
      </c>
      <c r="E52" s="546" t="s">
        <v>1849</v>
      </c>
      <c r="F52" s="520"/>
      <c r="G52" s="520">
        <v>269435</v>
      </c>
      <c r="H52" s="520">
        <v>1</v>
      </c>
      <c r="I52" s="520">
        <f t="shared" ref="I52:I54" si="11">G52*H52</f>
        <v>269435</v>
      </c>
    </row>
    <row r="53" spans="1:9" ht="20.100000000000001" customHeight="1">
      <c r="A53" s="520">
        <v>12</v>
      </c>
      <c r="B53" s="521" t="s">
        <v>38</v>
      </c>
      <c r="C53" s="547" t="s">
        <v>1850</v>
      </c>
      <c r="D53" s="547" t="s">
        <v>1850</v>
      </c>
      <c r="E53" s="547" t="s">
        <v>1850</v>
      </c>
      <c r="F53" s="520"/>
      <c r="G53" s="520">
        <v>68316</v>
      </c>
      <c r="H53" s="520">
        <v>1</v>
      </c>
      <c r="I53" s="520">
        <f t="shared" si="11"/>
        <v>68316</v>
      </c>
    </row>
    <row r="54" spans="1:9" ht="20.100000000000001" customHeight="1">
      <c r="A54" s="520">
        <v>12</v>
      </c>
      <c r="B54" s="524" t="s">
        <v>38</v>
      </c>
      <c r="C54" s="548" t="s">
        <v>1851</v>
      </c>
      <c r="D54" s="548" t="s">
        <v>1851</v>
      </c>
      <c r="E54" s="548" t="s">
        <v>1851</v>
      </c>
      <c r="F54" s="520"/>
      <c r="G54" s="520">
        <v>56636</v>
      </c>
      <c r="H54" s="520">
        <v>1</v>
      </c>
      <c r="I54" s="520">
        <f t="shared" si="11"/>
        <v>56636</v>
      </c>
    </row>
    <row r="55" spans="1:9" s="530" customFormat="1" ht="20.100000000000001" customHeight="1">
      <c r="A55" s="526"/>
      <c r="B55" s="527" t="s">
        <v>1857</v>
      </c>
      <c r="C55" s="549"/>
      <c r="D55" s="549"/>
      <c r="E55" s="550"/>
      <c r="F55" s="526"/>
      <c r="G55" s="526"/>
      <c r="H55" s="526"/>
      <c r="I55" s="526">
        <f>SUM(I52:I54)</f>
        <v>394387</v>
      </c>
    </row>
    <row r="56" spans="1:9" ht="20.100000000000001" customHeight="1">
      <c r="A56" s="520">
        <v>13</v>
      </c>
      <c r="B56" s="521" t="s">
        <v>1858</v>
      </c>
      <c r="C56" s="546" t="s">
        <v>1849</v>
      </c>
      <c r="D56" s="546" t="s">
        <v>1849</v>
      </c>
      <c r="E56" s="546" t="s">
        <v>1849</v>
      </c>
      <c r="F56" s="520"/>
      <c r="G56" s="520">
        <v>98585</v>
      </c>
      <c r="H56" s="520">
        <v>1</v>
      </c>
      <c r="I56" s="520">
        <f t="shared" ref="I56:I58" si="12">G56*H56</f>
        <v>98585</v>
      </c>
    </row>
    <row r="57" spans="1:9" ht="20.100000000000001" customHeight="1">
      <c r="A57" s="520">
        <v>13</v>
      </c>
      <c r="B57" s="521" t="s">
        <v>1858</v>
      </c>
      <c r="C57" s="547" t="s">
        <v>1850</v>
      </c>
      <c r="D57" s="547" t="s">
        <v>1850</v>
      </c>
      <c r="E57" s="547" t="s">
        <v>1850</v>
      </c>
      <c r="F57" s="520"/>
      <c r="G57" s="520">
        <v>68316</v>
      </c>
      <c r="H57" s="520">
        <v>1</v>
      </c>
      <c r="I57" s="520">
        <f t="shared" si="12"/>
        <v>68316</v>
      </c>
    </row>
    <row r="58" spans="1:9" ht="20.100000000000001" customHeight="1">
      <c r="A58" s="520">
        <v>13</v>
      </c>
      <c r="B58" s="524" t="s">
        <v>1858</v>
      </c>
      <c r="C58" s="548" t="s">
        <v>1851</v>
      </c>
      <c r="D58" s="548" t="s">
        <v>1851</v>
      </c>
      <c r="E58" s="548" t="s">
        <v>1851</v>
      </c>
      <c r="F58" s="520"/>
      <c r="G58" s="520">
        <v>56636</v>
      </c>
      <c r="H58" s="520">
        <v>1</v>
      </c>
      <c r="I58" s="520">
        <f t="shared" si="12"/>
        <v>56636</v>
      </c>
    </row>
    <row r="59" spans="1:9" s="530" customFormat="1" ht="20.100000000000001" customHeight="1">
      <c r="A59" s="526"/>
      <c r="B59" s="527" t="s">
        <v>1859</v>
      </c>
      <c r="C59" s="549"/>
      <c r="D59" s="549"/>
      <c r="E59" s="550"/>
      <c r="F59" s="526"/>
      <c r="G59" s="526"/>
      <c r="H59" s="526"/>
      <c r="I59" s="526">
        <f>SUM(I56:I58)</f>
        <v>223537</v>
      </c>
    </row>
    <row r="60" spans="1:9" ht="20.100000000000001" customHeight="1">
      <c r="A60" s="520">
        <v>14</v>
      </c>
      <c r="B60" s="521" t="s">
        <v>1860</v>
      </c>
      <c r="C60" s="546" t="s">
        <v>1849</v>
      </c>
      <c r="D60" s="546" t="s">
        <v>1849</v>
      </c>
      <c r="E60" s="546" t="s">
        <v>1849</v>
      </c>
      <c r="F60" s="520"/>
      <c r="G60" s="520">
        <v>276315</v>
      </c>
      <c r="H60" s="520">
        <v>1</v>
      </c>
      <c r="I60" s="520">
        <f t="shared" ref="I60:I62" si="13">G60*H60</f>
        <v>276315</v>
      </c>
    </row>
    <row r="61" spans="1:9" ht="20.100000000000001" customHeight="1">
      <c r="A61" s="520">
        <v>14</v>
      </c>
      <c r="B61" s="521" t="s">
        <v>1860</v>
      </c>
      <c r="C61" s="547" t="s">
        <v>1850</v>
      </c>
      <c r="D61" s="547" t="s">
        <v>1850</v>
      </c>
      <c r="E61" s="547" t="s">
        <v>1850</v>
      </c>
      <c r="F61" s="520"/>
      <c r="G61" s="520">
        <v>68316</v>
      </c>
      <c r="H61" s="520">
        <v>1</v>
      </c>
      <c r="I61" s="520">
        <f t="shared" si="13"/>
        <v>68316</v>
      </c>
    </row>
    <row r="62" spans="1:9" ht="20.100000000000001" customHeight="1">
      <c r="A62" s="520">
        <v>14</v>
      </c>
      <c r="B62" s="524" t="s">
        <v>1860</v>
      </c>
      <c r="C62" s="548" t="s">
        <v>1851</v>
      </c>
      <c r="D62" s="548" t="s">
        <v>1851</v>
      </c>
      <c r="E62" s="548" t="s">
        <v>1851</v>
      </c>
      <c r="F62" s="520"/>
      <c r="G62" s="520">
        <v>56636</v>
      </c>
      <c r="H62" s="520">
        <v>1</v>
      </c>
      <c r="I62" s="520">
        <f t="shared" si="13"/>
        <v>56636</v>
      </c>
    </row>
    <row r="63" spans="1:9" s="530" customFormat="1" ht="20.100000000000001" customHeight="1">
      <c r="A63" s="526"/>
      <c r="B63" s="543" t="s">
        <v>1861</v>
      </c>
      <c r="C63" s="549"/>
      <c r="D63" s="549"/>
      <c r="E63" s="550"/>
      <c r="F63" s="526"/>
      <c r="G63" s="526"/>
      <c r="H63" s="526"/>
      <c r="I63" s="526">
        <f>SUM(I60:I62)</f>
        <v>401267</v>
      </c>
    </row>
    <row r="64" spans="1:9" s="530" customFormat="1" ht="20.100000000000001" customHeight="1">
      <c r="A64" s="537"/>
      <c r="B64" s="544"/>
      <c r="C64" s="541" t="s">
        <v>1873</v>
      </c>
      <c r="D64" s="542"/>
      <c r="E64" s="537"/>
      <c r="F64" s="537"/>
      <c r="G64" s="537"/>
      <c r="H64" s="537"/>
      <c r="I64" s="537">
        <f>I47+I51+I55+I59+I63</f>
        <v>1473145</v>
      </c>
    </row>
    <row r="65" spans="1:9" ht="20.100000000000001" customHeight="1">
      <c r="A65" s="520">
        <v>15</v>
      </c>
      <c r="B65" s="521" t="s">
        <v>449</v>
      </c>
      <c r="C65" s="546" t="s">
        <v>1849</v>
      </c>
      <c r="D65" s="546" t="s">
        <v>1849</v>
      </c>
      <c r="E65" s="546" t="s">
        <v>1849</v>
      </c>
      <c r="F65" s="520"/>
      <c r="G65" s="520">
        <v>98585</v>
      </c>
      <c r="H65" s="520">
        <v>1</v>
      </c>
      <c r="I65" s="520">
        <f t="shared" ref="I65:I67" si="14">G65*H65</f>
        <v>98585</v>
      </c>
    </row>
    <row r="66" spans="1:9" ht="20.100000000000001" customHeight="1">
      <c r="A66" s="520">
        <v>15</v>
      </c>
      <c r="B66" s="521" t="s">
        <v>449</v>
      </c>
      <c r="C66" s="547" t="s">
        <v>1850</v>
      </c>
      <c r="D66" s="547" t="s">
        <v>1850</v>
      </c>
      <c r="E66" s="547" t="s">
        <v>1850</v>
      </c>
      <c r="F66" s="520"/>
      <c r="G66" s="520">
        <v>68316</v>
      </c>
      <c r="H66" s="520">
        <v>1</v>
      </c>
      <c r="I66" s="520">
        <f t="shared" si="14"/>
        <v>68316</v>
      </c>
    </row>
    <row r="67" spans="1:9" ht="20.100000000000001" customHeight="1">
      <c r="A67" s="520">
        <v>15</v>
      </c>
      <c r="B67" s="524" t="s">
        <v>449</v>
      </c>
      <c r="C67" s="548" t="s">
        <v>1851</v>
      </c>
      <c r="D67" s="548" t="s">
        <v>1851</v>
      </c>
      <c r="E67" s="548" t="s">
        <v>1851</v>
      </c>
      <c r="F67" s="520"/>
      <c r="G67" s="520">
        <v>56636</v>
      </c>
      <c r="H67" s="520">
        <v>1</v>
      </c>
      <c r="I67" s="520">
        <f t="shared" si="14"/>
        <v>56636</v>
      </c>
    </row>
    <row r="68" spans="1:9" s="530" customFormat="1" ht="20.100000000000001" customHeight="1">
      <c r="A68" s="526"/>
      <c r="B68" s="527" t="s">
        <v>1862</v>
      </c>
      <c r="C68" s="549"/>
      <c r="D68" s="549"/>
      <c r="E68" s="550"/>
      <c r="F68" s="526"/>
      <c r="G68" s="526"/>
      <c r="H68" s="526"/>
      <c r="I68" s="526">
        <f>SUM(I65:I67)</f>
        <v>223537</v>
      </c>
    </row>
    <row r="69" spans="1:9" s="530" customFormat="1" ht="20.100000000000001" customHeight="1">
      <c r="A69" s="537"/>
      <c r="B69" s="538"/>
      <c r="C69" s="541" t="s">
        <v>1874</v>
      </c>
      <c r="D69" s="542"/>
      <c r="E69" s="537"/>
      <c r="F69" s="537"/>
      <c r="G69" s="537"/>
      <c r="H69" s="537"/>
      <c r="I69" s="537">
        <f>I68</f>
        <v>223537</v>
      </c>
    </row>
    <row r="70" spans="1:9" ht="20.100000000000001" customHeight="1">
      <c r="A70" s="520">
        <v>16</v>
      </c>
      <c r="B70" s="521" t="s">
        <v>980</v>
      </c>
      <c r="C70" s="546" t="s">
        <v>1849</v>
      </c>
      <c r="D70" s="546" t="s">
        <v>1849</v>
      </c>
      <c r="E70" s="546" t="s">
        <v>1849</v>
      </c>
      <c r="F70" s="520"/>
      <c r="G70" s="520">
        <v>265995</v>
      </c>
      <c r="H70" s="520">
        <v>1</v>
      </c>
      <c r="I70" s="520">
        <f t="shared" ref="I70:I72" si="15">G70*H70</f>
        <v>265995</v>
      </c>
    </row>
    <row r="71" spans="1:9" ht="20.100000000000001" customHeight="1">
      <c r="A71" s="520">
        <v>16</v>
      </c>
      <c r="B71" s="521" t="s">
        <v>980</v>
      </c>
      <c r="C71" s="547" t="s">
        <v>1850</v>
      </c>
      <c r="D71" s="547" t="s">
        <v>1850</v>
      </c>
      <c r="E71" s="547" t="s">
        <v>1850</v>
      </c>
      <c r="F71" s="520"/>
      <c r="G71" s="520">
        <v>68316</v>
      </c>
      <c r="H71" s="520">
        <v>1</v>
      </c>
      <c r="I71" s="520">
        <f t="shared" si="15"/>
        <v>68316</v>
      </c>
    </row>
    <row r="72" spans="1:9" ht="20.100000000000001" customHeight="1">
      <c r="A72" s="520">
        <v>16</v>
      </c>
      <c r="B72" s="521" t="s">
        <v>980</v>
      </c>
      <c r="C72" s="548" t="s">
        <v>1851</v>
      </c>
      <c r="D72" s="548" t="s">
        <v>1851</v>
      </c>
      <c r="E72" s="548" t="s">
        <v>1851</v>
      </c>
      <c r="F72" s="520"/>
      <c r="G72" s="520">
        <v>56636</v>
      </c>
      <c r="H72" s="520">
        <v>1</v>
      </c>
      <c r="I72" s="520">
        <f t="shared" si="15"/>
        <v>56636</v>
      </c>
    </row>
    <row r="73" spans="1:9" s="530" customFormat="1" ht="20.100000000000001" customHeight="1">
      <c r="A73" s="526"/>
      <c r="B73" s="527" t="s">
        <v>1863</v>
      </c>
      <c r="C73" s="549"/>
      <c r="D73" s="549"/>
      <c r="E73" s="550"/>
      <c r="F73" s="526"/>
      <c r="G73" s="526"/>
      <c r="H73" s="526"/>
      <c r="I73" s="526">
        <f>SUM(I70:I72)</f>
        <v>390947</v>
      </c>
    </row>
    <row r="74" spans="1:9" ht="20.100000000000001" customHeight="1">
      <c r="A74" s="520">
        <v>17</v>
      </c>
      <c r="B74" s="521" t="s">
        <v>981</v>
      </c>
      <c r="C74" s="546" t="s">
        <v>1849</v>
      </c>
      <c r="D74" s="546" t="s">
        <v>1849</v>
      </c>
      <c r="E74" s="546" t="s">
        <v>1849</v>
      </c>
      <c r="F74" s="520"/>
      <c r="G74" s="520">
        <v>269435</v>
      </c>
      <c r="H74" s="520">
        <v>1</v>
      </c>
      <c r="I74" s="520">
        <f t="shared" ref="I74:I76" si="16">G74*H74</f>
        <v>269435</v>
      </c>
    </row>
    <row r="75" spans="1:9" ht="20.100000000000001" customHeight="1">
      <c r="A75" s="520">
        <v>17</v>
      </c>
      <c r="B75" s="521" t="s">
        <v>981</v>
      </c>
      <c r="C75" s="547" t="s">
        <v>1850</v>
      </c>
      <c r="D75" s="547" t="s">
        <v>1850</v>
      </c>
      <c r="E75" s="547" t="s">
        <v>1850</v>
      </c>
      <c r="F75" s="520"/>
      <c r="G75" s="520">
        <v>68316</v>
      </c>
      <c r="H75" s="520">
        <v>1</v>
      </c>
      <c r="I75" s="520">
        <f t="shared" si="16"/>
        <v>68316</v>
      </c>
    </row>
    <row r="76" spans="1:9" ht="20.100000000000001" customHeight="1">
      <c r="A76" s="520">
        <v>17</v>
      </c>
      <c r="B76" s="524" t="s">
        <v>981</v>
      </c>
      <c r="C76" s="548" t="s">
        <v>1851</v>
      </c>
      <c r="D76" s="548" t="s">
        <v>1851</v>
      </c>
      <c r="E76" s="548" t="s">
        <v>1851</v>
      </c>
      <c r="F76" s="520"/>
      <c r="G76" s="520">
        <v>56636</v>
      </c>
      <c r="H76" s="520">
        <v>1</v>
      </c>
      <c r="I76" s="520">
        <f t="shared" si="16"/>
        <v>56636</v>
      </c>
    </row>
    <row r="77" spans="1:9" s="530" customFormat="1" ht="20.100000000000001" customHeight="1">
      <c r="A77" s="526"/>
      <c r="B77" s="527" t="s">
        <v>1864</v>
      </c>
      <c r="C77" s="549"/>
      <c r="D77" s="549"/>
      <c r="E77" s="550"/>
      <c r="F77" s="526"/>
      <c r="G77" s="526"/>
      <c r="H77" s="526"/>
      <c r="I77" s="526">
        <f>SUM(I74:I76)</f>
        <v>394387</v>
      </c>
    </row>
    <row r="78" spans="1:9" ht="20.100000000000001" customHeight="1">
      <c r="A78" s="520">
        <v>18</v>
      </c>
      <c r="B78" s="521" t="s">
        <v>982</v>
      </c>
      <c r="C78" s="546" t="s">
        <v>1849</v>
      </c>
      <c r="D78" s="546" t="s">
        <v>1849</v>
      </c>
      <c r="E78" s="546" t="s">
        <v>1849</v>
      </c>
      <c r="F78" s="520"/>
      <c r="G78" s="520">
        <v>91705</v>
      </c>
      <c r="H78" s="520">
        <v>1</v>
      </c>
      <c r="I78" s="520">
        <f t="shared" ref="I78:I80" si="17">G78*H78</f>
        <v>91705</v>
      </c>
    </row>
    <row r="79" spans="1:9" ht="20.100000000000001" customHeight="1">
      <c r="A79" s="520">
        <v>18</v>
      </c>
      <c r="B79" s="521" t="s">
        <v>982</v>
      </c>
      <c r="C79" s="547" t="s">
        <v>1850</v>
      </c>
      <c r="D79" s="547" t="s">
        <v>1850</v>
      </c>
      <c r="E79" s="547" t="s">
        <v>1850</v>
      </c>
      <c r="F79" s="520"/>
      <c r="G79" s="520">
        <v>68316</v>
      </c>
      <c r="H79" s="520">
        <v>1</v>
      </c>
      <c r="I79" s="520">
        <f t="shared" si="17"/>
        <v>68316</v>
      </c>
    </row>
    <row r="80" spans="1:9" ht="20.100000000000001" customHeight="1">
      <c r="A80" s="520">
        <v>18</v>
      </c>
      <c r="B80" s="524" t="s">
        <v>1865</v>
      </c>
      <c r="C80" s="548" t="s">
        <v>1851</v>
      </c>
      <c r="D80" s="548" t="s">
        <v>1851</v>
      </c>
      <c r="E80" s="548" t="s">
        <v>1851</v>
      </c>
      <c r="F80" s="520"/>
      <c r="G80" s="520">
        <v>56636</v>
      </c>
      <c r="H80" s="520">
        <v>1</v>
      </c>
      <c r="I80" s="520">
        <f t="shared" si="17"/>
        <v>56636</v>
      </c>
    </row>
    <row r="81" spans="1:9" s="530" customFormat="1" ht="20.100000000000001" customHeight="1">
      <c r="A81" s="526"/>
      <c r="B81" s="527" t="s">
        <v>1866</v>
      </c>
      <c r="C81" s="549"/>
      <c r="D81" s="549"/>
      <c r="E81" s="550"/>
      <c r="F81" s="526"/>
      <c r="G81" s="526"/>
      <c r="H81" s="526"/>
      <c r="I81" s="526">
        <f>SUM(I78:I80)</f>
        <v>216657</v>
      </c>
    </row>
    <row r="82" spans="1:9" s="530" customFormat="1" ht="20.100000000000001" customHeight="1">
      <c r="A82" s="537"/>
      <c r="B82" s="538"/>
      <c r="C82" s="541" t="s">
        <v>1875</v>
      </c>
      <c r="D82" s="542"/>
      <c r="E82" s="537"/>
      <c r="F82" s="537"/>
      <c r="G82" s="537"/>
      <c r="H82" s="537"/>
      <c r="I82" s="537">
        <f>I73+I77+I81</f>
        <v>1001991</v>
      </c>
    </row>
    <row r="83" spans="1:9" ht="20.100000000000001" customHeight="1">
      <c r="A83" s="520">
        <v>19</v>
      </c>
      <c r="B83" s="521" t="s">
        <v>439</v>
      </c>
      <c r="C83" s="546" t="s">
        <v>1849</v>
      </c>
      <c r="D83" s="546" t="s">
        <v>1849</v>
      </c>
      <c r="E83" s="546" t="s">
        <v>1849</v>
      </c>
      <c r="F83" s="520"/>
      <c r="G83" s="520">
        <v>276315</v>
      </c>
      <c r="H83" s="520">
        <v>1</v>
      </c>
      <c r="I83" s="520">
        <f t="shared" ref="I83:I85" si="18">G83*H83</f>
        <v>276315</v>
      </c>
    </row>
    <row r="84" spans="1:9" ht="20.100000000000001" customHeight="1">
      <c r="A84" s="520">
        <v>19</v>
      </c>
      <c r="B84" s="521" t="s">
        <v>439</v>
      </c>
      <c r="C84" s="547" t="s">
        <v>1850</v>
      </c>
      <c r="D84" s="547" t="s">
        <v>1850</v>
      </c>
      <c r="E84" s="547" t="s">
        <v>1850</v>
      </c>
      <c r="F84" s="551"/>
      <c r="G84" s="520">
        <v>68316</v>
      </c>
      <c r="H84" s="520">
        <v>1</v>
      </c>
      <c r="I84" s="520">
        <f t="shared" si="18"/>
        <v>68316</v>
      </c>
    </row>
    <row r="85" spans="1:9" ht="20.100000000000001" customHeight="1">
      <c r="A85" s="520">
        <v>19</v>
      </c>
      <c r="B85" s="524" t="s">
        <v>439</v>
      </c>
      <c r="C85" s="548" t="s">
        <v>1851</v>
      </c>
      <c r="D85" s="548" t="s">
        <v>1851</v>
      </c>
      <c r="E85" s="548" t="s">
        <v>1851</v>
      </c>
      <c r="F85" s="551"/>
      <c r="G85" s="552">
        <v>56636</v>
      </c>
      <c r="H85" s="552">
        <v>1</v>
      </c>
      <c r="I85" s="520">
        <f t="shared" si="18"/>
        <v>56636</v>
      </c>
    </row>
    <row r="86" spans="1:9" s="530" customFormat="1" ht="20.100000000000001" customHeight="1">
      <c r="A86" s="553"/>
      <c r="B86" s="527" t="s">
        <v>1867</v>
      </c>
      <c r="C86" s="549"/>
      <c r="D86" s="549"/>
      <c r="E86" s="549"/>
      <c r="F86" s="553"/>
      <c r="G86" s="554"/>
      <c r="H86" s="554"/>
      <c r="I86" s="555">
        <f>SUM(I83:I85)</f>
        <v>401267</v>
      </c>
    </row>
    <row r="87" spans="1:9" s="530" customFormat="1" ht="20.100000000000001" customHeight="1">
      <c r="A87" s="542"/>
      <c r="B87" s="538"/>
      <c r="C87" s="541" t="s">
        <v>1876</v>
      </c>
      <c r="D87" s="542"/>
      <c r="E87" s="542"/>
      <c r="F87" s="542"/>
      <c r="G87" s="541"/>
      <c r="H87" s="541"/>
      <c r="I87" s="541">
        <f>I86</f>
        <v>401267</v>
      </c>
    </row>
    <row r="88" spans="1:9" s="530" customFormat="1" ht="20.100000000000001" customHeight="1">
      <c r="A88" s="542"/>
      <c r="B88" s="538"/>
      <c r="C88" s="538" t="s">
        <v>1877</v>
      </c>
      <c r="D88" s="542"/>
      <c r="E88" s="542"/>
      <c r="F88" s="542"/>
      <c r="G88" s="541"/>
      <c r="H88" s="541"/>
      <c r="I88" s="541">
        <f>I11+I16+I21+I34+I64+I82+I87+I69+I43</f>
        <v>6143753</v>
      </c>
    </row>
  </sheetData>
  <mergeCells count="1">
    <mergeCell ref="A1:I1"/>
  </mergeCells>
  <phoneticPr fontId="1" type="noConversion"/>
  <printOptions horizontalCentered="1"/>
  <pageMargins left="0.51181102362204722" right="0.51181102362204722" top="0.74803149606299213" bottom="0.74803149606299213" header="0.31496062992125984" footer="0.31496062992125984"/>
  <pageSetup paperSize="9" scale="80" orientation="portrait" r:id="rId1"/>
  <headerFooter>
    <oddFooter>第 &amp;P 页，共 &amp;N 页</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workbookViewId="0">
      <selection sqref="A1:XFD1048576"/>
    </sheetView>
  </sheetViews>
  <sheetFormatPr defaultRowHeight="20.100000000000001" customHeight="1"/>
  <cols>
    <col min="1" max="1" width="4.125" style="516" customWidth="1"/>
    <col min="2" max="2" width="10.375" style="516" customWidth="1"/>
    <col min="3" max="3" width="25.375" style="516" customWidth="1"/>
    <col min="4" max="5" width="23.125" style="516" customWidth="1"/>
    <col min="6" max="6" width="0" style="516" hidden="1" customWidth="1"/>
    <col min="7" max="7" width="9" style="516"/>
    <col min="8" max="8" width="6.125" style="516" customWidth="1"/>
    <col min="9" max="9" width="11.25" style="556" customWidth="1"/>
    <col min="10" max="16384" width="9" style="516"/>
  </cols>
  <sheetData>
    <row r="1" spans="1:9" ht="30" customHeight="1">
      <c r="A1" s="1478" t="s">
        <v>3295</v>
      </c>
      <c r="B1" s="1478"/>
      <c r="C1" s="1478"/>
      <c r="D1" s="1478"/>
      <c r="E1" s="1478"/>
      <c r="F1" s="1478"/>
      <c r="G1" s="1478"/>
      <c r="H1" s="1478"/>
      <c r="I1" s="1478"/>
    </row>
    <row r="2" spans="1:9" ht="20.100000000000001" customHeight="1">
      <c r="A2" s="517" t="s">
        <v>1826</v>
      </c>
      <c r="B2" s="518" t="s">
        <v>1827</v>
      </c>
      <c r="C2" s="519" t="s">
        <v>180</v>
      </c>
      <c r="D2" s="518" t="s">
        <v>1828</v>
      </c>
      <c r="E2" s="518" t="s">
        <v>1829</v>
      </c>
      <c r="F2" s="518" t="s">
        <v>1830</v>
      </c>
      <c r="G2" s="518" t="s">
        <v>1831</v>
      </c>
      <c r="H2" s="518" t="s">
        <v>1832</v>
      </c>
      <c r="I2" s="519" t="s">
        <v>1833</v>
      </c>
    </row>
    <row r="3" spans="1:9" ht="20.100000000000001" customHeight="1">
      <c r="A3" s="520">
        <v>1</v>
      </c>
      <c r="B3" s="521" t="s">
        <v>3296</v>
      </c>
      <c r="C3" s="522" t="s">
        <v>3297</v>
      </c>
      <c r="D3" s="522" t="s">
        <v>3297</v>
      </c>
      <c r="E3" s="522" t="s">
        <v>3297</v>
      </c>
      <c r="F3" s="520"/>
      <c r="G3" s="520">
        <v>20000</v>
      </c>
      <c r="H3" s="520">
        <v>1</v>
      </c>
      <c r="I3" s="520">
        <f t="shared" ref="I3" si="0">G3*1</f>
        <v>20000</v>
      </c>
    </row>
  </sheetData>
  <mergeCells count="1">
    <mergeCell ref="A1:I1"/>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9"/>
  <sheetViews>
    <sheetView zoomScaleNormal="100" workbookViewId="0">
      <selection activeCell="C3" sqref="C3"/>
    </sheetView>
  </sheetViews>
  <sheetFormatPr defaultColWidth="8.875" defaultRowHeight="12"/>
  <cols>
    <col min="1" max="1" width="4" style="588" customWidth="1"/>
    <col min="2" max="2" width="8.125" style="588" customWidth="1"/>
    <col min="3" max="3" width="10.375" style="588" customWidth="1"/>
    <col min="4" max="4" width="21.5" style="683" customWidth="1"/>
    <col min="5" max="5" width="12.5" style="588" customWidth="1"/>
    <col min="6" max="6" width="19.5" style="683" customWidth="1"/>
    <col min="7" max="7" width="19.125" style="683" customWidth="1"/>
    <col min="8" max="8" width="7" style="683" customWidth="1"/>
    <col min="9" max="9" width="8.25" style="587" customWidth="1"/>
    <col min="10" max="10" width="6.25" style="588" customWidth="1"/>
    <col min="11" max="11" width="10" style="587" customWidth="1"/>
    <col min="12" max="12" width="12" style="588" customWidth="1"/>
    <col min="13" max="13" width="11.625" style="588" customWidth="1"/>
    <col min="14" max="14" width="12.625" style="589" customWidth="1"/>
    <col min="15" max="16384" width="8.875" style="588"/>
  </cols>
  <sheetData>
    <row r="1" spans="1:14" s="557" customFormat="1" ht="30" customHeight="1">
      <c r="A1" s="1479" t="s">
        <v>2637</v>
      </c>
      <c r="B1" s="1479"/>
      <c r="C1" s="1479"/>
      <c r="D1" s="1479"/>
      <c r="E1" s="1479"/>
      <c r="F1" s="1479"/>
      <c r="G1" s="1479"/>
      <c r="H1" s="1479"/>
      <c r="I1" s="1479"/>
      <c r="J1" s="1479"/>
      <c r="K1" s="1479"/>
      <c r="L1" s="1480"/>
      <c r="M1" s="1480"/>
      <c r="N1" s="1481"/>
    </row>
    <row r="2" spans="1:14" s="557" customFormat="1" ht="36">
      <c r="A2" s="558" t="s">
        <v>2559</v>
      </c>
      <c r="B2" s="559" t="s">
        <v>2784</v>
      </c>
      <c r="C2" s="559" t="s">
        <v>2785</v>
      </c>
      <c r="D2" s="560" t="s">
        <v>2560</v>
      </c>
      <c r="E2" s="558" t="s">
        <v>180</v>
      </c>
      <c r="F2" s="558" t="s">
        <v>575</v>
      </c>
      <c r="G2" s="560" t="s">
        <v>576</v>
      </c>
      <c r="H2" s="560" t="s">
        <v>577</v>
      </c>
      <c r="I2" s="558" t="s">
        <v>579</v>
      </c>
      <c r="J2" s="558" t="s">
        <v>578</v>
      </c>
      <c r="K2" s="558" t="s">
        <v>580</v>
      </c>
      <c r="L2" s="561" t="s">
        <v>2579</v>
      </c>
      <c r="M2" s="562" t="s">
        <v>2783</v>
      </c>
      <c r="N2" s="560" t="s">
        <v>1889</v>
      </c>
    </row>
    <row r="3" spans="1:14" s="569" customFormat="1" ht="20.100000000000001" customHeight="1">
      <c r="A3" s="563">
        <v>1</v>
      </c>
      <c r="B3" s="563" t="s">
        <v>2638</v>
      </c>
      <c r="C3" s="563" t="s">
        <v>1717</v>
      </c>
      <c r="D3" s="564" t="s">
        <v>2639</v>
      </c>
      <c r="E3" s="565" t="s">
        <v>2536</v>
      </c>
      <c r="F3" s="564" t="s">
        <v>1879</v>
      </c>
      <c r="G3" s="564" t="s">
        <v>1880</v>
      </c>
      <c r="H3" s="564"/>
      <c r="I3" s="566">
        <v>757598</v>
      </c>
      <c r="J3" s="563">
        <v>1</v>
      </c>
      <c r="K3" s="566">
        <f>I3*J3</f>
        <v>757598</v>
      </c>
      <c r="L3" s="567">
        <v>757598</v>
      </c>
      <c r="M3" s="567"/>
      <c r="N3" s="568" t="s">
        <v>2780</v>
      </c>
    </row>
    <row r="4" spans="1:14" s="557" customFormat="1" ht="20.100000000000001" customHeight="1">
      <c r="A4" s="570"/>
      <c r="B4" s="571"/>
      <c r="C4" s="570"/>
      <c r="D4" s="559" t="s">
        <v>2262</v>
      </c>
      <c r="E4" s="570"/>
      <c r="F4" s="572"/>
      <c r="G4" s="572"/>
      <c r="H4" s="572"/>
      <c r="I4" s="573"/>
      <c r="J4" s="570"/>
      <c r="K4" s="574">
        <f>SUM(K3:K3)</f>
        <v>757598</v>
      </c>
      <c r="L4" s="574">
        <f t="shared" ref="L4:M4" si="0">SUM(L3:L3)</f>
        <v>757598</v>
      </c>
      <c r="M4" s="574">
        <f t="shared" si="0"/>
        <v>0</v>
      </c>
      <c r="N4" s="575"/>
    </row>
    <row r="5" spans="1:14" s="557" customFormat="1" ht="20.100000000000001" customHeight="1">
      <c r="A5" s="576">
        <v>2</v>
      </c>
      <c r="B5" s="576" t="s">
        <v>2638</v>
      </c>
      <c r="C5" s="576" t="s">
        <v>150</v>
      </c>
      <c r="D5" s="577" t="s">
        <v>1406</v>
      </c>
      <c r="E5" s="577" t="s">
        <v>2536</v>
      </c>
      <c r="F5" s="572" t="s">
        <v>2590</v>
      </c>
      <c r="G5" s="572" t="s">
        <v>2539</v>
      </c>
      <c r="H5" s="572"/>
      <c r="I5" s="578">
        <v>15000</v>
      </c>
      <c r="J5" s="576">
        <v>15</v>
      </c>
      <c r="K5" s="578">
        <f>I5*J5</f>
        <v>225000</v>
      </c>
      <c r="L5" s="571">
        <v>225000</v>
      </c>
      <c r="M5" s="571"/>
      <c r="N5" s="572"/>
    </row>
    <row r="6" spans="1:14" s="557" customFormat="1" ht="20.100000000000001" customHeight="1">
      <c r="A6" s="579"/>
      <c r="B6" s="579"/>
      <c r="C6" s="576"/>
      <c r="D6" s="559" t="s">
        <v>2262</v>
      </c>
      <c r="E6" s="580"/>
      <c r="F6" s="580"/>
      <c r="G6" s="575"/>
      <c r="H6" s="575"/>
      <c r="I6" s="581"/>
      <c r="J6" s="579"/>
      <c r="K6" s="581">
        <f>SUM(K5:K5)</f>
        <v>225000</v>
      </c>
      <c r="L6" s="581">
        <f t="shared" ref="L6:M6" si="1">SUM(L5:L5)</f>
        <v>225000</v>
      </c>
      <c r="M6" s="581">
        <f t="shared" si="1"/>
        <v>0</v>
      </c>
      <c r="N6" s="580"/>
    </row>
    <row r="7" spans="1:14" s="557" customFormat="1" ht="18.75" customHeight="1">
      <c r="A7" s="576">
        <v>3</v>
      </c>
      <c r="B7" s="576" t="s">
        <v>2638</v>
      </c>
      <c r="C7" s="576" t="s">
        <v>150</v>
      </c>
      <c r="D7" s="577" t="s">
        <v>587</v>
      </c>
      <c r="E7" s="577" t="s">
        <v>2536</v>
      </c>
      <c r="F7" s="582" t="s">
        <v>2640</v>
      </c>
      <c r="G7" s="582" t="s">
        <v>2640</v>
      </c>
      <c r="H7" s="583"/>
      <c r="I7" s="584">
        <v>5000</v>
      </c>
      <c r="J7" s="585">
        <v>6</v>
      </c>
      <c r="K7" s="584">
        <f>I7*J7</f>
        <v>30000</v>
      </c>
      <c r="L7" s="571">
        <v>30000</v>
      </c>
      <c r="M7" s="571"/>
      <c r="N7" s="572"/>
    </row>
    <row r="8" spans="1:14" s="557" customFormat="1" ht="20.100000000000001" customHeight="1">
      <c r="A8" s="576">
        <v>3</v>
      </c>
      <c r="B8" s="576" t="s">
        <v>2638</v>
      </c>
      <c r="C8" s="576" t="s">
        <v>150</v>
      </c>
      <c r="D8" s="577" t="s">
        <v>587</v>
      </c>
      <c r="E8" s="577" t="s">
        <v>2536</v>
      </c>
      <c r="F8" s="582" t="s">
        <v>2546</v>
      </c>
      <c r="G8" s="582" t="s">
        <v>2546</v>
      </c>
      <c r="H8" s="583"/>
      <c r="I8" s="584">
        <v>13000</v>
      </c>
      <c r="J8" s="585">
        <v>18</v>
      </c>
      <c r="K8" s="584">
        <f>J8*I8</f>
        <v>234000</v>
      </c>
      <c r="L8" s="571">
        <v>234000</v>
      </c>
      <c r="M8" s="571"/>
      <c r="N8" s="572"/>
    </row>
    <row r="9" spans="1:14" s="557" customFormat="1" ht="20.100000000000001" customHeight="1">
      <c r="A9" s="579"/>
      <c r="B9" s="579"/>
      <c r="C9" s="576"/>
      <c r="D9" s="559" t="s">
        <v>2262</v>
      </c>
      <c r="E9" s="580"/>
      <c r="F9" s="580"/>
      <c r="G9" s="575"/>
      <c r="H9" s="575"/>
      <c r="I9" s="581"/>
      <c r="J9" s="579"/>
      <c r="K9" s="581">
        <f>SUM(K7:K8)</f>
        <v>264000</v>
      </c>
      <c r="L9" s="581">
        <f t="shared" ref="L9:M9" si="2">SUM(L7:L8)</f>
        <v>264000</v>
      </c>
      <c r="M9" s="581">
        <f t="shared" si="2"/>
        <v>0</v>
      </c>
      <c r="N9" s="580"/>
    </row>
    <row r="10" spans="1:14" s="557" customFormat="1" ht="20.100000000000001" customHeight="1">
      <c r="A10" s="576">
        <v>4</v>
      </c>
      <c r="B10" s="576" t="s">
        <v>2638</v>
      </c>
      <c r="C10" s="576" t="s">
        <v>150</v>
      </c>
      <c r="D10" s="577" t="s">
        <v>1882</v>
      </c>
      <c r="E10" s="582" t="s">
        <v>2641</v>
      </c>
      <c r="F10" s="582" t="s">
        <v>2641</v>
      </c>
      <c r="G10" s="582" t="s">
        <v>2641</v>
      </c>
      <c r="H10" s="572" t="s">
        <v>1883</v>
      </c>
      <c r="I10" s="584">
        <v>2628000</v>
      </c>
      <c r="J10" s="585">
        <v>1</v>
      </c>
      <c r="K10" s="584">
        <f>I10*J10</f>
        <v>2628000</v>
      </c>
      <c r="L10" s="571">
        <v>1373402</v>
      </c>
      <c r="M10" s="571">
        <f>K10-L10</f>
        <v>1254598</v>
      </c>
      <c r="N10" s="586" t="s">
        <v>2535</v>
      </c>
    </row>
    <row r="11" spans="1:14" s="557" customFormat="1" ht="20.100000000000001" customHeight="1">
      <c r="A11" s="579"/>
      <c r="B11" s="579"/>
      <c r="C11" s="576"/>
      <c r="D11" s="559" t="s">
        <v>2262</v>
      </c>
      <c r="E11" s="580"/>
      <c r="F11" s="580"/>
      <c r="G11" s="575"/>
      <c r="H11" s="575"/>
      <c r="I11" s="581"/>
      <c r="J11" s="579"/>
      <c r="K11" s="581">
        <f>SUM(K10:K10)</f>
        <v>2628000</v>
      </c>
      <c r="L11" s="581">
        <f t="shared" ref="L11:M11" si="3">SUM(L10:L10)</f>
        <v>1373402</v>
      </c>
      <c r="M11" s="581">
        <f t="shared" si="3"/>
        <v>1254598</v>
      </c>
      <c r="N11" s="581"/>
    </row>
    <row r="12" spans="1:14" s="557" customFormat="1" ht="20.100000000000001" customHeight="1">
      <c r="A12" s="571"/>
      <c r="B12" s="571"/>
      <c r="C12" s="571"/>
      <c r="D12" s="559" t="s">
        <v>1100</v>
      </c>
      <c r="E12" s="571"/>
      <c r="F12" s="582"/>
      <c r="G12" s="582"/>
      <c r="H12" s="582"/>
      <c r="I12" s="584"/>
      <c r="J12" s="571"/>
      <c r="K12" s="581">
        <f>SUM(K11,K9,K6,K4)</f>
        <v>3874598</v>
      </c>
      <c r="L12" s="581">
        <f t="shared" ref="L12:M12" si="4">SUM(L11,L9,L6,L4)</f>
        <v>2620000</v>
      </c>
      <c r="M12" s="581">
        <f t="shared" si="4"/>
        <v>1254598</v>
      </c>
      <c r="N12" s="581"/>
    </row>
    <row r="15" spans="1:14" ht="18.75">
      <c r="A15" s="1482" t="s">
        <v>2826</v>
      </c>
      <c r="B15" s="1483"/>
      <c r="C15" s="1483"/>
      <c r="D15" s="1483"/>
      <c r="E15" s="1483"/>
      <c r="F15" s="1483"/>
      <c r="G15" s="1483"/>
      <c r="H15" s="1483"/>
    </row>
    <row r="16" spans="1:14" ht="12.75">
      <c r="A16" s="1484" t="s">
        <v>2827</v>
      </c>
      <c r="B16" s="1484" t="s">
        <v>2828</v>
      </c>
      <c r="C16" s="1484" t="s">
        <v>2829</v>
      </c>
      <c r="D16" s="1484" t="s">
        <v>2830</v>
      </c>
      <c r="E16" s="1484" t="s">
        <v>2831</v>
      </c>
      <c r="F16" s="1487" t="s">
        <v>2832</v>
      </c>
      <c r="G16" s="1487"/>
      <c r="H16" s="1488" t="s">
        <v>2833</v>
      </c>
    </row>
    <row r="17" spans="1:8" ht="12.75">
      <c r="A17" s="1485"/>
      <c r="B17" s="1485"/>
      <c r="C17" s="1485"/>
      <c r="D17" s="1486"/>
      <c r="E17" s="1486"/>
      <c r="F17" s="590" t="s">
        <v>578</v>
      </c>
      <c r="G17" s="590" t="s">
        <v>580</v>
      </c>
      <c r="H17" s="1489"/>
    </row>
    <row r="18" spans="1:8" ht="36">
      <c r="A18" s="591" t="s">
        <v>2834</v>
      </c>
      <c r="B18" s="592" t="s">
        <v>2835</v>
      </c>
      <c r="C18" s="590"/>
      <c r="D18" s="593"/>
      <c r="E18" s="594"/>
      <c r="F18" s="595"/>
      <c r="G18" s="596"/>
      <c r="H18" s="597"/>
    </row>
    <row r="19" spans="1:8" ht="84">
      <c r="A19" s="598">
        <v>1</v>
      </c>
      <c r="B19" s="599" t="s">
        <v>2836</v>
      </c>
      <c r="C19" s="598" t="s">
        <v>2837</v>
      </c>
      <c r="D19" s="600"/>
      <c r="E19" s="601">
        <v>200000</v>
      </c>
      <c r="F19" s="598">
        <v>1</v>
      </c>
      <c r="G19" s="601">
        <f>E19*F19</f>
        <v>200000</v>
      </c>
      <c r="H19" s="602" t="s">
        <v>2838</v>
      </c>
    </row>
    <row r="20" spans="1:8" ht="84">
      <c r="A20" s="598">
        <v>2</v>
      </c>
      <c r="B20" s="599" t="s">
        <v>2839</v>
      </c>
      <c r="C20" s="598" t="s">
        <v>2837</v>
      </c>
      <c r="D20" s="603"/>
      <c r="E20" s="601">
        <v>90000</v>
      </c>
      <c r="F20" s="598">
        <v>1</v>
      </c>
      <c r="G20" s="601">
        <f t="shared" ref="G20:G22" si="5">E20*F20</f>
        <v>90000</v>
      </c>
      <c r="H20" s="602" t="s">
        <v>2838</v>
      </c>
    </row>
    <row r="21" spans="1:8" ht="84">
      <c r="A21" s="604">
        <v>3</v>
      </c>
      <c r="B21" s="599" t="s">
        <v>2840</v>
      </c>
      <c r="C21" s="598" t="s">
        <v>2837</v>
      </c>
      <c r="D21" s="599" t="s">
        <v>2841</v>
      </c>
      <c r="E21" s="601">
        <v>70000</v>
      </c>
      <c r="F21" s="598">
        <v>1</v>
      </c>
      <c r="G21" s="601">
        <f t="shared" si="5"/>
        <v>70000</v>
      </c>
      <c r="H21" s="602" t="s">
        <v>2838</v>
      </c>
    </row>
    <row r="22" spans="1:8" ht="36">
      <c r="A22" s="598">
        <v>4</v>
      </c>
      <c r="B22" s="599" t="s">
        <v>2842</v>
      </c>
      <c r="C22" s="598" t="s">
        <v>2837</v>
      </c>
      <c r="D22" s="598"/>
      <c r="E22" s="601">
        <v>13000</v>
      </c>
      <c r="F22" s="598">
        <v>1</v>
      </c>
      <c r="G22" s="601">
        <f t="shared" si="5"/>
        <v>13000</v>
      </c>
      <c r="H22" s="602" t="s">
        <v>2843</v>
      </c>
    </row>
    <row r="23" spans="1:8" ht="12.75">
      <c r="A23" s="598"/>
      <c r="B23" s="605" t="s">
        <v>2844</v>
      </c>
      <c r="C23" s="598"/>
      <c r="D23" s="603"/>
      <c r="E23" s="601"/>
      <c r="F23" s="598"/>
      <c r="G23" s="606">
        <f>SUM(G19:G22)</f>
        <v>373000</v>
      </c>
      <c r="H23" s="607"/>
    </row>
    <row r="24" spans="1:8" ht="24">
      <c r="A24" s="608" t="s">
        <v>2845</v>
      </c>
      <c r="B24" s="609" t="s">
        <v>2846</v>
      </c>
      <c r="C24" s="598"/>
      <c r="D24" s="610"/>
      <c r="E24" s="601"/>
      <c r="F24" s="598"/>
      <c r="G24" s="601"/>
      <c r="H24" s="607"/>
    </row>
    <row r="25" spans="1:8" ht="24">
      <c r="A25" s="611" t="s">
        <v>2847</v>
      </c>
      <c r="B25" s="612" t="s">
        <v>2848</v>
      </c>
      <c r="C25" s="591"/>
      <c r="D25" s="613"/>
      <c r="E25" s="606"/>
      <c r="F25" s="591"/>
      <c r="G25" s="606"/>
      <c r="H25" s="614"/>
    </row>
    <row r="26" spans="1:8" ht="48">
      <c r="A26" s="611" t="s">
        <v>2849</v>
      </c>
      <c r="B26" s="612" t="s">
        <v>2850</v>
      </c>
      <c r="C26" s="591"/>
      <c r="D26" s="613"/>
      <c r="E26" s="606"/>
      <c r="F26" s="591"/>
      <c r="G26" s="606"/>
      <c r="H26" s="614"/>
    </row>
    <row r="27" spans="1:8" ht="12.75">
      <c r="A27" s="598">
        <v>1</v>
      </c>
      <c r="B27" s="615" t="s">
        <v>1907</v>
      </c>
      <c r="C27" s="598" t="s">
        <v>2851</v>
      </c>
      <c r="D27" s="610"/>
      <c r="E27" s="601">
        <v>80</v>
      </c>
      <c r="F27" s="598">
        <v>4</v>
      </c>
      <c r="G27" s="601">
        <f>E27*F27</f>
        <v>320</v>
      </c>
      <c r="H27" s="599"/>
    </row>
    <row r="28" spans="1:8" ht="12.75">
      <c r="A28" s="616">
        <v>2</v>
      </c>
      <c r="B28" s="615" t="s">
        <v>1909</v>
      </c>
      <c r="C28" s="598" t="s">
        <v>2852</v>
      </c>
      <c r="D28" s="599" t="s">
        <v>2853</v>
      </c>
      <c r="E28" s="601">
        <v>13000</v>
      </c>
      <c r="F28" s="598">
        <v>4</v>
      </c>
      <c r="G28" s="601">
        <f t="shared" ref="G28:G38" si="6">E28*F28</f>
        <v>52000</v>
      </c>
      <c r="H28" s="599"/>
    </row>
    <row r="29" spans="1:8" ht="12.75">
      <c r="A29" s="598">
        <v>3</v>
      </c>
      <c r="B29" s="615" t="s">
        <v>2854</v>
      </c>
      <c r="C29" s="598" t="s">
        <v>2855</v>
      </c>
      <c r="D29" s="617" t="s">
        <v>2856</v>
      </c>
      <c r="E29" s="601">
        <v>320</v>
      </c>
      <c r="F29" s="598">
        <v>4</v>
      </c>
      <c r="G29" s="601">
        <f t="shared" si="6"/>
        <v>1280</v>
      </c>
      <c r="H29" s="599"/>
    </row>
    <row r="30" spans="1:8" ht="12.75">
      <c r="A30" s="616">
        <v>4</v>
      </c>
      <c r="B30" s="618" t="s">
        <v>2857</v>
      </c>
      <c r="C30" s="598" t="s">
        <v>2858</v>
      </c>
      <c r="D30" s="603" t="s">
        <v>2859</v>
      </c>
      <c r="E30" s="601">
        <v>650</v>
      </c>
      <c r="F30" s="598">
        <v>20</v>
      </c>
      <c r="G30" s="601">
        <f t="shared" si="6"/>
        <v>13000</v>
      </c>
      <c r="H30" s="599"/>
    </row>
    <row r="31" spans="1:8" ht="24">
      <c r="A31" s="598">
        <v>5</v>
      </c>
      <c r="B31" s="619" t="s">
        <v>1918</v>
      </c>
      <c r="C31" s="598" t="s">
        <v>2860</v>
      </c>
      <c r="D31" s="599" t="s">
        <v>2861</v>
      </c>
      <c r="E31" s="601">
        <v>6000</v>
      </c>
      <c r="F31" s="598">
        <v>4</v>
      </c>
      <c r="G31" s="601">
        <f t="shared" si="6"/>
        <v>24000</v>
      </c>
      <c r="H31" s="599"/>
    </row>
    <row r="32" spans="1:8" ht="12.75">
      <c r="A32" s="616">
        <v>6</v>
      </c>
      <c r="B32" s="620" t="s">
        <v>1921</v>
      </c>
      <c r="C32" s="621" t="s">
        <v>2862</v>
      </c>
      <c r="D32" s="599" t="s">
        <v>2863</v>
      </c>
      <c r="E32" s="601">
        <v>15000</v>
      </c>
      <c r="F32" s="598">
        <v>4</v>
      </c>
      <c r="G32" s="601">
        <f t="shared" si="6"/>
        <v>60000</v>
      </c>
      <c r="H32" s="599"/>
    </row>
    <row r="33" spans="1:8" ht="12.75">
      <c r="A33" s="598">
        <v>7</v>
      </c>
      <c r="B33" s="618" t="s">
        <v>2864</v>
      </c>
      <c r="C33" s="621" t="s">
        <v>2862</v>
      </c>
      <c r="D33" s="599" t="s">
        <v>2865</v>
      </c>
      <c r="E33" s="601">
        <v>500</v>
      </c>
      <c r="F33" s="598">
        <v>4</v>
      </c>
      <c r="G33" s="601">
        <f t="shared" si="6"/>
        <v>2000</v>
      </c>
      <c r="H33" s="599"/>
    </row>
    <row r="34" spans="1:8" ht="24">
      <c r="A34" s="616">
        <v>8</v>
      </c>
      <c r="B34" s="622" t="s">
        <v>2866</v>
      </c>
      <c r="C34" s="621" t="s">
        <v>2867</v>
      </c>
      <c r="D34" s="623" t="s">
        <v>2868</v>
      </c>
      <c r="E34" s="601">
        <v>20000</v>
      </c>
      <c r="F34" s="598">
        <v>4</v>
      </c>
      <c r="G34" s="601">
        <f t="shared" si="6"/>
        <v>80000</v>
      </c>
      <c r="H34" s="599"/>
    </row>
    <row r="35" spans="1:8" ht="24">
      <c r="A35" s="598">
        <v>9</v>
      </c>
      <c r="B35" s="624" t="s">
        <v>2869</v>
      </c>
      <c r="C35" s="598" t="s">
        <v>2862</v>
      </c>
      <c r="D35" s="599"/>
      <c r="E35" s="601">
        <v>2500</v>
      </c>
      <c r="F35" s="598">
        <v>4</v>
      </c>
      <c r="G35" s="601">
        <f t="shared" si="6"/>
        <v>10000</v>
      </c>
      <c r="H35" s="599"/>
    </row>
    <row r="36" spans="1:8" ht="36.75">
      <c r="A36" s="616">
        <v>10</v>
      </c>
      <c r="B36" s="618" t="s">
        <v>1928</v>
      </c>
      <c r="C36" s="598" t="s">
        <v>2862</v>
      </c>
      <c r="D36" s="603" t="s">
        <v>2870</v>
      </c>
      <c r="E36" s="601">
        <v>13000</v>
      </c>
      <c r="F36" s="598">
        <v>4</v>
      </c>
      <c r="G36" s="601">
        <f t="shared" si="6"/>
        <v>52000</v>
      </c>
      <c r="H36" s="603" t="s">
        <v>2871</v>
      </c>
    </row>
    <row r="37" spans="1:8" ht="24">
      <c r="A37" s="598">
        <v>11</v>
      </c>
      <c r="B37" s="599" t="s">
        <v>2872</v>
      </c>
      <c r="C37" s="625" t="s">
        <v>2873</v>
      </c>
      <c r="D37" s="623" t="s">
        <v>2874</v>
      </c>
      <c r="E37" s="601">
        <v>700</v>
      </c>
      <c r="F37" s="598">
        <v>4</v>
      </c>
      <c r="G37" s="601">
        <f t="shared" si="6"/>
        <v>2800</v>
      </c>
      <c r="H37" s="599"/>
    </row>
    <row r="38" spans="1:8" ht="24">
      <c r="A38" s="616">
        <v>12</v>
      </c>
      <c r="B38" s="599" t="s">
        <v>2875</v>
      </c>
      <c r="C38" s="598" t="s">
        <v>2867</v>
      </c>
      <c r="D38" s="603" t="s">
        <v>2876</v>
      </c>
      <c r="E38" s="601">
        <v>650</v>
      </c>
      <c r="F38" s="598">
        <v>20</v>
      </c>
      <c r="G38" s="601">
        <f t="shared" si="6"/>
        <v>13000</v>
      </c>
      <c r="H38" s="599"/>
    </row>
    <row r="39" spans="1:8" ht="12.75">
      <c r="A39" s="626"/>
      <c r="B39" s="605" t="s">
        <v>2877</v>
      </c>
      <c r="C39" s="591"/>
      <c r="D39" s="613"/>
      <c r="E39" s="606"/>
      <c r="F39" s="591"/>
      <c r="G39" s="606">
        <f>SUM(G27:G38)</f>
        <v>310400</v>
      </c>
      <c r="H39" s="592"/>
    </row>
    <row r="40" spans="1:8" ht="24">
      <c r="A40" s="626" t="s">
        <v>2878</v>
      </c>
      <c r="B40" s="609" t="s">
        <v>2879</v>
      </c>
      <c r="C40" s="591"/>
      <c r="D40" s="613"/>
      <c r="E40" s="606"/>
      <c r="F40" s="591"/>
      <c r="G40" s="606"/>
      <c r="H40" s="592"/>
    </row>
    <row r="41" spans="1:8" ht="12.75">
      <c r="A41" s="598">
        <v>1</v>
      </c>
      <c r="B41" s="618" t="s">
        <v>2880</v>
      </c>
      <c r="C41" s="598" t="s">
        <v>2881</v>
      </c>
      <c r="D41" s="623" t="s">
        <v>2882</v>
      </c>
      <c r="E41" s="601">
        <v>380</v>
      </c>
      <c r="F41" s="598">
        <v>120</v>
      </c>
      <c r="G41" s="601">
        <f>E41*F41</f>
        <v>45600</v>
      </c>
      <c r="H41" s="599"/>
    </row>
    <row r="42" spans="1:8" ht="36.75">
      <c r="A42" s="616">
        <v>2</v>
      </c>
      <c r="B42" s="618" t="s">
        <v>1933</v>
      </c>
      <c r="C42" s="598" t="s">
        <v>2862</v>
      </c>
      <c r="D42" s="603" t="s">
        <v>2870</v>
      </c>
      <c r="E42" s="601">
        <v>13000</v>
      </c>
      <c r="F42" s="598">
        <v>4</v>
      </c>
      <c r="G42" s="601">
        <f>E42*F42</f>
        <v>52000</v>
      </c>
      <c r="H42" s="603" t="s">
        <v>2871</v>
      </c>
    </row>
    <row r="43" spans="1:8" ht="12.75">
      <c r="A43" s="626"/>
      <c r="B43" s="605" t="s">
        <v>2877</v>
      </c>
      <c r="C43" s="627"/>
      <c r="D43" s="613"/>
      <c r="E43" s="606"/>
      <c r="F43" s="591"/>
      <c r="G43" s="606">
        <f>SUM(G41:G42)</f>
        <v>97600</v>
      </c>
      <c r="H43" s="592"/>
    </row>
    <row r="44" spans="1:8" ht="24">
      <c r="A44" s="626" t="s">
        <v>2883</v>
      </c>
      <c r="B44" s="609" t="s">
        <v>2884</v>
      </c>
      <c r="C44" s="627"/>
      <c r="D44" s="613"/>
      <c r="E44" s="606"/>
      <c r="F44" s="591"/>
      <c r="G44" s="606"/>
      <c r="H44" s="592"/>
    </row>
    <row r="45" spans="1:8" ht="12.75">
      <c r="A45" s="598">
        <v>1</v>
      </c>
      <c r="B45" s="615" t="s">
        <v>2885</v>
      </c>
      <c r="C45" s="621" t="s">
        <v>2881</v>
      </c>
      <c r="D45" s="623" t="s">
        <v>2886</v>
      </c>
      <c r="E45" s="601">
        <v>2000</v>
      </c>
      <c r="F45" s="598">
        <v>4</v>
      </c>
      <c r="G45" s="601">
        <f>E45*F45</f>
        <v>8000</v>
      </c>
      <c r="H45" s="599"/>
    </row>
    <row r="46" spans="1:8" ht="12.75">
      <c r="A46" s="626"/>
      <c r="B46" s="605" t="s">
        <v>2877</v>
      </c>
      <c r="C46" s="627"/>
      <c r="D46" s="613"/>
      <c r="E46" s="606"/>
      <c r="F46" s="591"/>
      <c r="G46" s="606">
        <f>SUM(G45:G45)</f>
        <v>8000</v>
      </c>
      <c r="H46" s="592"/>
    </row>
    <row r="47" spans="1:8" ht="36">
      <c r="A47" s="626" t="s">
        <v>2887</v>
      </c>
      <c r="B47" s="612" t="s">
        <v>2888</v>
      </c>
      <c r="C47" s="627"/>
      <c r="D47" s="613"/>
      <c r="E47" s="606"/>
      <c r="F47" s="591"/>
      <c r="G47" s="606"/>
      <c r="H47" s="592"/>
    </row>
    <row r="48" spans="1:8" ht="24">
      <c r="A48" s="616">
        <v>1</v>
      </c>
      <c r="B48" s="618" t="s">
        <v>2889</v>
      </c>
      <c r="C48" s="625" t="s">
        <v>2890</v>
      </c>
      <c r="D48" s="623" t="s">
        <v>2891</v>
      </c>
      <c r="E48" s="601">
        <v>2400</v>
      </c>
      <c r="F48" s="598">
        <v>4</v>
      </c>
      <c r="G48" s="601">
        <f>E48*F48</f>
        <v>9600</v>
      </c>
      <c r="H48" s="599"/>
    </row>
    <row r="49" spans="1:8" ht="12.75">
      <c r="A49" s="626"/>
      <c r="B49" s="605" t="s">
        <v>2877</v>
      </c>
      <c r="C49" s="591"/>
      <c r="D49" s="613"/>
      <c r="E49" s="606"/>
      <c r="F49" s="591"/>
      <c r="G49" s="606">
        <f>SUM(G48:G48)</f>
        <v>9600</v>
      </c>
      <c r="H49" s="614"/>
    </row>
    <row r="50" spans="1:8" ht="60.75">
      <c r="A50" s="611" t="s">
        <v>2892</v>
      </c>
      <c r="B50" s="609" t="s">
        <v>2893</v>
      </c>
      <c r="C50" s="591"/>
      <c r="D50" s="613"/>
      <c r="E50" s="606"/>
      <c r="F50" s="591"/>
      <c r="G50" s="606"/>
      <c r="H50" s="603" t="s">
        <v>2894</v>
      </c>
    </row>
    <row r="51" spans="1:8" ht="24">
      <c r="A51" s="616">
        <v>1</v>
      </c>
      <c r="B51" s="615" t="s">
        <v>1941</v>
      </c>
      <c r="C51" s="598" t="s">
        <v>2862</v>
      </c>
      <c r="D51" s="610"/>
      <c r="E51" s="601">
        <v>1500</v>
      </c>
      <c r="F51" s="598">
        <v>4</v>
      </c>
      <c r="G51" s="601">
        <f>E51*F51</f>
        <v>6000</v>
      </c>
      <c r="H51" s="599" t="s">
        <v>2895</v>
      </c>
    </row>
    <row r="52" spans="1:8" ht="12.75">
      <c r="A52" s="616">
        <v>2</v>
      </c>
      <c r="B52" s="615" t="s">
        <v>1943</v>
      </c>
      <c r="C52" s="598" t="s">
        <v>2862</v>
      </c>
      <c r="D52" s="610"/>
      <c r="E52" s="601">
        <v>2000</v>
      </c>
      <c r="F52" s="598">
        <v>2</v>
      </c>
      <c r="G52" s="601">
        <f t="shared" ref="G52:G55" si="7">E52*F52</f>
        <v>4000</v>
      </c>
      <c r="H52" s="607"/>
    </row>
    <row r="53" spans="1:8" ht="24">
      <c r="A53" s="616">
        <v>3</v>
      </c>
      <c r="B53" s="618" t="s">
        <v>2896</v>
      </c>
      <c r="C53" s="625" t="s">
        <v>2897</v>
      </c>
      <c r="D53" s="623" t="s">
        <v>2898</v>
      </c>
      <c r="E53" s="601">
        <v>2000</v>
      </c>
      <c r="F53" s="598">
        <v>4</v>
      </c>
      <c r="G53" s="601">
        <f t="shared" si="7"/>
        <v>8000</v>
      </c>
      <c r="H53" s="599" t="s">
        <v>2895</v>
      </c>
    </row>
    <row r="54" spans="1:8" ht="24">
      <c r="A54" s="616">
        <v>4</v>
      </c>
      <c r="B54" s="618" t="s">
        <v>2899</v>
      </c>
      <c r="C54" s="625" t="s">
        <v>2900</v>
      </c>
      <c r="D54" s="610"/>
      <c r="E54" s="601">
        <v>1200</v>
      </c>
      <c r="F54" s="598">
        <v>2</v>
      </c>
      <c r="G54" s="601">
        <f t="shared" si="7"/>
        <v>2400</v>
      </c>
      <c r="H54" s="618" t="s">
        <v>2901</v>
      </c>
    </row>
    <row r="55" spans="1:8" ht="84">
      <c r="A55" s="616">
        <v>5</v>
      </c>
      <c r="B55" s="618" t="s">
        <v>2902</v>
      </c>
      <c r="C55" s="598" t="s">
        <v>2862</v>
      </c>
      <c r="D55" s="628" t="s">
        <v>2903</v>
      </c>
      <c r="E55" s="601">
        <v>12000</v>
      </c>
      <c r="F55" s="598">
        <v>2</v>
      </c>
      <c r="G55" s="601">
        <f t="shared" si="7"/>
        <v>24000</v>
      </c>
      <c r="H55" s="618" t="s">
        <v>2904</v>
      </c>
    </row>
    <row r="56" spans="1:8" ht="12.75">
      <c r="A56" s="626"/>
      <c r="B56" s="605" t="s">
        <v>2877</v>
      </c>
      <c r="C56" s="591"/>
      <c r="D56" s="629"/>
      <c r="E56" s="606"/>
      <c r="F56" s="591"/>
      <c r="G56" s="606">
        <f>SUM(G51:G55)</f>
        <v>44400</v>
      </c>
      <c r="H56" s="612"/>
    </row>
    <row r="57" spans="1:8" ht="36">
      <c r="A57" s="630" t="s">
        <v>2905</v>
      </c>
      <c r="B57" s="631" t="s">
        <v>2906</v>
      </c>
      <c r="C57" s="627"/>
      <c r="D57" s="632"/>
      <c r="E57" s="606"/>
      <c r="F57" s="591"/>
      <c r="G57" s="606"/>
      <c r="H57" s="599" t="s">
        <v>2907</v>
      </c>
    </row>
    <row r="58" spans="1:8" ht="36">
      <c r="A58" s="598">
        <v>1</v>
      </c>
      <c r="B58" s="618" t="s">
        <v>2908</v>
      </c>
      <c r="C58" s="598" t="s">
        <v>2909</v>
      </c>
      <c r="D58" s="599" t="s">
        <v>2910</v>
      </c>
      <c r="E58" s="601">
        <v>350000</v>
      </c>
      <c r="F58" s="598">
        <v>1</v>
      </c>
      <c r="G58" s="601">
        <f>E58*F58</f>
        <v>350000</v>
      </c>
      <c r="H58" s="599"/>
    </row>
    <row r="59" spans="1:8" ht="24">
      <c r="A59" s="633">
        <v>2</v>
      </c>
      <c r="B59" s="618" t="s">
        <v>2911</v>
      </c>
      <c r="C59" s="598" t="s">
        <v>2909</v>
      </c>
      <c r="D59" s="623" t="s">
        <v>2912</v>
      </c>
      <c r="E59" s="601"/>
      <c r="F59" s="598">
        <v>1</v>
      </c>
      <c r="G59" s="601">
        <v>20000</v>
      </c>
      <c r="H59" s="607"/>
    </row>
    <row r="60" spans="1:8" ht="12.75">
      <c r="A60" s="633">
        <v>3</v>
      </c>
      <c r="B60" s="634" t="s">
        <v>2913</v>
      </c>
      <c r="C60" s="598" t="s">
        <v>2914</v>
      </c>
      <c r="D60" s="599" t="s">
        <v>2915</v>
      </c>
      <c r="E60" s="601">
        <v>13000</v>
      </c>
      <c r="F60" s="635">
        <v>1</v>
      </c>
      <c r="G60" s="636">
        <f>E60*F60</f>
        <v>13000</v>
      </c>
      <c r="H60" s="607"/>
    </row>
    <row r="61" spans="1:8" ht="24">
      <c r="A61" s="633">
        <v>4</v>
      </c>
      <c r="B61" s="634" t="s">
        <v>2916</v>
      </c>
      <c r="C61" s="598" t="s">
        <v>2909</v>
      </c>
      <c r="D61" s="637" t="s">
        <v>2917</v>
      </c>
      <c r="E61" s="636">
        <v>20000</v>
      </c>
      <c r="F61" s="635">
        <v>1</v>
      </c>
      <c r="G61" s="636">
        <f t="shared" ref="G61:G62" si="8">E61*F61</f>
        <v>20000</v>
      </c>
      <c r="H61" s="607"/>
    </row>
    <row r="62" spans="1:8" ht="36.75">
      <c r="A62" s="633">
        <v>5</v>
      </c>
      <c r="B62" s="618" t="s">
        <v>2918</v>
      </c>
      <c r="C62" s="625" t="s">
        <v>2919</v>
      </c>
      <c r="D62" s="610" t="s">
        <v>2870</v>
      </c>
      <c r="E62" s="601">
        <v>13000</v>
      </c>
      <c r="F62" s="598">
        <v>4</v>
      </c>
      <c r="G62" s="636">
        <f t="shared" si="8"/>
        <v>52000</v>
      </c>
      <c r="H62" s="603" t="s">
        <v>2871</v>
      </c>
    </row>
    <row r="63" spans="1:8" ht="12.75">
      <c r="A63" s="591"/>
      <c r="B63" s="605" t="s">
        <v>2877</v>
      </c>
      <c r="C63" s="627"/>
      <c r="D63" s="600"/>
      <c r="E63" s="606"/>
      <c r="F63" s="591"/>
      <c r="G63" s="606">
        <f>SUM(G58:G62)</f>
        <v>455000</v>
      </c>
      <c r="H63" s="614"/>
    </row>
    <row r="64" spans="1:8" ht="24">
      <c r="A64" s="611" t="s">
        <v>2920</v>
      </c>
      <c r="B64" s="638" t="s">
        <v>2921</v>
      </c>
      <c r="C64" s="591"/>
      <c r="D64" s="613"/>
      <c r="E64" s="606"/>
      <c r="F64" s="591"/>
      <c r="G64" s="606"/>
      <c r="H64" s="614"/>
    </row>
    <row r="65" spans="1:8" ht="132">
      <c r="A65" s="616">
        <v>1</v>
      </c>
      <c r="B65" s="618" t="s">
        <v>2922</v>
      </c>
      <c r="C65" s="598" t="s">
        <v>2867</v>
      </c>
      <c r="D65" s="623" t="s">
        <v>2923</v>
      </c>
      <c r="E65" s="601">
        <v>100000</v>
      </c>
      <c r="F65" s="598">
        <v>3</v>
      </c>
      <c r="G65" s="601">
        <f>E65*F65</f>
        <v>300000</v>
      </c>
      <c r="H65" s="599" t="s">
        <v>2924</v>
      </c>
    </row>
    <row r="66" spans="1:8" ht="48">
      <c r="A66" s="616">
        <v>2</v>
      </c>
      <c r="B66" s="620" t="s">
        <v>1921</v>
      </c>
      <c r="C66" s="621" t="s">
        <v>2862</v>
      </c>
      <c r="D66" s="599" t="s">
        <v>2863</v>
      </c>
      <c r="E66" s="601">
        <v>15000</v>
      </c>
      <c r="F66" s="598">
        <v>3</v>
      </c>
      <c r="G66" s="601">
        <f t="shared" ref="G66:G68" si="9">E66*F66</f>
        <v>45000</v>
      </c>
      <c r="H66" s="599" t="s">
        <v>1958</v>
      </c>
    </row>
    <row r="67" spans="1:8" ht="24.75">
      <c r="A67" s="598">
        <v>3</v>
      </c>
      <c r="B67" s="602" t="s">
        <v>2925</v>
      </c>
      <c r="C67" s="598" t="s">
        <v>2909</v>
      </c>
      <c r="D67" s="639" t="s">
        <v>2926</v>
      </c>
      <c r="E67" s="601">
        <v>1920</v>
      </c>
      <c r="F67" s="598">
        <v>4</v>
      </c>
      <c r="G67" s="601">
        <f t="shared" si="9"/>
        <v>7680</v>
      </c>
      <c r="H67" s="640"/>
    </row>
    <row r="68" spans="1:8" ht="36.75">
      <c r="A68" s="616">
        <v>4</v>
      </c>
      <c r="B68" s="618" t="s">
        <v>2927</v>
      </c>
      <c r="C68" s="598" t="s">
        <v>2862</v>
      </c>
      <c r="D68" s="603" t="s">
        <v>2870</v>
      </c>
      <c r="E68" s="601">
        <v>13000</v>
      </c>
      <c r="F68" s="598">
        <v>3</v>
      </c>
      <c r="G68" s="601">
        <f t="shared" si="9"/>
        <v>39000</v>
      </c>
      <c r="H68" s="603" t="s">
        <v>2871</v>
      </c>
    </row>
    <row r="69" spans="1:8" ht="12.75">
      <c r="A69" s="626"/>
      <c r="B69" s="605" t="s">
        <v>2877</v>
      </c>
      <c r="C69" s="591"/>
      <c r="D69" s="613"/>
      <c r="E69" s="606"/>
      <c r="F69" s="591"/>
      <c r="G69" s="606">
        <f>SUM(G65:G68)</f>
        <v>391680</v>
      </c>
      <c r="H69" s="614"/>
    </row>
    <row r="70" spans="1:8" ht="24">
      <c r="A70" s="611" t="s">
        <v>2928</v>
      </c>
      <c r="B70" s="609" t="s">
        <v>2929</v>
      </c>
      <c r="C70" s="591"/>
      <c r="D70" s="613"/>
      <c r="E70" s="606"/>
      <c r="F70" s="591"/>
      <c r="G70" s="606"/>
      <c r="H70" s="614"/>
    </row>
    <row r="71" spans="1:8" ht="24">
      <c r="A71" s="611" t="s">
        <v>2930</v>
      </c>
      <c r="B71" s="641" t="s">
        <v>1960</v>
      </c>
      <c r="C71" s="591"/>
      <c r="D71" s="613"/>
      <c r="E71" s="606"/>
      <c r="F71" s="591"/>
      <c r="G71" s="606"/>
      <c r="H71" s="614"/>
    </row>
    <row r="72" spans="1:8" ht="24">
      <c r="A72" s="630" t="s">
        <v>2931</v>
      </c>
      <c r="B72" s="641" t="s">
        <v>1961</v>
      </c>
      <c r="C72" s="591"/>
      <c r="D72" s="600"/>
      <c r="E72" s="606"/>
      <c r="F72" s="591"/>
      <c r="G72" s="606"/>
      <c r="H72" s="614"/>
    </row>
    <row r="73" spans="1:8" ht="24">
      <c r="A73" s="633">
        <v>1</v>
      </c>
      <c r="B73" s="642" t="s">
        <v>2932</v>
      </c>
      <c r="C73" s="598" t="s">
        <v>2867</v>
      </c>
      <c r="D73" s="643"/>
      <c r="E73" s="601">
        <v>2500</v>
      </c>
      <c r="F73" s="598">
        <v>1</v>
      </c>
      <c r="G73" s="601">
        <f>E73*F73</f>
        <v>2500</v>
      </c>
      <c r="H73" s="599"/>
    </row>
    <row r="74" spans="1:8" ht="24">
      <c r="A74" s="633">
        <v>2</v>
      </c>
      <c r="B74" s="624" t="s">
        <v>2933</v>
      </c>
      <c r="C74" s="598" t="s">
        <v>2881</v>
      </c>
      <c r="D74" s="643"/>
      <c r="E74" s="601">
        <v>1500</v>
      </c>
      <c r="F74" s="598">
        <v>1</v>
      </c>
      <c r="G74" s="601">
        <f t="shared" ref="G74:G76" si="10">E74*F74</f>
        <v>1500</v>
      </c>
      <c r="H74" s="599"/>
    </row>
    <row r="75" spans="1:8" ht="12.75">
      <c r="A75" s="633">
        <v>3</v>
      </c>
      <c r="B75" s="615" t="s">
        <v>1963</v>
      </c>
      <c r="C75" s="598" t="s">
        <v>2867</v>
      </c>
      <c r="D75" s="623" t="s">
        <v>2934</v>
      </c>
      <c r="E75" s="601">
        <v>2000</v>
      </c>
      <c r="F75" s="598">
        <v>1</v>
      </c>
      <c r="G75" s="601">
        <f t="shared" si="10"/>
        <v>2000</v>
      </c>
      <c r="H75" s="599"/>
    </row>
    <row r="76" spans="1:8" ht="24">
      <c r="A76" s="633">
        <v>4</v>
      </c>
      <c r="B76" s="624" t="s">
        <v>2935</v>
      </c>
      <c r="C76" s="598" t="s">
        <v>1965</v>
      </c>
      <c r="D76" s="599" t="s">
        <v>2936</v>
      </c>
      <c r="E76" s="601">
        <v>5000</v>
      </c>
      <c r="F76" s="598">
        <v>1</v>
      </c>
      <c r="G76" s="601">
        <f t="shared" si="10"/>
        <v>5000</v>
      </c>
      <c r="H76" s="599"/>
    </row>
    <row r="77" spans="1:8" ht="12.75">
      <c r="A77" s="644"/>
      <c r="B77" s="605" t="s">
        <v>2877</v>
      </c>
      <c r="C77" s="591"/>
      <c r="D77" s="645"/>
      <c r="E77" s="606"/>
      <c r="F77" s="591"/>
      <c r="G77" s="606">
        <f>SUM(G73:G76)</f>
        <v>11000</v>
      </c>
      <c r="H77" s="592"/>
    </row>
    <row r="78" spans="1:8" ht="24">
      <c r="A78" s="644" t="s">
        <v>2878</v>
      </c>
      <c r="B78" s="641" t="s">
        <v>1960</v>
      </c>
      <c r="C78" s="591"/>
      <c r="D78" s="645"/>
      <c r="E78" s="606"/>
      <c r="F78" s="591"/>
      <c r="G78" s="606"/>
      <c r="H78" s="592"/>
    </row>
    <row r="79" spans="1:8" ht="120">
      <c r="A79" s="633">
        <v>1</v>
      </c>
      <c r="B79" s="618" t="s">
        <v>2937</v>
      </c>
      <c r="C79" s="598" t="s">
        <v>2867</v>
      </c>
      <c r="D79" s="643" t="s">
        <v>2938</v>
      </c>
      <c r="E79" s="601">
        <v>1600</v>
      </c>
      <c r="F79" s="598">
        <v>14</v>
      </c>
      <c r="G79" s="601">
        <f>E79*F79</f>
        <v>22400</v>
      </c>
      <c r="H79" s="624" t="s">
        <v>2939</v>
      </c>
    </row>
    <row r="80" spans="1:8" ht="120">
      <c r="A80" s="633">
        <v>2</v>
      </c>
      <c r="B80" s="618" t="s">
        <v>2940</v>
      </c>
      <c r="C80" s="598" t="s">
        <v>2881</v>
      </c>
      <c r="D80" s="610"/>
      <c r="E80" s="601">
        <v>700</v>
      </c>
      <c r="F80" s="598">
        <v>13</v>
      </c>
      <c r="G80" s="601">
        <f t="shared" ref="G80:G83" si="11">E80*F80</f>
        <v>9100</v>
      </c>
      <c r="H80" s="624" t="s">
        <v>2939</v>
      </c>
    </row>
    <row r="81" spans="1:8" ht="24">
      <c r="A81" s="633">
        <v>3</v>
      </c>
      <c r="B81" s="618" t="s">
        <v>2941</v>
      </c>
      <c r="C81" s="598" t="s">
        <v>2867</v>
      </c>
      <c r="D81" s="599" t="s">
        <v>2936</v>
      </c>
      <c r="E81" s="601">
        <v>5000</v>
      </c>
      <c r="F81" s="598">
        <v>9</v>
      </c>
      <c r="G81" s="601">
        <f t="shared" si="11"/>
        <v>45000</v>
      </c>
      <c r="H81" s="599"/>
    </row>
    <row r="82" spans="1:8" ht="84">
      <c r="A82" s="633">
        <v>4</v>
      </c>
      <c r="B82" s="618" t="s">
        <v>2942</v>
      </c>
      <c r="C82" s="598" t="s">
        <v>2867</v>
      </c>
      <c r="D82" s="610" t="s">
        <v>2943</v>
      </c>
      <c r="E82" s="601">
        <v>5000</v>
      </c>
      <c r="F82" s="598">
        <v>6</v>
      </c>
      <c r="G82" s="601">
        <f t="shared" si="11"/>
        <v>30000</v>
      </c>
      <c r="H82" s="624" t="s">
        <v>2944</v>
      </c>
    </row>
    <row r="83" spans="1:8" ht="120">
      <c r="A83" s="633">
        <v>8</v>
      </c>
      <c r="B83" s="615" t="s">
        <v>2945</v>
      </c>
      <c r="C83" s="625" t="s">
        <v>2919</v>
      </c>
      <c r="D83" s="610" t="s">
        <v>2946</v>
      </c>
      <c r="E83" s="601">
        <v>6000</v>
      </c>
      <c r="F83" s="598">
        <v>10</v>
      </c>
      <c r="G83" s="601">
        <f t="shared" si="11"/>
        <v>60000</v>
      </c>
      <c r="H83" s="624" t="s">
        <v>2939</v>
      </c>
    </row>
    <row r="84" spans="1:8" ht="12.75">
      <c r="A84" s="644"/>
      <c r="B84" s="605" t="s">
        <v>2877</v>
      </c>
      <c r="C84" s="646"/>
      <c r="D84" s="647"/>
      <c r="E84" s="648"/>
      <c r="F84" s="646"/>
      <c r="G84" s="648">
        <f>SUM(G79:G83)</f>
        <v>166500</v>
      </c>
      <c r="H84" s="609"/>
    </row>
    <row r="85" spans="1:8" ht="12.75">
      <c r="A85" s="644" t="s">
        <v>2883</v>
      </c>
      <c r="B85" s="609" t="s">
        <v>2947</v>
      </c>
      <c r="C85" s="646"/>
      <c r="D85" s="647"/>
      <c r="E85" s="648"/>
      <c r="F85" s="646"/>
      <c r="G85" s="648"/>
      <c r="H85" s="609"/>
    </row>
    <row r="86" spans="1:8" ht="24">
      <c r="A86" s="633">
        <v>1</v>
      </c>
      <c r="B86" s="649" t="s">
        <v>2948</v>
      </c>
      <c r="C86" s="635" t="s">
        <v>2862</v>
      </c>
      <c r="D86" s="637" t="s">
        <v>2949</v>
      </c>
      <c r="E86" s="601">
        <v>5000</v>
      </c>
      <c r="F86" s="598">
        <v>1</v>
      </c>
      <c r="G86" s="601">
        <f>E86*F86</f>
        <v>5000</v>
      </c>
      <c r="H86" s="650"/>
    </row>
    <row r="87" spans="1:8" ht="24">
      <c r="A87" s="633">
        <v>2</v>
      </c>
      <c r="B87" s="651" t="s">
        <v>1970</v>
      </c>
      <c r="C87" s="635" t="s">
        <v>2862</v>
      </c>
      <c r="D87" s="637" t="s">
        <v>2949</v>
      </c>
      <c r="E87" s="636">
        <v>1500</v>
      </c>
      <c r="F87" s="635">
        <v>1</v>
      </c>
      <c r="G87" s="601">
        <f t="shared" ref="G87:G89" si="12">E87*F87</f>
        <v>1500</v>
      </c>
      <c r="H87" s="650"/>
    </row>
    <row r="88" spans="1:8" ht="12.75">
      <c r="A88" s="633">
        <v>3</v>
      </c>
      <c r="B88" s="642" t="s">
        <v>2950</v>
      </c>
      <c r="C88" s="635" t="s">
        <v>2862</v>
      </c>
      <c r="D88" s="637" t="s">
        <v>2949</v>
      </c>
      <c r="E88" s="636">
        <v>3000</v>
      </c>
      <c r="F88" s="635">
        <v>1</v>
      </c>
      <c r="G88" s="601">
        <f t="shared" si="12"/>
        <v>3000</v>
      </c>
      <c r="H88" s="650"/>
    </row>
    <row r="89" spans="1:8" ht="12.75">
      <c r="A89" s="633">
        <v>4</v>
      </c>
      <c r="B89" s="618" t="s">
        <v>2951</v>
      </c>
      <c r="C89" s="598" t="s">
        <v>2881</v>
      </c>
      <c r="D89" s="610"/>
      <c r="E89" s="601">
        <v>2000</v>
      </c>
      <c r="F89" s="598">
        <v>1</v>
      </c>
      <c r="G89" s="601">
        <f t="shared" si="12"/>
        <v>2000</v>
      </c>
      <c r="H89" s="650"/>
    </row>
    <row r="90" spans="1:8" ht="12.75">
      <c r="A90" s="644"/>
      <c r="B90" s="605" t="s">
        <v>2877</v>
      </c>
      <c r="C90" s="591"/>
      <c r="D90" s="647"/>
      <c r="E90" s="606"/>
      <c r="F90" s="646"/>
      <c r="G90" s="648">
        <f>SUM(G86:G89)</f>
        <v>11500</v>
      </c>
      <c r="H90" s="609"/>
    </row>
    <row r="91" spans="1:8" ht="12.75">
      <c r="A91" s="644" t="s">
        <v>2887</v>
      </c>
      <c r="B91" s="612" t="s">
        <v>2952</v>
      </c>
      <c r="C91" s="591"/>
      <c r="D91" s="647"/>
      <c r="E91" s="606"/>
      <c r="F91" s="646"/>
      <c r="G91" s="648"/>
      <c r="H91" s="609"/>
    </row>
    <row r="92" spans="1:8" ht="12.75">
      <c r="A92" s="633">
        <v>1</v>
      </c>
      <c r="B92" s="615" t="s">
        <v>2953</v>
      </c>
      <c r="C92" s="598" t="s">
        <v>2881</v>
      </c>
      <c r="D92" s="639"/>
      <c r="E92" s="601">
        <v>700</v>
      </c>
      <c r="F92" s="635">
        <v>3</v>
      </c>
      <c r="G92" s="636">
        <f>E92*F92</f>
        <v>2100</v>
      </c>
      <c r="H92" s="650"/>
    </row>
    <row r="93" spans="1:8" ht="12.75">
      <c r="A93" s="633">
        <v>2</v>
      </c>
      <c r="B93" s="615" t="s">
        <v>1973</v>
      </c>
      <c r="C93" s="598" t="s">
        <v>2881</v>
      </c>
      <c r="D93" s="610"/>
      <c r="E93" s="601">
        <v>700</v>
      </c>
      <c r="F93" s="598">
        <v>4</v>
      </c>
      <c r="G93" s="636">
        <f t="shared" ref="G93:G96" si="13">E93*F93</f>
        <v>2800</v>
      </c>
      <c r="H93" s="650"/>
    </row>
    <row r="94" spans="1:8" ht="12.75">
      <c r="A94" s="633">
        <v>3</v>
      </c>
      <c r="B94" s="618" t="s">
        <v>2954</v>
      </c>
      <c r="C94" s="625" t="s">
        <v>2919</v>
      </c>
      <c r="D94" s="610"/>
      <c r="E94" s="601">
        <v>2000</v>
      </c>
      <c r="F94" s="598">
        <v>1</v>
      </c>
      <c r="G94" s="636">
        <f t="shared" si="13"/>
        <v>2000</v>
      </c>
      <c r="H94" s="650"/>
    </row>
    <row r="95" spans="1:8" ht="12.75">
      <c r="A95" s="633">
        <v>4</v>
      </c>
      <c r="B95" s="618" t="s">
        <v>2955</v>
      </c>
      <c r="C95" s="625" t="s">
        <v>2919</v>
      </c>
      <c r="D95" s="610"/>
      <c r="E95" s="601">
        <v>1000</v>
      </c>
      <c r="F95" s="598">
        <v>1</v>
      </c>
      <c r="G95" s="636">
        <f t="shared" si="13"/>
        <v>1000</v>
      </c>
      <c r="H95" s="650"/>
    </row>
    <row r="96" spans="1:8" ht="24">
      <c r="A96" s="633">
        <v>5</v>
      </c>
      <c r="B96" s="618" t="s">
        <v>2956</v>
      </c>
      <c r="C96" s="625" t="s">
        <v>2873</v>
      </c>
      <c r="D96" s="637" t="s">
        <v>2957</v>
      </c>
      <c r="E96" s="601">
        <v>1000</v>
      </c>
      <c r="F96" s="598">
        <v>1</v>
      </c>
      <c r="G96" s="636">
        <f t="shared" si="13"/>
        <v>1000</v>
      </c>
      <c r="H96" s="650"/>
    </row>
    <row r="97" spans="1:8" ht="12.75">
      <c r="A97" s="644"/>
      <c r="B97" s="605" t="s">
        <v>2877</v>
      </c>
      <c r="C97" s="591"/>
      <c r="D97" s="613"/>
      <c r="E97" s="606"/>
      <c r="F97" s="591"/>
      <c r="G97" s="606">
        <f>SUM(G92:G96)</f>
        <v>8900</v>
      </c>
      <c r="H97" s="609"/>
    </row>
    <row r="98" spans="1:8" ht="36">
      <c r="A98" s="644" t="s">
        <v>2892</v>
      </c>
      <c r="B98" s="612" t="s">
        <v>2958</v>
      </c>
      <c r="C98" s="591"/>
      <c r="D98" s="613"/>
      <c r="E98" s="606"/>
      <c r="F98" s="591"/>
      <c r="G98" s="606"/>
      <c r="H98" s="609"/>
    </row>
    <row r="99" spans="1:8" ht="24">
      <c r="A99" s="633">
        <v>4</v>
      </c>
      <c r="B99" s="642" t="s">
        <v>2959</v>
      </c>
      <c r="C99" s="598" t="s">
        <v>2862</v>
      </c>
      <c r="D99" s="610" t="s">
        <v>2960</v>
      </c>
      <c r="E99" s="601">
        <v>20000</v>
      </c>
      <c r="F99" s="598">
        <v>1</v>
      </c>
      <c r="G99" s="601">
        <f t="shared" ref="G99:G100" si="14">E99*F99</f>
        <v>20000</v>
      </c>
      <c r="H99" s="599"/>
    </row>
    <row r="100" spans="1:8" ht="24">
      <c r="A100" s="633">
        <v>5</v>
      </c>
      <c r="B100" s="624" t="s">
        <v>2961</v>
      </c>
      <c r="C100" s="598" t="s">
        <v>2862</v>
      </c>
      <c r="D100" s="652"/>
      <c r="E100" s="601">
        <v>25000</v>
      </c>
      <c r="F100" s="598">
        <v>1</v>
      </c>
      <c r="G100" s="601">
        <f t="shared" si="14"/>
        <v>25000</v>
      </c>
      <c r="H100" s="599"/>
    </row>
    <row r="101" spans="1:8" ht="12.75">
      <c r="A101" s="644"/>
      <c r="B101" s="605" t="s">
        <v>2877</v>
      </c>
      <c r="C101" s="591"/>
      <c r="D101" s="613"/>
      <c r="E101" s="606"/>
      <c r="F101" s="591"/>
      <c r="G101" s="606">
        <f>SUM(G99:G100)</f>
        <v>45000</v>
      </c>
      <c r="H101" s="614"/>
    </row>
    <row r="102" spans="1:8" ht="24">
      <c r="A102" s="653" t="s">
        <v>2905</v>
      </c>
      <c r="B102" s="612" t="s">
        <v>2962</v>
      </c>
      <c r="C102" s="591"/>
      <c r="D102" s="613"/>
      <c r="E102" s="606"/>
      <c r="F102" s="591"/>
      <c r="G102" s="606"/>
      <c r="H102" s="614"/>
    </row>
    <row r="103" spans="1:8" ht="12.75">
      <c r="A103" s="633">
        <v>1</v>
      </c>
      <c r="B103" s="615" t="s">
        <v>1976</v>
      </c>
      <c r="C103" s="598" t="s">
        <v>2881</v>
      </c>
      <c r="D103" s="610"/>
      <c r="E103" s="601">
        <v>6000</v>
      </c>
      <c r="F103" s="598">
        <v>1</v>
      </c>
      <c r="G103" s="601">
        <f>E103*F103</f>
        <v>6000</v>
      </c>
      <c r="H103" s="607"/>
    </row>
    <row r="104" spans="1:8" ht="12.75">
      <c r="A104" s="633">
        <v>2</v>
      </c>
      <c r="B104" s="615" t="s">
        <v>2963</v>
      </c>
      <c r="C104" s="598" t="s">
        <v>2881</v>
      </c>
      <c r="D104" s="610"/>
      <c r="E104" s="601">
        <v>380</v>
      </c>
      <c r="F104" s="598">
        <v>20</v>
      </c>
      <c r="G104" s="601">
        <f t="shared" ref="G104:G106" si="15">E104*F104</f>
        <v>7600</v>
      </c>
      <c r="H104" s="607"/>
    </row>
    <row r="105" spans="1:8" ht="12.75">
      <c r="A105" s="633">
        <v>3</v>
      </c>
      <c r="B105" s="620" t="s">
        <v>2964</v>
      </c>
      <c r="C105" s="621" t="s">
        <v>2862</v>
      </c>
      <c r="D105" s="599" t="s">
        <v>2965</v>
      </c>
      <c r="E105" s="601">
        <v>22000</v>
      </c>
      <c r="F105" s="598">
        <v>1</v>
      </c>
      <c r="G105" s="601">
        <f t="shared" si="15"/>
        <v>22000</v>
      </c>
      <c r="H105" s="654"/>
    </row>
    <row r="106" spans="1:8" ht="36.75">
      <c r="A106" s="633">
        <v>4</v>
      </c>
      <c r="B106" s="618" t="s">
        <v>2966</v>
      </c>
      <c r="C106" s="625" t="s">
        <v>2919</v>
      </c>
      <c r="D106" s="610" t="s">
        <v>2967</v>
      </c>
      <c r="E106" s="601">
        <v>12000</v>
      </c>
      <c r="F106" s="598">
        <v>1</v>
      </c>
      <c r="G106" s="601">
        <f t="shared" si="15"/>
        <v>12000</v>
      </c>
      <c r="H106" s="603" t="s">
        <v>2871</v>
      </c>
    </row>
    <row r="107" spans="1:8" ht="12.75">
      <c r="A107" s="655"/>
      <c r="B107" s="605" t="s">
        <v>2877</v>
      </c>
      <c r="C107" s="646"/>
      <c r="D107" s="647"/>
      <c r="E107" s="606"/>
      <c r="F107" s="591"/>
      <c r="G107" s="606">
        <f>SUM(G103:G106)</f>
        <v>47600</v>
      </c>
      <c r="H107" s="605"/>
    </row>
    <row r="108" spans="1:8" ht="24">
      <c r="A108" s="656" t="s">
        <v>2920</v>
      </c>
      <c r="B108" s="609" t="s">
        <v>2968</v>
      </c>
      <c r="C108" s="657"/>
      <c r="D108" s="647"/>
      <c r="E108" s="606"/>
      <c r="F108" s="591"/>
      <c r="G108" s="606"/>
      <c r="H108" s="605"/>
    </row>
    <row r="109" spans="1:8" ht="12.75">
      <c r="A109" s="598">
        <v>1</v>
      </c>
      <c r="B109" s="618" t="s">
        <v>2969</v>
      </c>
      <c r="C109" s="658" t="s">
        <v>2873</v>
      </c>
      <c r="D109" s="637" t="s">
        <v>2970</v>
      </c>
      <c r="E109" s="601">
        <v>1800</v>
      </c>
      <c r="F109" s="598">
        <v>2</v>
      </c>
      <c r="G109" s="601">
        <f>E109*F109</f>
        <v>3600</v>
      </c>
      <c r="H109" s="659"/>
    </row>
    <row r="110" spans="1:8" ht="12.75">
      <c r="A110" s="598">
        <v>3</v>
      </c>
      <c r="B110" s="615" t="s">
        <v>2971</v>
      </c>
      <c r="C110" s="658" t="s">
        <v>2972</v>
      </c>
      <c r="D110" s="639"/>
      <c r="E110" s="601">
        <v>1000</v>
      </c>
      <c r="F110" s="598">
        <v>2</v>
      </c>
      <c r="G110" s="601">
        <f t="shared" ref="G110:G112" si="16">E110*F110</f>
        <v>2000</v>
      </c>
      <c r="H110" s="659"/>
    </row>
    <row r="111" spans="1:8" ht="24">
      <c r="A111" s="598">
        <v>4</v>
      </c>
      <c r="B111" s="618" t="s">
        <v>2973</v>
      </c>
      <c r="C111" s="598" t="s">
        <v>2909</v>
      </c>
      <c r="D111" s="603"/>
      <c r="E111" s="601">
        <v>10000</v>
      </c>
      <c r="F111" s="598">
        <v>1</v>
      </c>
      <c r="G111" s="601">
        <f t="shared" si="16"/>
        <v>10000</v>
      </c>
      <c r="H111" s="599"/>
    </row>
    <row r="112" spans="1:8" ht="36.75">
      <c r="A112" s="598">
        <v>5</v>
      </c>
      <c r="B112" s="615" t="s">
        <v>2966</v>
      </c>
      <c r="C112" s="658" t="s">
        <v>2919</v>
      </c>
      <c r="D112" s="610" t="s">
        <v>2967</v>
      </c>
      <c r="E112" s="601">
        <v>12000</v>
      </c>
      <c r="F112" s="598">
        <v>1</v>
      </c>
      <c r="G112" s="601">
        <f t="shared" si="16"/>
        <v>12000</v>
      </c>
      <c r="H112" s="603" t="s">
        <v>2871</v>
      </c>
    </row>
    <row r="113" spans="1:8" ht="12.75">
      <c r="A113" s="655"/>
      <c r="B113" s="605" t="s">
        <v>2877</v>
      </c>
      <c r="C113" s="657"/>
      <c r="D113" s="647"/>
      <c r="E113" s="606"/>
      <c r="F113" s="591"/>
      <c r="G113" s="606">
        <f>SUM(G109:G112)</f>
        <v>27600</v>
      </c>
      <c r="H113" s="605"/>
    </row>
    <row r="114" spans="1:8" ht="36">
      <c r="A114" s="656" t="s">
        <v>2974</v>
      </c>
      <c r="B114" s="660" t="s">
        <v>1982</v>
      </c>
      <c r="C114" s="657"/>
      <c r="D114" s="647"/>
      <c r="E114" s="606"/>
      <c r="F114" s="591"/>
      <c r="G114" s="606"/>
      <c r="H114" s="605"/>
    </row>
    <row r="115" spans="1:8" ht="48">
      <c r="A115" s="661">
        <v>1</v>
      </c>
      <c r="B115" s="602" t="s">
        <v>1983</v>
      </c>
      <c r="C115" s="658" t="s">
        <v>2890</v>
      </c>
      <c r="D115" s="639" t="s">
        <v>1984</v>
      </c>
      <c r="E115" s="601">
        <v>7500</v>
      </c>
      <c r="F115" s="598">
        <v>1</v>
      </c>
      <c r="G115" s="601">
        <f>E115*F115</f>
        <v>7500</v>
      </c>
      <c r="H115" s="662" t="s">
        <v>2975</v>
      </c>
    </row>
    <row r="116" spans="1:8" ht="12.75">
      <c r="A116" s="655"/>
      <c r="B116" s="605" t="s">
        <v>2877</v>
      </c>
      <c r="C116" s="657"/>
      <c r="D116" s="647"/>
      <c r="E116" s="606"/>
      <c r="F116" s="591"/>
      <c r="G116" s="606">
        <f>SUM(G115:G115)</f>
        <v>7500</v>
      </c>
      <c r="H116" s="605"/>
    </row>
    <row r="117" spans="1:8" ht="12.75">
      <c r="A117" s="630" t="s">
        <v>2976</v>
      </c>
      <c r="B117" s="660" t="s">
        <v>1987</v>
      </c>
      <c r="C117" s="657"/>
      <c r="D117" s="647"/>
      <c r="E117" s="606"/>
      <c r="F117" s="591"/>
      <c r="G117" s="606"/>
      <c r="H117" s="605"/>
    </row>
    <row r="118" spans="1:8" ht="24">
      <c r="A118" s="598">
        <v>1</v>
      </c>
      <c r="B118" s="618" t="s">
        <v>2977</v>
      </c>
      <c r="C118" s="625" t="s">
        <v>2972</v>
      </c>
      <c r="D118" s="623" t="s">
        <v>2978</v>
      </c>
      <c r="E118" s="601">
        <v>1500</v>
      </c>
      <c r="F118" s="598">
        <v>2</v>
      </c>
      <c r="G118" s="601">
        <f>E118*F118</f>
        <v>3000</v>
      </c>
      <c r="H118" s="599" t="s">
        <v>2979</v>
      </c>
    </row>
    <row r="119" spans="1:8" ht="24">
      <c r="A119" s="598">
        <v>2</v>
      </c>
      <c r="B119" s="618" t="s">
        <v>2980</v>
      </c>
      <c r="C119" s="625" t="s">
        <v>2972</v>
      </c>
      <c r="D119" s="623" t="s">
        <v>2978</v>
      </c>
      <c r="E119" s="601">
        <v>1000</v>
      </c>
      <c r="F119" s="598">
        <v>2</v>
      </c>
      <c r="G119" s="601">
        <f>E119*F119</f>
        <v>2000</v>
      </c>
      <c r="H119" s="599" t="s">
        <v>2979</v>
      </c>
    </row>
    <row r="120" spans="1:8" ht="12.75">
      <c r="A120" s="655"/>
      <c r="B120" s="605" t="s">
        <v>2877</v>
      </c>
      <c r="C120" s="657"/>
      <c r="D120" s="647"/>
      <c r="E120" s="606"/>
      <c r="F120" s="591"/>
      <c r="G120" s="606">
        <f>SUM(G118:G119)</f>
        <v>5000</v>
      </c>
      <c r="H120" s="605"/>
    </row>
    <row r="121" spans="1:8" ht="24">
      <c r="A121" s="655" t="s">
        <v>2981</v>
      </c>
      <c r="B121" s="660" t="s">
        <v>1989</v>
      </c>
      <c r="C121" s="657"/>
      <c r="D121" s="647"/>
      <c r="E121" s="606"/>
      <c r="F121" s="591"/>
      <c r="G121" s="606"/>
      <c r="H121" s="605"/>
    </row>
    <row r="122" spans="1:8" ht="12.75">
      <c r="A122" s="661">
        <v>1</v>
      </c>
      <c r="B122" s="618" t="s">
        <v>2982</v>
      </c>
      <c r="C122" s="621" t="s">
        <v>2867</v>
      </c>
      <c r="D122" s="603" t="s">
        <v>2876</v>
      </c>
      <c r="E122" s="601">
        <v>650</v>
      </c>
      <c r="F122" s="598">
        <v>1</v>
      </c>
      <c r="G122" s="601">
        <f>E122*F122</f>
        <v>650</v>
      </c>
      <c r="H122" s="650" t="s">
        <v>2983</v>
      </c>
    </row>
    <row r="123" spans="1:8" ht="24">
      <c r="A123" s="661">
        <v>2</v>
      </c>
      <c r="B123" s="624" t="s">
        <v>2984</v>
      </c>
      <c r="C123" s="598" t="s">
        <v>2867</v>
      </c>
      <c r="D123" s="649" t="s">
        <v>2985</v>
      </c>
      <c r="E123" s="601">
        <v>20000</v>
      </c>
      <c r="F123" s="598">
        <v>1</v>
      </c>
      <c r="G123" s="601">
        <f>E123*F123</f>
        <v>20000</v>
      </c>
      <c r="H123" s="650"/>
    </row>
    <row r="124" spans="1:8" ht="24">
      <c r="A124" s="616">
        <v>3</v>
      </c>
      <c r="B124" s="624" t="s">
        <v>2986</v>
      </c>
      <c r="C124" s="598" t="s">
        <v>2867</v>
      </c>
      <c r="D124" s="663"/>
      <c r="E124" s="601">
        <v>18000</v>
      </c>
      <c r="F124" s="598">
        <v>1</v>
      </c>
      <c r="G124" s="601">
        <f>E124*F124</f>
        <v>18000</v>
      </c>
      <c r="H124" s="607"/>
    </row>
    <row r="125" spans="1:8" ht="12.75">
      <c r="A125" s="655"/>
      <c r="B125" s="605" t="s">
        <v>2877</v>
      </c>
      <c r="C125" s="657"/>
      <c r="D125" s="647"/>
      <c r="E125" s="606"/>
      <c r="F125" s="591"/>
      <c r="G125" s="606">
        <f>SUM(G122:G124)</f>
        <v>38650</v>
      </c>
      <c r="H125" s="605"/>
    </row>
    <row r="126" spans="1:8" ht="24">
      <c r="A126" s="630" t="s">
        <v>2987</v>
      </c>
      <c r="B126" s="612" t="s">
        <v>2988</v>
      </c>
      <c r="C126" s="627"/>
      <c r="D126" s="600"/>
      <c r="E126" s="606"/>
      <c r="F126" s="591"/>
      <c r="G126" s="606"/>
      <c r="H126" s="614"/>
    </row>
    <row r="127" spans="1:8" ht="24">
      <c r="A127" s="598">
        <v>2</v>
      </c>
      <c r="B127" s="615" t="s">
        <v>1991</v>
      </c>
      <c r="C127" s="621" t="s">
        <v>2881</v>
      </c>
      <c r="D127" s="623"/>
      <c r="E127" s="601">
        <v>700</v>
      </c>
      <c r="F127" s="598">
        <v>1</v>
      </c>
      <c r="G127" s="601">
        <f t="shared" ref="G127:G132" si="17">E127*F127</f>
        <v>700</v>
      </c>
      <c r="H127" s="607"/>
    </row>
    <row r="128" spans="1:8" ht="12.75">
      <c r="A128" s="598">
        <v>3</v>
      </c>
      <c r="B128" s="618" t="s">
        <v>2980</v>
      </c>
      <c r="C128" s="598" t="s">
        <v>2881</v>
      </c>
      <c r="D128" s="603"/>
      <c r="E128" s="601">
        <v>1200</v>
      </c>
      <c r="F128" s="598">
        <v>1</v>
      </c>
      <c r="G128" s="601">
        <f t="shared" si="17"/>
        <v>1200</v>
      </c>
      <c r="H128" s="607"/>
    </row>
    <row r="129" spans="1:8" ht="12.75">
      <c r="A129" s="598">
        <v>4</v>
      </c>
      <c r="B129" s="618" t="s">
        <v>2989</v>
      </c>
      <c r="C129" s="664" t="s">
        <v>2972</v>
      </c>
      <c r="D129" s="603"/>
      <c r="E129" s="601">
        <v>900</v>
      </c>
      <c r="F129" s="598">
        <v>1</v>
      </c>
      <c r="G129" s="601">
        <f t="shared" si="17"/>
        <v>900</v>
      </c>
      <c r="H129" s="607"/>
    </row>
    <row r="130" spans="1:8" ht="12.75">
      <c r="A130" s="598">
        <v>5</v>
      </c>
      <c r="B130" s="618" t="s">
        <v>2982</v>
      </c>
      <c r="C130" s="621" t="s">
        <v>2867</v>
      </c>
      <c r="D130" s="603" t="s">
        <v>2876</v>
      </c>
      <c r="E130" s="601">
        <v>650</v>
      </c>
      <c r="F130" s="598">
        <v>1</v>
      </c>
      <c r="G130" s="601">
        <f t="shared" si="17"/>
        <v>650</v>
      </c>
      <c r="H130" s="607"/>
    </row>
    <row r="131" spans="1:8" ht="12.75">
      <c r="A131" s="598">
        <v>6</v>
      </c>
      <c r="B131" s="618" t="s">
        <v>2880</v>
      </c>
      <c r="C131" s="598" t="s">
        <v>2990</v>
      </c>
      <c r="D131" s="603" t="s">
        <v>2991</v>
      </c>
      <c r="E131" s="601">
        <v>380</v>
      </c>
      <c r="F131" s="598">
        <v>1</v>
      </c>
      <c r="G131" s="601">
        <f t="shared" si="17"/>
        <v>380</v>
      </c>
      <c r="H131" s="607"/>
    </row>
    <row r="132" spans="1:8" ht="24">
      <c r="A132" s="598">
        <v>8</v>
      </c>
      <c r="B132" s="615" t="s">
        <v>1994</v>
      </c>
      <c r="C132" s="598" t="s">
        <v>2867</v>
      </c>
      <c r="D132" s="603" t="s">
        <v>2992</v>
      </c>
      <c r="E132" s="601">
        <v>20000</v>
      </c>
      <c r="F132" s="598">
        <v>1</v>
      </c>
      <c r="G132" s="601">
        <f t="shared" si="17"/>
        <v>20000</v>
      </c>
      <c r="H132" s="607"/>
    </row>
    <row r="133" spans="1:8" ht="12.75">
      <c r="A133" s="591"/>
      <c r="B133" s="605" t="s">
        <v>2877</v>
      </c>
      <c r="C133" s="591"/>
      <c r="D133" s="592"/>
      <c r="E133" s="606"/>
      <c r="F133" s="591"/>
      <c r="G133" s="606">
        <f>SUM(G127:G132)</f>
        <v>23830</v>
      </c>
      <c r="H133" s="614"/>
    </row>
    <row r="134" spans="1:8" ht="24">
      <c r="A134" s="655" t="s">
        <v>2993</v>
      </c>
      <c r="B134" s="660" t="s">
        <v>1997</v>
      </c>
      <c r="C134" s="657"/>
      <c r="D134" s="647"/>
      <c r="E134" s="606"/>
      <c r="F134" s="591"/>
      <c r="G134" s="606"/>
      <c r="H134" s="605"/>
    </row>
    <row r="135" spans="1:8" ht="108.75">
      <c r="A135" s="616">
        <v>1</v>
      </c>
      <c r="B135" s="665" t="s">
        <v>2994</v>
      </c>
      <c r="C135" s="666" t="s">
        <v>2862</v>
      </c>
      <c r="D135" s="667" t="s">
        <v>2995</v>
      </c>
      <c r="E135" s="668">
        <v>40000</v>
      </c>
      <c r="F135" s="666">
        <v>1</v>
      </c>
      <c r="G135" s="668">
        <f>E135*F135</f>
        <v>40000</v>
      </c>
      <c r="H135" s="669" t="s">
        <v>2996</v>
      </c>
    </row>
    <row r="136" spans="1:8" ht="12.75">
      <c r="A136" s="655"/>
      <c r="B136" s="605" t="s">
        <v>2877</v>
      </c>
      <c r="C136" s="657"/>
      <c r="D136" s="647"/>
      <c r="E136" s="606"/>
      <c r="F136" s="591"/>
      <c r="G136" s="606">
        <f>SUM(G135:G135)</f>
        <v>40000</v>
      </c>
      <c r="H136" s="605"/>
    </row>
    <row r="137" spans="1:8" ht="24">
      <c r="A137" s="655" t="s">
        <v>2997</v>
      </c>
      <c r="B137" s="670" t="s">
        <v>2998</v>
      </c>
      <c r="C137" s="657"/>
      <c r="D137" s="647"/>
      <c r="E137" s="606"/>
      <c r="F137" s="591"/>
      <c r="G137" s="606"/>
      <c r="H137" s="605"/>
    </row>
    <row r="138" spans="1:8" ht="24">
      <c r="A138" s="616">
        <v>1</v>
      </c>
      <c r="B138" s="618" t="s">
        <v>2999</v>
      </c>
      <c r="C138" s="598" t="s">
        <v>2867</v>
      </c>
      <c r="D138" s="610"/>
      <c r="E138" s="601">
        <v>60000</v>
      </c>
      <c r="F138" s="598">
        <v>1</v>
      </c>
      <c r="G138" s="601">
        <f>E138*F138</f>
        <v>60000</v>
      </c>
      <c r="H138" s="607"/>
    </row>
    <row r="139" spans="1:8" ht="12.75">
      <c r="A139" s="655"/>
      <c r="B139" s="605" t="s">
        <v>2877</v>
      </c>
      <c r="C139" s="657"/>
      <c r="D139" s="647"/>
      <c r="E139" s="606"/>
      <c r="F139" s="591"/>
      <c r="G139" s="606">
        <f>SUM(G138:G138)</f>
        <v>60000</v>
      </c>
      <c r="H139" s="605"/>
    </row>
    <row r="140" spans="1:8" ht="24">
      <c r="A140" s="655" t="s">
        <v>3000</v>
      </c>
      <c r="B140" s="660" t="s">
        <v>2001</v>
      </c>
      <c r="C140" s="657"/>
      <c r="D140" s="647"/>
      <c r="E140" s="606"/>
      <c r="F140" s="591"/>
      <c r="G140" s="606"/>
      <c r="H140" s="605"/>
    </row>
    <row r="141" spans="1:8" ht="12.75">
      <c r="A141" s="661">
        <v>1</v>
      </c>
      <c r="B141" s="602" t="s">
        <v>2002</v>
      </c>
      <c r="C141" s="658" t="s">
        <v>2972</v>
      </c>
      <c r="D141" s="623" t="s">
        <v>2978</v>
      </c>
      <c r="E141" s="601">
        <v>1500</v>
      </c>
      <c r="F141" s="598">
        <v>4</v>
      </c>
      <c r="G141" s="601">
        <f>E141*F141</f>
        <v>6000</v>
      </c>
      <c r="H141" s="659"/>
    </row>
    <row r="142" spans="1:8" ht="12.75">
      <c r="A142" s="655"/>
      <c r="B142" s="605" t="s">
        <v>2877</v>
      </c>
      <c r="C142" s="657"/>
      <c r="D142" s="647"/>
      <c r="E142" s="606"/>
      <c r="F142" s="591"/>
      <c r="G142" s="606">
        <f>SUM(G141:G141)</f>
        <v>6000</v>
      </c>
      <c r="H142" s="605"/>
    </row>
    <row r="143" spans="1:8" ht="24">
      <c r="A143" s="655" t="s">
        <v>3001</v>
      </c>
      <c r="B143" s="660" t="s">
        <v>2004</v>
      </c>
      <c r="C143" s="657"/>
      <c r="D143" s="647"/>
      <c r="E143" s="606"/>
      <c r="F143" s="591"/>
      <c r="G143" s="606"/>
      <c r="H143" s="605"/>
    </row>
    <row r="144" spans="1:8" ht="12.75">
      <c r="A144" s="661">
        <v>1</v>
      </c>
      <c r="B144" s="602" t="s">
        <v>2005</v>
      </c>
      <c r="C144" s="664" t="s">
        <v>2972</v>
      </c>
      <c r="D144" s="639"/>
      <c r="E144" s="601">
        <v>900</v>
      </c>
      <c r="F144" s="598">
        <v>2</v>
      </c>
      <c r="G144" s="601">
        <f>E144*F144</f>
        <v>1800</v>
      </c>
      <c r="H144" s="659"/>
    </row>
    <row r="145" spans="1:8" ht="12.75">
      <c r="A145" s="655"/>
      <c r="B145" s="605" t="s">
        <v>2877</v>
      </c>
      <c r="C145" s="657"/>
      <c r="D145" s="647"/>
      <c r="E145" s="606"/>
      <c r="F145" s="591"/>
      <c r="G145" s="606">
        <f>SUM(G144:G144)</f>
        <v>1800</v>
      </c>
      <c r="H145" s="605"/>
    </row>
    <row r="146" spans="1:8" ht="24">
      <c r="A146" s="655" t="s">
        <v>3002</v>
      </c>
      <c r="B146" s="660" t="s">
        <v>3003</v>
      </c>
      <c r="C146" s="657"/>
      <c r="D146" s="647"/>
      <c r="E146" s="606"/>
      <c r="F146" s="591"/>
      <c r="G146" s="606"/>
      <c r="H146" s="605"/>
    </row>
    <row r="147" spans="1:8" ht="12.75">
      <c r="A147" s="661">
        <v>1</v>
      </c>
      <c r="B147" s="602" t="s">
        <v>2005</v>
      </c>
      <c r="C147" s="664" t="s">
        <v>2972</v>
      </c>
      <c r="D147" s="639"/>
      <c r="E147" s="601">
        <v>900</v>
      </c>
      <c r="F147" s="598">
        <v>1</v>
      </c>
      <c r="G147" s="601">
        <f>E147*F147</f>
        <v>900</v>
      </c>
      <c r="H147" s="659"/>
    </row>
    <row r="148" spans="1:8" ht="12.75">
      <c r="A148" s="616">
        <v>3</v>
      </c>
      <c r="B148" s="615" t="s">
        <v>2007</v>
      </c>
      <c r="C148" s="598" t="s">
        <v>2867</v>
      </c>
      <c r="D148" s="623" t="s">
        <v>2008</v>
      </c>
      <c r="E148" s="601">
        <v>5000</v>
      </c>
      <c r="F148" s="598">
        <v>1</v>
      </c>
      <c r="G148" s="601">
        <f t="shared" ref="G148:G149" si="18">E148*F148</f>
        <v>5000</v>
      </c>
      <c r="H148" s="654"/>
    </row>
    <row r="149" spans="1:8" ht="12.75">
      <c r="A149" s="616">
        <v>4</v>
      </c>
      <c r="B149" s="671" t="s">
        <v>3004</v>
      </c>
      <c r="C149" s="672" t="s">
        <v>2867</v>
      </c>
      <c r="D149" s="663" t="s">
        <v>3005</v>
      </c>
      <c r="E149" s="601">
        <v>14000</v>
      </c>
      <c r="F149" s="598">
        <v>1</v>
      </c>
      <c r="G149" s="601">
        <f t="shared" si="18"/>
        <v>14000</v>
      </c>
      <c r="H149" s="654"/>
    </row>
    <row r="150" spans="1:8" ht="12.75">
      <c r="A150" s="655"/>
      <c r="B150" s="605" t="s">
        <v>2877</v>
      </c>
      <c r="C150" s="657"/>
      <c r="D150" s="647"/>
      <c r="E150" s="606"/>
      <c r="F150" s="591"/>
      <c r="G150" s="606">
        <f>SUM(G147:G149)</f>
        <v>19900</v>
      </c>
      <c r="H150" s="605"/>
    </row>
    <row r="151" spans="1:8" ht="12.75">
      <c r="A151" s="656" t="s">
        <v>3006</v>
      </c>
      <c r="B151" s="660" t="s">
        <v>3007</v>
      </c>
      <c r="C151" s="657"/>
      <c r="D151" s="647"/>
      <c r="E151" s="606"/>
      <c r="F151" s="591"/>
      <c r="G151" s="606"/>
      <c r="H151" s="605"/>
    </row>
    <row r="152" spans="1:8" ht="12.75">
      <c r="A152" s="616">
        <v>1</v>
      </c>
      <c r="B152" s="615" t="s">
        <v>2011</v>
      </c>
      <c r="C152" s="598" t="s">
        <v>2867</v>
      </c>
      <c r="D152" s="623" t="s">
        <v>3008</v>
      </c>
      <c r="E152" s="601">
        <v>240000</v>
      </c>
      <c r="F152" s="598">
        <v>1</v>
      </c>
      <c r="G152" s="601">
        <f>E152*F152</f>
        <v>240000</v>
      </c>
      <c r="H152" s="607"/>
    </row>
    <row r="153" spans="1:8" ht="24">
      <c r="A153" s="616">
        <v>2</v>
      </c>
      <c r="B153" s="618" t="s">
        <v>3009</v>
      </c>
      <c r="C153" s="664" t="s">
        <v>3010</v>
      </c>
      <c r="D153" s="610"/>
      <c r="E153" s="601">
        <v>5000</v>
      </c>
      <c r="F153" s="598">
        <v>1</v>
      </c>
      <c r="G153" s="601">
        <f t="shared" ref="G153:G158" si="19">E153*F153</f>
        <v>5000</v>
      </c>
      <c r="H153" s="607"/>
    </row>
    <row r="154" spans="1:8" ht="12.75">
      <c r="A154" s="616">
        <v>3</v>
      </c>
      <c r="B154" s="615" t="s">
        <v>3011</v>
      </c>
      <c r="C154" s="621" t="s">
        <v>2862</v>
      </c>
      <c r="D154" s="643"/>
      <c r="E154" s="601">
        <v>50000</v>
      </c>
      <c r="F154" s="598">
        <v>1</v>
      </c>
      <c r="G154" s="601">
        <f t="shared" si="19"/>
        <v>50000</v>
      </c>
      <c r="H154" s="607"/>
    </row>
    <row r="155" spans="1:8" ht="24">
      <c r="A155" s="616">
        <v>4</v>
      </c>
      <c r="B155" s="673" t="s">
        <v>3012</v>
      </c>
      <c r="C155" s="598" t="s">
        <v>2867</v>
      </c>
      <c r="D155" s="610"/>
      <c r="E155" s="601">
        <v>20000</v>
      </c>
      <c r="F155" s="598">
        <v>1</v>
      </c>
      <c r="G155" s="601">
        <f t="shared" si="19"/>
        <v>20000</v>
      </c>
      <c r="H155" s="607"/>
    </row>
    <row r="156" spans="1:8" ht="24">
      <c r="A156" s="616">
        <v>5</v>
      </c>
      <c r="B156" s="634" t="s">
        <v>3013</v>
      </c>
      <c r="C156" s="621" t="s">
        <v>2867</v>
      </c>
      <c r="D156" s="643"/>
      <c r="E156" s="601">
        <v>30000</v>
      </c>
      <c r="F156" s="598">
        <v>1</v>
      </c>
      <c r="G156" s="601">
        <f t="shared" si="19"/>
        <v>30000</v>
      </c>
      <c r="H156" s="607"/>
    </row>
    <row r="157" spans="1:8" ht="12.75">
      <c r="A157" s="616">
        <v>6</v>
      </c>
      <c r="B157" s="674" t="s">
        <v>3014</v>
      </c>
      <c r="C157" s="621"/>
      <c r="D157" s="643"/>
      <c r="E157" s="601">
        <v>16000</v>
      </c>
      <c r="F157" s="598">
        <v>1</v>
      </c>
      <c r="G157" s="601">
        <f t="shared" si="19"/>
        <v>16000</v>
      </c>
      <c r="H157" s="662"/>
    </row>
    <row r="158" spans="1:8" ht="24">
      <c r="A158" s="616">
        <v>7</v>
      </c>
      <c r="B158" s="674" t="s">
        <v>3015</v>
      </c>
      <c r="C158" s="621"/>
      <c r="D158" s="643"/>
      <c r="E158" s="601">
        <v>5000</v>
      </c>
      <c r="F158" s="598">
        <v>1</v>
      </c>
      <c r="G158" s="601">
        <f t="shared" si="19"/>
        <v>5000</v>
      </c>
      <c r="H158" s="662"/>
    </row>
    <row r="159" spans="1:8" ht="12.75">
      <c r="A159" s="626"/>
      <c r="B159" s="605" t="s">
        <v>2877</v>
      </c>
      <c r="C159" s="627"/>
      <c r="D159" s="675"/>
      <c r="E159" s="606"/>
      <c r="F159" s="591"/>
      <c r="G159" s="606">
        <f>SUM(G152:G158)</f>
        <v>366000</v>
      </c>
      <c r="H159" s="614"/>
    </row>
    <row r="160" spans="1:8" ht="36">
      <c r="A160" s="611" t="s">
        <v>3016</v>
      </c>
      <c r="B160" s="638" t="s">
        <v>3017</v>
      </c>
      <c r="C160" s="591"/>
      <c r="D160" s="675"/>
      <c r="E160" s="606"/>
      <c r="F160" s="591"/>
      <c r="G160" s="606"/>
      <c r="H160" s="614"/>
    </row>
    <row r="161" spans="1:8" ht="36">
      <c r="A161" s="616">
        <v>1</v>
      </c>
      <c r="B161" s="676" t="s">
        <v>3018</v>
      </c>
      <c r="C161" s="672" t="s">
        <v>2015</v>
      </c>
      <c r="D161" s="677" t="s">
        <v>3019</v>
      </c>
      <c r="E161" s="601">
        <v>110000</v>
      </c>
      <c r="F161" s="598">
        <v>1</v>
      </c>
      <c r="G161" s="601">
        <f>E161*F161</f>
        <v>110000</v>
      </c>
      <c r="H161" s="669"/>
    </row>
    <row r="162" spans="1:8" ht="12.75">
      <c r="A162" s="616">
        <v>2</v>
      </c>
      <c r="B162" s="665" t="s">
        <v>3020</v>
      </c>
      <c r="C162" s="666" t="s">
        <v>2867</v>
      </c>
      <c r="D162" s="678" t="s">
        <v>3021</v>
      </c>
      <c r="E162" s="668">
        <v>30000</v>
      </c>
      <c r="F162" s="666">
        <v>1</v>
      </c>
      <c r="G162" s="601">
        <f t="shared" ref="G162:G163" si="20">E162*F162</f>
        <v>30000</v>
      </c>
      <c r="H162" s="607"/>
    </row>
    <row r="163" spans="1:8" ht="12.75">
      <c r="A163" s="616">
        <v>3</v>
      </c>
      <c r="B163" s="615" t="s">
        <v>2018</v>
      </c>
      <c r="C163" s="598" t="s">
        <v>2867</v>
      </c>
      <c r="D163" s="603" t="s">
        <v>2019</v>
      </c>
      <c r="E163" s="601">
        <v>4000</v>
      </c>
      <c r="F163" s="598">
        <v>1</v>
      </c>
      <c r="G163" s="601">
        <f t="shared" si="20"/>
        <v>4000</v>
      </c>
      <c r="H163" s="607"/>
    </row>
    <row r="164" spans="1:8" ht="12.75">
      <c r="A164" s="616">
        <v>5</v>
      </c>
      <c r="B164" s="615" t="s">
        <v>3022</v>
      </c>
      <c r="C164" s="598" t="s">
        <v>2909</v>
      </c>
      <c r="D164" s="623" t="s">
        <v>3023</v>
      </c>
      <c r="E164" s="601">
        <v>109540</v>
      </c>
      <c r="F164" s="598">
        <v>1</v>
      </c>
      <c r="G164" s="601">
        <f>E164*F164</f>
        <v>109540</v>
      </c>
      <c r="H164" s="607"/>
    </row>
    <row r="165" spans="1:8" ht="36">
      <c r="A165" s="616">
        <v>6</v>
      </c>
      <c r="B165" s="676" t="s">
        <v>2021</v>
      </c>
      <c r="C165" s="672" t="s">
        <v>2022</v>
      </c>
      <c r="D165" s="662" t="s">
        <v>3024</v>
      </c>
      <c r="E165" s="601">
        <v>90000</v>
      </c>
      <c r="F165" s="598">
        <v>1</v>
      </c>
      <c r="G165" s="601">
        <f>E165*F165</f>
        <v>90000</v>
      </c>
      <c r="H165" s="607"/>
    </row>
    <row r="166" spans="1:8" ht="12.75">
      <c r="A166" s="616">
        <v>7</v>
      </c>
      <c r="B166" s="676" t="s">
        <v>3025</v>
      </c>
      <c r="C166" s="679" t="s">
        <v>3026</v>
      </c>
      <c r="D166" s="662"/>
      <c r="E166" s="601">
        <v>150000</v>
      </c>
      <c r="F166" s="666">
        <v>1</v>
      </c>
      <c r="G166" s="601">
        <v>0</v>
      </c>
      <c r="H166" s="607"/>
    </row>
    <row r="167" spans="1:8" ht="12.75">
      <c r="A167" s="591"/>
      <c r="B167" s="614" t="s">
        <v>2877</v>
      </c>
      <c r="C167" s="591"/>
      <c r="D167" s="600"/>
      <c r="E167" s="606"/>
      <c r="F167" s="591"/>
      <c r="G167" s="606">
        <f>SUM(G161:G166)</f>
        <v>343540</v>
      </c>
      <c r="H167" s="614"/>
    </row>
    <row r="168" spans="1:8" ht="12.75">
      <c r="A168" s="598"/>
      <c r="B168" s="614" t="s">
        <v>3027</v>
      </c>
      <c r="C168" s="598"/>
      <c r="D168" s="603"/>
      <c r="E168" s="601"/>
      <c r="F168" s="598"/>
      <c r="G168" s="606">
        <f>SUM(G167,G159,G150,G145,G142,G139,G136,G133,G125,G120,G116,G113,G107,G101,G97,G90,G84,G77,G69,G63,G56,G49,G46,G43,G39,G23)</f>
        <v>2920000</v>
      </c>
      <c r="H168" s="607"/>
    </row>
    <row r="169" spans="1:8" ht="24.75">
      <c r="A169" s="680"/>
      <c r="B169" s="680"/>
      <c r="C169" s="680"/>
      <c r="D169" s="680"/>
      <c r="E169" s="681"/>
      <c r="F169" s="680"/>
      <c r="G169" s="606">
        <f>G168*0.9</f>
        <v>2628000</v>
      </c>
      <c r="H169" s="682" t="s">
        <v>3028</v>
      </c>
    </row>
  </sheetData>
  <mergeCells count="9">
    <mergeCell ref="A1:N1"/>
    <mergeCell ref="A15:H15"/>
    <mergeCell ref="A16:A17"/>
    <mergeCell ref="B16:B17"/>
    <mergeCell ref="C16:C17"/>
    <mergeCell ref="D16:D17"/>
    <mergeCell ref="E16:E17"/>
    <mergeCell ref="F16:G16"/>
    <mergeCell ref="H16:H17"/>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workbookViewId="0">
      <selection activeCell="K17" sqref="K17:K18"/>
    </sheetView>
  </sheetViews>
  <sheetFormatPr defaultColWidth="8.875" defaultRowHeight="13.5"/>
  <cols>
    <col min="1" max="1" width="5" style="684" customWidth="1"/>
    <col min="2" max="2" width="6.5" style="684" customWidth="1"/>
    <col min="3" max="3" width="8.5" style="684" customWidth="1"/>
    <col min="4" max="4" width="25" style="745" customWidth="1"/>
    <col min="5" max="5" width="14.125" style="745" customWidth="1"/>
    <col min="6" max="6" width="17.75" style="745" customWidth="1"/>
    <col min="7" max="7" width="18.25" style="745" customWidth="1"/>
    <col min="8" max="8" width="6.75" style="745" customWidth="1"/>
    <col min="9" max="9" width="8.5" style="746" customWidth="1"/>
    <col min="10" max="10" width="5.875" style="684" customWidth="1"/>
    <col min="11" max="11" width="9.5" style="746" customWidth="1"/>
    <col min="12" max="12" width="12.25" style="684" customWidth="1"/>
    <col min="13" max="13" width="12.125" style="684" customWidth="1"/>
    <col min="14" max="14" width="13.5" style="684" customWidth="1"/>
    <col min="15" max="16384" width="8.875" style="684"/>
  </cols>
  <sheetData>
    <row r="1" spans="1:14" ht="30" customHeight="1">
      <c r="A1" s="1479" t="s">
        <v>2561</v>
      </c>
      <c r="B1" s="1479"/>
      <c r="C1" s="1479"/>
      <c r="D1" s="1479"/>
      <c r="E1" s="1479"/>
      <c r="F1" s="1479"/>
      <c r="G1" s="1479"/>
      <c r="H1" s="1479"/>
      <c r="I1" s="1479"/>
      <c r="J1" s="1479"/>
      <c r="K1" s="1479"/>
      <c r="L1" s="1480"/>
      <c r="M1" s="1480"/>
      <c r="N1" s="1481"/>
    </row>
    <row r="2" spans="1:14" s="689" customFormat="1" ht="36">
      <c r="A2" s="685" t="s">
        <v>2559</v>
      </c>
      <c r="B2" s="559" t="s">
        <v>2784</v>
      </c>
      <c r="C2" s="559" t="s">
        <v>2785</v>
      </c>
      <c r="D2" s="686" t="s">
        <v>2560</v>
      </c>
      <c r="E2" s="687" t="s">
        <v>180</v>
      </c>
      <c r="F2" s="687" t="s">
        <v>575</v>
      </c>
      <c r="G2" s="686" t="s">
        <v>576</v>
      </c>
      <c r="H2" s="686" t="s">
        <v>577</v>
      </c>
      <c r="I2" s="687" t="s">
        <v>579</v>
      </c>
      <c r="J2" s="687" t="s">
        <v>578</v>
      </c>
      <c r="K2" s="687" t="s">
        <v>580</v>
      </c>
      <c r="L2" s="562" t="s">
        <v>2579</v>
      </c>
      <c r="M2" s="562" t="s">
        <v>2783</v>
      </c>
      <c r="N2" s="688" t="s">
        <v>1889</v>
      </c>
    </row>
    <row r="3" spans="1:14" s="696" customFormat="1" ht="20.100000000000001" customHeight="1">
      <c r="A3" s="690">
        <v>1</v>
      </c>
      <c r="B3" s="690" t="s">
        <v>2540</v>
      </c>
      <c r="C3" s="690" t="s">
        <v>2541</v>
      </c>
      <c r="D3" s="691" t="s">
        <v>944</v>
      </c>
      <c r="E3" s="692" t="s">
        <v>2536</v>
      </c>
      <c r="F3" s="691" t="s">
        <v>2028</v>
      </c>
      <c r="G3" s="691" t="s">
        <v>2028</v>
      </c>
      <c r="H3" s="691"/>
      <c r="I3" s="693">
        <v>102550</v>
      </c>
      <c r="J3" s="690">
        <v>1</v>
      </c>
      <c r="K3" s="693">
        <f t="shared" ref="K3:K5" si="0">I3*J3</f>
        <v>102550</v>
      </c>
      <c r="L3" s="694">
        <f>K3</f>
        <v>102550</v>
      </c>
      <c r="M3" s="694"/>
      <c r="N3" s="695"/>
    </row>
    <row r="4" spans="1:14" s="696" customFormat="1" ht="20.100000000000001" customHeight="1">
      <c r="A4" s="690">
        <v>1</v>
      </c>
      <c r="B4" s="690" t="s">
        <v>2540</v>
      </c>
      <c r="C4" s="690" t="s">
        <v>2541</v>
      </c>
      <c r="D4" s="691" t="s">
        <v>944</v>
      </c>
      <c r="E4" s="692" t="s">
        <v>2536</v>
      </c>
      <c r="F4" s="691" t="s">
        <v>2029</v>
      </c>
      <c r="G4" s="691" t="s">
        <v>2029</v>
      </c>
      <c r="H4" s="691"/>
      <c r="I4" s="693">
        <v>135050</v>
      </c>
      <c r="J4" s="690">
        <v>1</v>
      </c>
      <c r="K4" s="693">
        <f t="shared" si="0"/>
        <v>135050</v>
      </c>
      <c r="L4" s="694">
        <f t="shared" ref="L4:L12" si="1">K4</f>
        <v>135050</v>
      </c>
      <c r="M4" s="694"/>
      <c r="N4" s="695"/>
    </row>
    <row r="5" spans="1:14" s="703" customFormat="1" ht="20.100000000000001" customHeight="1">
      <c r="A5" s="697">
        <v>1</v>
      </c>
      <c r="B5" s="697" t="s">
        <v>2540</v>
      </c>
      <c r="C5" s="697" t="s">
        <v>2541</v>
      </c>
      <c r="D5" s="698" t="s">
        <v>944</v>
      </c>
      <c r="E5" s="699" t="s">
        <v>2536</v>
      </c>
      <c r="F5" s="698" t="s">
        <v>2542</v>
      </c>
      <c r="G5" s="698" t="s">
        <v>2542</v>
      </c>
      <c r="H5" s="698"/>
      <c r="I5" s="700">
        <v>1260027</v>
      </c>
      <c r="J5" s="697">
        <v>1</v>
      </c>
      <c r="K5" s="700">
        <f t="shared" si="0"/>
        <v>1260027</v>
      </c>
      <c r="L5" s="701">
        <f t="shared" si="1"/>
        <v>1260027</v>
      </c>
      <c r="M5" s="701"/>
      <c r="N5" s="702" t="s">
        <v>2781</v>
      </c>
    </row>
    <row r="6" spans="1:14" s="710" customFormat="1" ht="20.100000000000001" customHeight="1">
      <c r="A6" s="690">
        <v>1</v>
      </c>
      <c r="B6" s="690" t="s">
        <v>2540</v>
      </c>
      <c r="C6" s="690" t="s">
        <v>2541</v>
      </c>
      <c r="D6" s="691" t="s">
        <v>944</v>
      </c>
      <c r="E6" s="699" t="s">
        <v>2536</v>
      </c>
      <c r="F6" s="704" t="s">
        <v>2258</v>
      </c>
      <c r="G6" s="705" t="s">
        <v>2258</v>
      </c>
      <c r="H6" s="706" t="s">
        <v>2155</v>
      </c>
      <c r="I6" s="693">
        <v>689684</v>
      </c>
      <c r="J6" s="690">
        <v>1</v>
      </c>
      <c r="K6" s="707">
        <f>I6*J6</f>
        <v>689684</v>
      </c>
      <c r="L6" s="694">
        <f t="shared" si="1"/>
        <v>689684</v>
      </c>
      <c r="M6" s="708"/>
      <c r="N6" s="709" t="s">
        <v>2780</v>
      </c>
    </row>
    <row r="7" spans="1:14" s="588" customFormat="1" ht="20.100000000000001" customHeight="1">
      <c r="A7" s="690"/>
      <c r="B7" s="557"/>
      <c r="C7" s="690"/>
      <c r="D7" s="711" t="s">
        <v>2543</v>
      </c>
      <c r="E7" s="691"/>
      <c r="F7" s="691"/>
      <c r="G7" s="691"/>
      <c r="H7" s="691"/>
      <c r="I7" s="693"/>
      <c r="J7" s="690"/>
      <c r="K7" s="712">
        <f>SUM(K3:K6)</f>
        <v>2187311</v>
      </c>
      <c r="L7" s="713">
        <f t="shared" ref="L7:M7" si="2">SUM(L3:L6)</f>
        <v>2187311</v>
      </c>
      <c r="M7" s="713">
        <f t="shared" si="2"/>
        <v>0</v>
      </c>
      <c r="N7" s="714"/>
    </row>
    <row r="8" spans="1:14" s="588" customFormat="1" ht="20.100000000000001" customHeight="1">
      <c r="A8" s="715">
        <v>2</v>
      </c>
      <c r="B8" s="716" t="s">
        <v>2540</v>
      </c>
      <c r="C8" s="715" t="s">
        <v>2544</v>
      </c>
      <c r="D8" s="717" t="s">
        <v>2545</v>
      </c>
      <c r="E8" s="692" t="s">
        <v>2536</v>
      </c>
      <c r="F8" s="691" t="s">
        <v>2546</v>
      </c>
      <c r="G8" s="691" t="s">
        <v>2546</v>
      </c>
      <c r="H8" s="691" t="s">
        <v>2038</v>
      </c>
      <c r="I8" s="718">
        <v>13000</v>
      </c>
      <c r="J8" s="719">
        <v>8</v>
      </c>
      <c r="K8" s="718">
        <f>I8*J8</f>
        <v>104000</v>
      </c>
      <c r="L8" s="694">
        <f>K8</f>
        <v>104000</v>
      </c>
      <c r="M8" s="708"/>
      <c r="N8" s="720"/>
    </row>
    <row r="9" spans="1:14" s="588" customFormat="1" ht="20.100000000000001" customHeight="1">
      <c r="A9" s="715">
        <v>2</v>
      </c>
      <c r="B9" s="716" t="s">
        <v>2540</v>
      </c>
      <c r="C9" s="715" t="s">
        <v>2544</v>
      </c>
      <c r="D9" s="717" t="s">
        <v>2545</v>
      </c>
      <c r="E9" s="692" t="s">
        <v>2536</v>
      </c>
      <c r="F9" s="692" t="s">
        <v>2547</v>
      </c>
      <c r="G9" s="692" t="s">
        <v>2547</v>
      </c>
      <c r="H9" s="691" t="s">
        <v>2038</v>
      </c>
      <c r="I9" s="718">
        <v>30000</v>
      </c>
      <c r="J9" s="719">
        <v>1</v>
      </c>
      <c r="K9" s="718">
        <f>I9*J9</f>
        <v>30000</v>
      </c>
      <c r="L9" s="694">
        <f t="shared" si="1"/>
        <v>30000</v>
      </c>
      <c r="M9" s="708"/>
      <c r="N9" s="720"/>
    </row>
    <row r="10" spans="1:14" s="588" customFormat="1" ht="20.100000000000001" customHeight="1">
      <c r="A10" s="721"/>
      <c r="B10" s="722"/>
      <c r="C10" s="715"/>
      <c r="D10" s="711" t="s">
        <v>2543</v>
      </c>
      <c r="E10" s="723"/>
      <c r="F10" s="723"/>
      <c r="G10" s="724"/>
      <c r="H10" s="724"/>
      <c r="I10" s="718"/>
      <c r="J10" s="719"/>
      <c r="K10" s="725">
        <f>SUM(K8:K9)</f>
        <v>134000</v>
      </c>
      <c r="L10" s="726">
        <f t="shared" ref="L10:M10" si="3">SUM(L8:L9)</f>
        <v>134000</v>
      </c>
      <c r="M10" s="726">
        <f t="shared" si="3"/>
        <v>0</v>
      </c>
      <c r="N10" s="727"/>
    </row>
    <row r="11" spans="1:14" s="588" customFormat="1" ht="20.100000000000001" customHeight="1">
      <c r="A11" s="715">
        <v>3</v>
      </c>
      <c r="B11" s="716" t="s">
        <v>2540</v>
      </c>
      <c r="C11" s="715" t="s">
        <v>2544</v>
      </c>
      <c r="D11" s="717" t="s">
        <v>2548</v>
      </c>
      <c r="E11" s="692" t="s">
        <v>2536</v>
      </c>
      <c r="F11" s="691" t="s">
        <v>2537</v>
      </c>
      <c r="G11" s="691" t="s">
        <v>2537</v>
      </c>
      <c r="H11" s="691" t="s">
        <v>1965</v>
      </c>
      <c r="I11" s="718">
        <v>5000</v>
      </c>
      <c r="J11" s="719">
        <v>20</v>
      </c>
      <c r="K11" s="718">
        <f>I11*J11</f>
        <v>100000</v>
      </c>
      <c r="L11" s="694">
        <f t="shared" si="1"/>
        <v>100000</v>
      </c>
      <c r="M11" s="708"/>
      <c r="N11" s="720"/>
    </row>
    <row r="12" spans="1:14" s="588" customFormat="1" ht="20.100000000000001" customHeight="1">
      <c r="A12" s="715">
        <v>3</v>
      </c>
      <c r="B12" s="716" t="s">
        <v>2540</v>
      </c>
      <c r="C12" s="715" t="s">
        <v>2544</v>
      </c>
      <c r="D12" s="717" t="s">
        <v>2548</v>
      </c>
      <c r="E12" s="692" t="s">
        <v>2536</v>
      </c>
      <c r="F12" s="691" t="s">
        <v>2549</v>
      </c>
      <c r="G12" s="691" t="s">
        <v>2549</v>
      </c>
      <c r="H12" s="691" t="s">
        <v>2078</v>
      </c>
      <c r="I12" s="718">
        <v>15000</v>
      </c>
      <c r="J12" s="719">
        <v>6</v>
      </c>
      <c r="K12" s="718">
        <f>I12*J12</f>
        <v>90000</v>
      </c>
      <c r="L12" s="694">
        <f t="shared" si="1"/>
        <v>90000</v>
      </c>
      <c r="M12" s="708"/>
      <c r="N12" s="720"/>
    </row>
    <row r="13" spans="1:14" s="588" customFormat="1" ht="20.100000000000001" customHeight="1">
      <c r="A13" s="715">
        <v>3</v>
      </c>
      <c r="B13" s="716" t="s">
        <v>2540</v>
      </c>
      <c r="C13" s="715" t="s">
        <v>2544</v>
      </c>
      <c r="D13" s="717" t="s">
        <v>2548</v>
      </c>
      <c r="E13" s="692" t="s">
        <v>2536</v>
      </c>
      <c r="F13" s="692" t="s">
        <v>2550</v>
      </c>
      <c r="G13" s="692" t="s">
        <v>2550</v>
      </c>
      <c r="H13" s="691"/>
      <c r="I13" s="718">
        <v>100000</v>
      </c>
      <c r="J13" s="719">
        <v>2</v>
      </c>
      <c r="K13" s="718">
        <f t="shared" ref="K13:K15" si="4">I13*J13</f>
        <v>200000</v>
      </c>
      <c r="L13" s="694">
        <v>108689</v>
      </c>
      <c r="M13" s="708">
        <v>91311</v>
      </c>
      <c r="N13" s="720"/>
    </row>
    <row r="14" spans="1:14" s="588" customFormat="1" ht="20.100000000000001" customHeight="1">
      <c r="A14" s="715">
        <v>3</v>
      </c>
      <c r="B14" s="716" t="s">
        <v>2540</v>
      </c>
      <c r="C14" s="715" t="s">
        <v>2544</v>
      </c>
      <c r="D14" s="717" t="s">
        <v>2548</v>
      </c>
      <c r="E14" s="692" t="s">
        <v>2536</v>
      </c>
      <c r="F14" s="692" t="s">
        <v>2551</v>
      </c>
      <c r="G14" s="691" t="s">
        <v>2552</v>
      </c>
      <c r="H14" s="691" t="s">
        <v>1965</v>
      </c>
      <c r="I14" s="718">
        <v>13000</v>
      </c>
      <c r="J14" s="719">
        <v>9</v>
      </c>
      <c r="K14" s="718">
        <f t="shared" si="4"/>
        <v>117000</v>
      </c>
      <c r="L14" s="708"/>
      <c r="M14" s="708">
        <f>K14</f>
        <v>117000</v>
      </c>
      <c r="N14" s="720"/>
    </row>
    <row r="15" spans="1:14" s="588" customFormat="1" ht="20.100000000000001" customHeight="1">
      <c r="A15" s="715">
        <v>3</v>
      </c>
      <c r="B15" s="716" t="s">
        <v>2540</v>
      </c>
      <c r="C15" s="715" t="s">
        <v>2544</v>
      </c>
      <c r="D15" s="717" t="s">
        <v>2548</v>
      </c>
      <c r="E15" s="692" t="s">
        <v>2536</v>
      </c>
      <c r="F15" s="691" t="s">
        <v>2538</v>
      </c>
      <c r="G15" s="691" t="s">
        <v>2538</v>
      </c>
      <c r="H15" s="691" t="s">
        <v>2078</v>
      </c>
      <c r="I15" s="718">
        <v>150000</v>
      </c>
      <c r="J15" s="719">
        <v>1</v>
      </c>
      <c r="K15" s="718">
        <f t="shared" si="4"/>
        <v>150000</v>
      </c>
      <c r="L15" s="708"/>
      <c r="M15" s="708">
        <f t="shared" ref="M15:M18" si="5">K15</f>
        <v>150000</v>
      </c>
      <c r="N15" s="720"/>
    </row>
    <row r="16" spans="1:14" s="588" customFormat="1" ht="20.100000000000001" customHeight="1">
      <c r="A16" s="728"/>
      <c r="B16" s="729"/>
      <c r="C16" s="730"/>
      <c r="D16" s="731" t="s">
        <v>2543</v>
      </c>
      <c r="E16" s="732"/>
      <c r="F16" s="732"/>
      <c r="G16" s="733"/>
      <c r="H16" s="733"/>
      <c r="I16" s="734"/>
      <c r="J16" s="735"/>
      <c r="K16" s="736">
        <f>SUM(K11:K15)</f>
        <v>657000</v>
      </c>
      <c r="L16" s="726">
        <f t="shared" ref="L16" si="6">SUM(L11:L15)</f>
        <v>298689</v>
      </c>
      <c r="M16" s="726">
        <f>SUM(M11:M15)</f>
        <v>358311</v>
      </c>
      <c r="N16" s="737"/>
    </row>
    <row r="17" spans="1:14" s="588" customFormat="1" ht="20.100000000000001" customHeight="1">
      <c r="A17" s="715">
        <v>4</v>
      </c>
      <c r="B17" s="716" t="s">
        <v>2540</v>
      </c>
      <c r="C17" s="715" t="s">
        <v>2553</v>
      </c>
      <c r="D17" s="717" t="s">
        <v>2554</v>
      </c>
      <c r="E17" s="692" t="s">
        <v>2536</v>
      </c>
      <c r="F17" s="692" t="s">
        <v>2555</v>
      </c>
      <c r="G17" s="691" t="s">
        <v>2556</v>
      </c>
      <c r="H17" s="691"/>
      <c r="I17" s="693">
        <v>7600</v>
      </c>
      <c r="J17" s="690">
        <v>43</v>
      </c>
      <c r="K17" s="693">
        <f>I17*J17</f>
        <v>326800</v>
      </c>
      <c r="L17" s="708"/>
      <c r="M17" s="708">
        <f t="shared" si="5"/>
        <v>326800</v>
      </c>
      <c r="N17" s="738"/>
    </row>
    <row r="18" spans="1:14" s="588" customFormat="1" ht="20.100000000000001" customHeight="1">
      <c r="A18" s="715">
        <v>4</v>
      </c>
      <c r="B18" s="716" t="s">
        <v>2540</v>
      </c>
      <c r="C18" s="715" t="s">
        <v>2553</v>
      </c>
      <c r="D18" s="717" t="s">
        <v>2557</v>
      </c>
      <c r="E18" s="692" t="s">
        <v>2536</v>
      </c>
      <c r="F18" s="692" t="s">
        <v>2555</v>
      </c>
      <c r="G18" s="691" t="s">
        <v>2556</v>
      </c>
      <c r="H18" s="691"/>
      <c r="I18" s="693">
        <v>7600</v>
      </c>
      <c r="J18" s="690">
        <v>13</v>
      </c>
      <c r="K18" s="693">
        <f>I18*J18</f>
        <v>98800</v>
      </c>
      <c r="L18" s="708"/>
      <c r="M18" s="708">
        <f t="shared" si="5"/>
        <v>98800</v>
      </c>
      <c r="N18" s="738"/>
    </row>
    <row r="19" spans="1:14" s="588" customFormat="1" ht="20.100000000000001" customHeight="1">
      <c r="A19" s="739"/>
      <c r="B19" s="708"/>
      <c r="C19" s="739"/>
      <c r="D19" s="685" t="s">
        <v>2543</v>
      </c>
      <c r="E19" s="740"/>
      <c r="F19" s="740"/>
      <c r="G19" s="740"/>
      <c r="H19" s="740"/>
      <c r="I19" s="741"/>
      <c r="J19" s="739"/>
      <c r="K19" s="713">
        <f>SUM(K17:K18)</f>
        <v>425600</v>
      </c>
      <c r="L19" s="713">
        <f t="shared" ref="L19:M19" si="7">SUM(L17:L18)</f>
        <v>0</v>
      </c>
      <c r="M19" s="713">
        <f t="shared" si="7"/>
        <v>425600</v>
      </c>
      <c r="N19" s="742"/>
    </row>
    <row r="20" spans="1:14" s="588" customFormat="1" ht="20.100000000000001" customHeight="1">
      <c r="A20" s="708"/>
      <c r="B20" s="708"/>
      <c r="C20" s="708"/>
      <c r="D20" s="685" t="s">
        <v>2558</v>
      </c>
      <c r="E20" s="743"/>
      <c r="F20" s="743"/>
      <c r="G20" s="743"/>
      <c r="H20" s="743"/>
      <c r="I20" s="744"/>
      <c r="J20" s="708"/>
      <c r="K20" s="713">
        <f>SUM(K3:K19)/2</f>
        <v>3403911</v>
      </c>
      <c r="L20" s="713">
        <f t="shared" ref="L20:M20" si="8">SUM(L3:L19)/2</f>
        <v>2620000</v>
      </c>
      <c r="M20" s="713">
        <f t="shared" si="8"/>
        <v>783911</v>
      </c>
      <c r="N20" s="742"/>
    </row>
    <row r="25" spans="1:14">
      <c r="F25" s="745" t="s">
        <v>2497</v>
      </c>
    </row>
  </sheetData>
  <mergeCells count="1">
    <mergeCell ref="A1:N1"/>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2"/>
  <sheetViews>
    <sheetView topLeftCell="A82" workbookViewId="0">
      <selection activeCell="C88" sqref="C88"/>
    </sheetView>
  </sheetViews>
  <sheetFormatPr defaultColWidth="8.875" defaultRowHeight="15"/>
  <cols>
    <col min="1" max="1" width="5.125" style="747" customWidth="1"/>
    <col min="2" max="2" width="7.375" style="747" customWidth="1"/>
    <col min="3" max="3" width="7.75" style="747" customWidth="1"/>
    <col min="4" max="4" width="16.25" style="841" customWidth="1"/>
    <col min="5" max="5" width="13.75" style="747" customWidth="1"/>
    <col min="6" max="6" width="20.125" style="841" customWidth="1"/>
    <col min="7" max="7" width="15.125" style="841" customWidth="1"/>
    <col min="8" max="8" width="7.25" style="841" customWidth="1"/>
    <col min="9" max="9" width="8.25" style="842" customWidth="1"/>
    <col min="10" max="10" width="6.75" style="843" customWidth="1"/>
    <col min="11" max="11" width="10.375" style="842" customWidth="1"/>
    <col min="12" max="12" width="13.375" style="844" customWidth="1"/>
    <col min="13" max="13" width="12" style="844" customWidth="1"/>
    <col min="14" max="14" width="11.375" style="844" customWidth="1"/>
    <col min="15" max="15" width="12.375" style="841" customWidth="1"/>
    <col min="16" max="16384" width="8.875" style="747"/>
  </cols>
  <sheetData>
    <row r="1" spans="1:15" ht="30" customHeight="1">
      <c r="A1" s="1490" t="s">
        <v>2642</v>
      </c>
      <c r="B1" s="1490"/>
      <c r="C1" s="1490"/>
      <c r="D1" s="1490"/>
      <c r="E1" s="1490"/>
      <c r="F1" s="1490"/>
      <c r="G1" s="1490"/>
      <c r="H1" s="1490"/>
      <c r="I1" s="1490"/>
      <c r="J1" s="1490"/>
      <c r="K1" s="1490"/>
      <c r="L1" s="1491"/>
      <c r="M1" s="1491"/>
      <c r="N1" s="1491"/>
      <c r="O1" s="1492"/>
    </row>
    <row r="2" spans="1:15" s="753" customFormat="1" ht="38.25" customHeight="1">
      <c r="A2" s="748" t="s">
        <v>2559</v>
      </c>
      <c r="B2" s="559" t="s">
        <v>2784</v>
      </c>
      <c r="C2" s="559" t="s">
        <v>2785</v>
      </c>
      <c r="D2" s="749" t="s">
        <v>2560</v>
      </c>
      <c r="E2" s="750" t="s">
        <v>180</v>
      </c>
      <c r="F2" s="750" t="s">
        <v>575</v>
      </c>
      <c r="G2" s="749" t="s">
        <v>576</v>
      </c>
      <c r="H2" s="749" t="s">
        <v>577</v>
      </c>
      <c r="I2" s="750" t="s">
        <v>579</v>
      </c>
      <c r="J2" s="750" t="s">
        <v>578</v>
      </c>
      <c r="K2" s="750" t="s">
        <v>580</v>
      </c>
      <c r="L2" s="751" t="s">
        <v>2579</v>
      </c>
      <c r="M2" s="751" t="s">
        <v>2786</v>
      </c>
      <c r="N2" s="562" t="s">
        <v>2783</v>
      </c>
      <c r="O2" s="752" t="s">
        <v>1889</v>
      </c>
    </row>
    <row r="3" spans="1:15" s="753" customFormat="1" ht="20.100000000000001" customHeight="1">
      <c r="A3" s="754">
        <v>1</v>
      </c>
      <c r="B3" s="754" t="s">
        <v>2491</v>
      </c>
      <c r="C3" s="754" t="s">
        <v>1737</v>
      </c>
      <c r="D3" s="755" t="s">
        <v>2643</v>
      </c>
      <c r="E3" s="756" t="s">
        <v>2536</v>
      </c>
      <c r="F3" s="757" t="s">
        <v>2555</v>
      </c>
      <c r="G3" s="757" t="s">
        <v>2556</v>
      </c>
      <c r="H3" s="755"/>
      <c r="I3" s="758">
        <v>7600</v>
      </c>
      <c r="J3" s="754">
        <v>26</v>
      </c>
      <c r="K3" s="758">
        <f>I3*J3</f>
        <v>197600</v>
      </c>
      <c r="L3" s="759">
        <f>K3</f>
        <v>197600</v>
      </c>
      <c r="M3" s="759"/>
      <c r="N3" s="759"/>
      <c r="O3" s="760"/>
    </row>
    <row r="4" spans="1:15" s="753" customFormat="1" ht="20.100000000000001" customHeight="1">
      <c r="A4" s="761"/>
      <c r="B4" s="762"/>
      <c r="C4" s="761"/>
      <c r="D4" s="761" t="s">
        <v>2262</v>
      </c>
      <c r="E4" s="761"/>
      <c r="F4" s="763"/>
      <c r="G4" s="763"/>
      <c r="H4" s="763"/>
      <c r="I4" s="764"/>
      <c r="J4" s="761"/>
      <c r="K4" s="764">
        <f>SUM(K3:K3)</f>
        <v>197600</v>
      </c>
      <c r="L4" s="765">
        <f t="shared" ref="L4:N4" si="0">SUM(L3:L3)</f>
        <v>197600</v>
      </c>
      <c r="M4" s="765">
        <f t="shared" si="0"/>
        <v>0</v>
      </c>
      <c r="N4" s="765">
        <f t="shared" si="0"/>
        <v>0</v>
      </c>
      <c r="O4" s="766"/>
    </row>
    <row r="5" spans="1:15" s="753" customFormat="1" ht="20.100000000000001" customHeight="1">
      <c r="A5" s="754">
        <v>2</v>
      </c>
      <c r="B5" s="754" t="s">
        <v>2491</v>
      </c>
      <c r="C5" s="754" t="s">
        <v>1737</v>
      </c>
      <c r="D5" s="755" t="s">
        <v>915</v>
      </c>
      <c r="E5" s="756" t="s">
        <v>2536</v>
      </c>
      <c r="F5" s="755" t="s">
        <v>2439</v>
      </c>
      <c r="G5" s="755" t="s">
        <v>2439</v>
      </c>
      <c r="H5" s="755" t="s">
        <v>2644</v>
      </c>
      <c r="I5" s="758">
        <v>170000</v>
      </c>
      <c r="J5" s="754">
        <v>1</v>
      </c>
      <c r="K5" s="758">
        <f>I5*J5</f>
        <v>170000</v>
      </c>
      <c r="L5" s="759">
        <f>K5</f>
        <v>170000</v>
      </c>
      <c r="M5" s="759"/>
      <c r="N5" s="759"/>
      <c r="O5" s="767" t="s">
        <v>2439</v>
      </c>
    </row>
    <row r="6" spans="1:15" s="753" customFormat="1" ht="20.100000000000001" customHeight="1">
      <c r="A6" s="754">
        <v>2</v>
      </c>
      <c r="B6" s="754" t="s">
        <v>2491</v>
      </c>
      <c r="C6" s="754" t="s">
        <v>1737</v>
      </c>
      <c r="D6" s="755" t="s">
        <v>915</v>
      </c>
      <c r="E6" s="756" t="s">
        <v>2536</v>
      </c>
      <c r="F6" s="755" t="s">
        <v>2440</v>
      </c>
      <c r="G6" s="768" t="s">
        <v>2645</v>
      </c>
      <c r="H6" s="755" t="s">
        <v>2054</v>
      </c>
      <c r="I6" s="758">
        <v>22000</v>
      </c>
      <c r="J6" s="754">
        <v>1</v>
      </c>
      <c r="K6" s="758">
        <f>I6*J6</f>
        <v>22000</v>
      </c>
      <c r="L6" s="759">
        <f t="shared" ref="L6:L33" si="1">K6</f>
        <v>22000</v>
      </c>
      <c r="M6" s="759"/>
      <c r="N6" s="759"/>
      <c r="O6" s="767" t="s">
        <v>2441</v>
      </c>
    </row>
    <row r="7" spans="1:15" s="753" customFormat="1" ht="20.100000000000001" customHeight="1">
      <c r="A7" s="754">
        <v>2</v>
      </c>
      <c r="B7" s="754" t="s">
        <v>2491</v>
      </c>
      <c r="C7" s="754" t="s">
        <v>1737</v>
      </c>
      <c r="D7" s="755" t="s">
        <v>915</v>
      </c>
      <c r="E7" s="756" t="s">
        <v>2536</v>
      </c>
      <c r="F7" s="755" t="s">
        <v>2440</v>
      </c>
      <c r="G7" s="755" t="s">
        <v>2442</v>
      </c>
      <c r="H7" s="755" t="s">
        <v>2443</v>
      </c>
      <c r="I7" s="758">
        <v>70000</v>
      </c>
      <c r="J7" s="754">
        <v>1</v>
      </c>
      <c r="K7" s="758">
        <v>0</v>
      </c>
      <c r="L7" s="759">
        <f t="shared" si="1"/>
        <v>0</v>
      </c>
      <c r="M7" s="759"/>
      <c r="N7" s="759"/>
      <c r="O7" s="767" t="s">
        <v>2441</v>
      </c>
    </row>
    <row r="8" spans="1:15" s="753" customFormat="1" ht="20.100000000000001" customHeight="1">
      <c r="A8" s="754">
        <v>2</v>
      </c>
      <c r="B8" s="754" t="s">
        <v>2491</v>
      </c>
      <c r="C8" s="754" t="s">
        <v>1737</v>
      </c>
      <c r="D8" s="755" t="s">
        <v>915</v>
      </c>
      <c r="E8" s="756" t="s">
        <v>2536</v>
      </c>
      <c r="F8" s="755" t="s">
        <v>2440</v>
      </c>
      <c r="G8" s="755" t="s">
        <v>2444</v>
      </c>
      <c r="H8" s="755"/>
      <c r="I8" s="758">
        <v>21500</v>
      </c>
      <c r="J8" s="754">
        <v>1</v>
      </c>
      <c r="K8" s="758">
        <v>0</v>
      </c>
      <c r="L8" s="759">
        <f t="shared" si="1"/>
        <v>0</v>
      </c>
      <c r="M8" s="759"/>
      <c r="N8" s="759"/>
      <c r="O8" s="767" t="s">
        <v>2441</v>
      </c>
    </row>
    <row r="9" spans="1:15" s="753" customFormat="1" ht="20.100000000000001" customHeight="1">
      <c r="A9" s="754">
        <v>2</v>
      </c>
      <c r="B9" s="754" t="s">
        <v>2491</v>
      </c>
      <c r="C9" s="754" t="s">
        <v>1737</v>
      </c>
      <c r="D9" s="755" t="s">
        <v>915</v>
      </c>
      <c r="E9" s="756" t="s">
        <v>2536</v>
      </c>
      <c r="F9" s="755" t="s">
        <v>2440</v>
      </c>
      <c r="G9" s="768" t="s">
        <v>2645</v>
      </c>
      <c r="H9" s="755" t="s">
        <v>2054</v>
      </c>
      <c r="I9" s="758">
        <v>22000</v>
      </c>
      <c r="J9" s="754">
        <v>4</v>
      </c>
      <c r="K9" s="758">
        <f>I9*J9</f>
        <v>88000</v>
      </c>
      <c r="L9" s="759">
        <f t="shared" si="1"/>
        <v>88000</v>
      </c>
      <c r="M9" s="759"/>
      <c r="N9" s="759"/>
      <c r="O9" s="767" t="s">
        <v>2445</v>
      </c>
    </row>
    <row r="10" spans="1:15" s="753" customFormat="1" ht="20.100000000000001" customHeight="1">
      <c r="A10" s="754">
        <v>2</v>
      </c>
      <c r="B10" s="754" t="s">
        <v>2491</v>
      </c>
      <c r="C10" s="754" t="s">
        <v>1737</v>
      </c>
      <c r="D10" s="755" t="s">
        <v>915</v>
      </c>
      <c r="E10" s="756" t="s">
        <v>2536</v>
      </c>
      <c r="F10" s="755" t="s">
        <v>2446</v>
      </c>
      <c r="G10" s="755" t="s">
        <v>2102</v>
      </c>
      <c r="H10" s="755" t="s">
        <v>2447</v>
      </c>
      <c r="I10" s="758">
        <v>12000</v>
      </c>
      <c r="J10" s="754">
        <v>13</v>
      </c>
      <c r="K10" s="758">
        <f>I10*J10</f>
        <v>156000</v>
      </c>
      <c r="L10" s="759">
        <f t="shared" si="1"/>
        <v>156000</v>
      </c>
      <c r="M10" s="759"/>
      <c r="N10" s="759"/>
      <c r="O10" s="767" t="s">
        <v>2448</v>
      </c>
    </row>
    <row r="11" spans="1:15" s="753" customFormat="1" ht="20.100000000000001" customHeight="1">
      <c r="A11" s="754">
        <v>2</v>
      </c>
      <c r="B11" s="754" t="s">
        <v>2491</v>
      </c>
      <c r="C11" s="754" t="s">
        <v>1737</v>
      </c>
      <c r="D11" s="755" t="s">
        <v>915</v>
      </c>
      <c r="E11" s="756" t="s">
        <v>2536</v>
      </c>
      <c r="F11" s="755" t="s">
        <v>2446</v>
      </c>
      <c r="G11" s="755" t="s">
        <v>2102</v>
      </c>
      <c r="H11" s="755" t="s">
        <v>2449</v>
      </c>
      <c r="I11" s="758">
        <v>5000</v>
      </c>
      <c r="J11" s="754">
        <v>8</v>
      </c>
      <c r="K11" s="758">
        <f t="shared" ref="K11:K34" si="2">I11*J11</f>
        <v>40000</v>
      </c>
      <c r="L11" s="759">
        <f t="shared" si="1"/>
        <v>40000</v>
      </c>
      <c r="M11" s="759"/>
      <c r="N11" s="759"/>
      <c r="O11" s="767" t="s">
        <v>2450</v>
      </c>
    </row>
    <row r="12" spans="1:15" s="753" customFormat="1" ht="20.100000000000001" customHeight="1">
      <c r="A12" s="754">
        <v>2</v>
      </c>
      <c r="B12" s="754" t="s">
        <v>2491</v>
      </c>
      <c r="C12" s="754" t="s">
        <v>1737</v>
      </c>
      <c r="D12" s="755" t="s">
        <v>915</v>
      </c>
      <c r="E12" s="756" t="s">
        <v>2536</v>
      </c>
      <c r="F12" s="755" t="s">
        <v>2446</v>
      </c>
      <c r="G12" s="755" t="s">
        <v>2102</v>
      </c>
      <c r="H12" s="755" t="s">
        <v>2451</v>
      </c>
      <c r="I12" s="758">
        <v>100000</v>
      </c>
      <c r="J12" s="754">
        <v>1</v>
      </c>
      <c r="K12" s="758">
        <f t="shared" si="2"/>
        <v>100000</v>
      </c>
      <c r="L12" s="759">
        <f t="shared" si="1"/>
        <v>100000</v>
      </c>
      <c r="M12" s="759"/>
      <c r="N12" s="759"/>
      <c r="O12" s="767" t="s">
        <v>2452</v>
      </c>
    </row>
    <row r="13" spans="1:15" s="753" customFormat="1" ht="20.100000000000001" customHeight="1">
      <c r="A13" s="754">
        <v>2</v>
      </c>
      <c r="B13" s="754" t="s">
        <v>2491</v>
      </c>
      <c r="C13" s="754" t="s">
        <v>1737</v>
      </c>
      <c r="D13" s="755" t="s">
        <v>915</v>
      </c>
      <c r="E13" s="756" t="s">
        <v>2536</v>
      </c>
      <c r="F13" s="755" t="s">
        <v>2446</v>
      </c>
      <c r="G13" s="755" t="s">
        <v>2102</v>
      </c>
      <c r="H13" s="755" t="s">
        <v>2453</v>
      </c>
      <c r="I13" s="758">
        <v>10000</v>
      </c>
      <c r="J13" s="754">
        <v>13</v>
      </c>
      <c r="K13" s="758">
        <f t="shared" si="2"/>
        <v>130000</v>
      </c>
      <c r="L13" s="759">
        <f t="shared" si="1"/>
        <v>130000</v>
      </c>
      <c r="M13" s="759"/>
      <c r="N13" s="759"/>
      <c r="O13" s="767" t="s">
        <v>2454</v>
      </c>
    </row>
    <row r="14" spans="1:15" s="753" customFormat="1" ht="20.100000000000001" customHeight="1">
      <c r="A14" s="754">
        <v>2</v>
      </c>
      <c r="B14" s="754" t="s">
        <v>2491</v>
      </c>
      <c r="C14" s="754" t="s">
        <v>1737</v>
      </c>
      <c r="D14" s="755" t="s">
        <v>915</v>
      </c>
      <c r="E14" s="756" t="s">
        <v>2536</v>
      </c>
      <c r="F14" s="755" t="s">
        <v>2446</v>
      </c>
      <c r="G14" s="755" t="s">
        <v>2102</v>
      </c>
      <c r="H14" s="755" t="s">
        <v>2455</v>
      </c>
      <c r="I14" s="758">
        <v>100312.5</v>
      </c>
      <c r="J14" s="754">
        <v>1</v>
      </c>
      <c r="K14" s="758">
        <f t="shared" si="2"/>
        <v>100312.5</v>
      </c>
      <c r="L14" s="759">
        <f t="shared" si="1"/>
        <v>100312.5</v>
      </c>
      <c r="M14" s="759"/>
      <c r="N14" s="759"/>
      <c r="O14" s="767" t="s">
        <v>2456</v>
      </c>
    </row>
    <row r="15" spans="1:15" s="753" customFormat="1" ht="20.100000000000001" customHeight="1">
      <c r="A15" s="754">
        <v>2</v>
      </c>
      <c r="B15" s="754" t="s">
        <v>2491</v>
      </c>
      <c r="C15" s="754" t="s">
        <v>1737</v>
      </c>
      <c r="D15" s="755" t="s">
        <v>915</v>
      </c>
      <c r="E15" s="756" t="s">
        <v>2536</v>
      </c>
      <c r="F15" s="755" t="s">
        <v>2446</v>
      </c>
      <c r="G15" s="755" t="s">
        <v>2102</v>
      </c>
      <c r="H15" s="755" t="s">
        <v>2453</v>
      </c>
      <c r="I15" s="758">
        <v>10000</v>
      </c>
      <c r="J15" s="754">
        <v>16</v>
      </c>
      <c r="K15" s="758">
        <f t="shared" si="2"/>
        <v>160000</v>
      </c>
      <c r="L15" s="759">
        <f t="shared" si="1"/>
        <v>160000</v>
      </c>
      <c r="M15" s="759"/>
      <c r="N15" s="759"/>
      <c r="O15" s="767" t="s">
        <v>2457</v>
      </c>
    </row>
    <row r="16" spans="1:15" s="753" customFormat="1" ht="20.100000000000001" customHeight="1">
      <c r="A16" s="754">
        <v>2</v>
      </c>
      <c r="B16" s="754" t="s">
        <v>2491</v>
      </c>
      <c r="C16" s="754" t="s">
        <v>1737</v>
      </c>
      <c r="D16" s="755" t="s">
        <v>915</v>
      </c>
      <c r="E16" s="756" t="s">
        <v>2536</v>
      </c>
      <c r="F16" s="755" t="s">
        <v>2458</v>
      </c>
      <c r="G16" s="755" t="s">
        <v>2459</v>
      </c>
      <c r="H16" s="755" t="s">
        <v>2460</v>
      </c>
      <c r="I16" s="758">
        <v>2000</v>
      </c>
      <c r="J16" s="754">
        <v>1</v>
      </c>
      <c r="K16" s="758">
        <f t="shared" si="2"/>
        <v>2000</v>
      </c>
      <c r="L16" s="759">
        <f t="shared" si="1"/>
        <v>2000</v>
      </c>
      <c r="M16" s="759"/>
      <c r="N16" s="759"/>
      <c r="O16" s="767" t="s">
        <v>2461</v>
      </c>
    </row>
    <row r="17" spans="1:15" s="753" customFormat="1" ht="20.100000000000001" customHeight="1">
      <c r="A17" s="754">
        <v>2</v>
      </c>
      <c r="B17" s="754" t="s">
        <v>2491</v>
      </c>
      <c r="C17" s="754" t="s">
        <v>1737</v>
      </c>
      <c r="D17" s="755" t="s">
        <v>915</v>
      </c>
      <c r="E17" s="756" t="s">
        <v>2536</v>
      </c>
      <c r="F17" s="755" t="s">
        <v>2458</v>
      </c>
      <c r="G17" s="755" t="s">
        <v>2061</v>
      </c>
      <c r="H17" s="755" t="s">
        <v>2462</v>
      </c>
      <c r="I17" s="758">
        <v>400</v>
      </c>
      <c r="J17" s="754">
        <v>40</v>
      </c>
      <c r="K17" s="758">
        <f t="shared" si="2"/>
        <v>16000</v>
      </c>
      <c r="L17" s="759">
        <f t="shared" si="1"/>
        <v>16000</v>
      </c>
      <c r="M17" s="759"/>
      <c r="N17" s="759"/>
      <c r="O17" s="767" t="s">
        <v>2461</v>
      </c>
    </row>
    <row r="18" spans="1:15" s="753" customFormat="1" ht="20.100000000000001" customHeight="1">
      <c r="A18" s="754">
        <v>2</v>
      </c>
      <c r="B18" s="754" t="s">
        <v>2646</v>
      </c>
      <c r="C18" s="754" t="s">
        <v>2647</v>
      </c>
      <c r="D18" s="755" t="s">
        <v>915</v>
      </c>
      <c r="E18" s="756" t="s">
        <v>2536</v>
      </c>
      <c r="F18" s="755" t="s">
        <v>2458</v>
      </c>
      <c r="G18" s="755" t="s">
        <v>2463</v>
      </c>
      <c r="H18" s="755" t="s">
        <v>2464</v>
      </c>
      <c r="I18" s="758">
        <v>2500</v>
      </c>
      <c r="J18" s="754">
        <v>1</v>
      </c>
      <c r="K18" s="758">
        <f t="shared" si="2"/>
        <v>2500</v>
      </c>
      <c r="L18" s="759">
        <f t="shared" si="1"/>
        <v>2500</v>
      </c>
      <c r="M18" s="759"/>
      <c r="N18" s="759"/>
      <c r="O18" s="767" t="s">
        <v>2465</v>
      </c>
    </row>
    <row r="19" spans="1:15" s="753" customFormat="1" ht="20.100000000000001" customHeight="1">
      <c r="A19" s="754">
        <v>2</v>
      </c>
      <c r="B19" s="754" t="s">
        <v>2648</v>
      </c>
      <c r="C19" s="754" t="s">
        <v>2649</v>
      </c>
      <c r="D19" s="755" t="s">
        <v>915</v>
      </c>
      <c r="E19" s="756" t="s">
        <v>2536</v>
      </c>
      <c r="F19" s="755" t="s">
        <v>2458</v>
      </c>
      <c r="G19" s="755" t="s">
        <v>2459</v>
      </c>
      <c r="H19" s="755" t="s">
        <v>2074</v>
      </c>
      <c r="I19" s="758">
        <v>2000</v>
      </c>
      <c r="J19" s="754">
        <v>1</v>
      </c>
      <c r="K19" s="758">
        <f t="shared" si="2"/>
        <v>2000</v>
      </c>
      <c r="L19" s="759">
        <f t="shared" si="1"/>
        <v>2000</v>
      </c>
      <c r="M19" s="759"/>
      <c r="N19" s="759"/>
      <c r="O19" s="767" t="s">
        <v>2466</v>
      </c>
    </row>
    <row r="20" spans="1:15" s="753" customFormat="1" ht="20.100000000000001" customHeight="1">
      <c r="A20" s="754">
        <v>2</v>
      </c>
      <c r="B20" s="754" t="s">
        <v>2648</v>
      </c>
      <c r="C20" s="754" t="s">
        <v>2649</v>
      </c>
      <c r="D20" s="755" t="s">
        <v>915</v>
      </c>
      <c r="E20" s="756" t="s">
        <v>2536</v>
      </c>
      <c r="F20" s="755" t="s">
        <v>2458</v>
      </c>
      <c r="G20" s="755" t="s">
        <v>2135</v>
      </c>
      <c r="H20" s="769" t="s">
        <v>2077</v>
      </c>
      <c r="I20" s="758">
        <v>3000</v>
      </c>
      <c r="J20" s="754">
        <v>10</v>
      </c>
      <c r="K20" s="758">
        <f t="shared" si="2"/>
        <v>30000</v>
      </c>
      <c r="L20" s="759">
        <f t="shared" si="1"/>
        <v>30000</v>
      </c>
      <c r="M20" s="759"/>
      <c r="N20" s="759"/>
      <c r="O20" s="767" t="s">
        <v>2466</v>
      </c>
    </row>
    <row r="21" spans="1:15" s="753" customFormat="1" ht="20.100000000000001" customHeight="1">
      <c r="A21" s="754">
        <v>2</v>
      </c>
      <c r="B21" s="754" t="s">
        <v>2648</v>
      </c>
      <c r="C21" s="754" t="s">
        <v>2649</v>
      </c>
      <c r="D21" s="755" t="s">
        <v>915</v>
      </c>
      <c r="E21" s="756" t="s">
        <v>2536</v>
      </c>
      <c r="F21" s="755" t="s">
        <v>2458</v>
      </c>
      <c r="G21" s="755" t="s">
        <v>1983</v>
      </c>
      <c r="H21" s="755" t="s">
        <v>2467</v>
      </c>
      <c r="I21" s="758">
        <v>6500</v>
      </c>
      <c r="J21" s="754">
        <v>1</v>
      </c>
      <c r="K21" s="758">
        <f t="shared" si="2"/>
        <v>6500</v>
      </c>
      <c r="L21" s="759">
        <f t="shared" si="1"/>
        <v>6500</v>
      </c>
      <c r="M21" s="759"/>
      <c r="N21" s="759"/>
      <c r="O21" s="767" t="s">
        <v>2468</v>
      </c>
    </row>
    <row r="22" spans="1:15" s="753" customFormat="1" ht="20.100000000000001" customHeight="1">
      <c r="A22" s="754">
        <v>2</v>
      </c>
      <c r="B22" s="754" t="s">
        <v>2650</v>
      </c>
      <c r="C22" s="754" t="s">
        <v>2651</v>
      </c>
      <c r="D22" s="755" t="s">
        <v>915</v>
      </c>
      <c r="E22" s="756" t="s">
        <v>2536</v>
      </c>
      <c r="F22" s="755" t="s">
        <v>2458</v>
      </c>
      <c r="G22" s="755" t="s">
        <v>2096</v>
      </c>
      <c r="H22" s="755" t="s">
        <v>2469</v>
      </c>
      <c r="I22" s="758">
        <v>2500</v>
      </c>
      <c r="J22" s="754">
        <v>1</v>
      </c>
      <c r="K22" s="758">
        <f t="shared" si="2"/>
        <v>2500</v>
      </c>
      <c r="L22" s="759">
        <f t="shared" si="1"/>
        <v>2500</v>
      </c>
      <c r="M22" s="759"/>
      <c r="N22" s="759"/>
      <c r="O22" s="767" t="s">
        <v>2468</v>
      </c>
    </row>
    <row r="23" spans="1:15" s="753" customFormat="1" ht="20.100000000000001" customHeight="1">
      <c r="A23" s="754">
        <v>2</v>
      </c>
      <c r="B23" s="754" t="s">
        <v>2648</v>
      </c>
      <c r="C23" s="754" t="s">
        <v>2649</v>
      </c>
      <c r="D23" s="755" t="s">
        <v>915</v>
      </c>
      <c r="E23" s="756" t="s">
        <v>2536</v>
      </c>
      <c r="F23" s="755" t="s">
        <v>2458</v>
      </c>
      <c r="G23" s="755" t="s">
        <v>2459</v>
      </c>
      <c r="H23" s="755" t="s">
        <v>2097</v>
      </c>
      <c r="I23" s="758">
        <v>2500</v>
      </c>
      <c r="J23" s="754">
        <v>1</v>
      </c>
      <c r="K23" s="758">
        <f t="shared" si="2"/>
        <v>2500</v>
      </c>
      <c r="L23" s="759">
        <f t="shared" si="1"/>
        <v>2500</v>
      </c>
      <c r="M23" s="759"/>
      <c r="N23" s="759"/>
      <c r="O23" s="767" t="s">
        <v>2470</v>
      </c>
    </row>
    <row r="24" spans="1:15" s="753" customFormat="1" ht="20.100000000000001" customHeight="1">
      <c r="A24" s="754">
        <v>2</v>
      </c>
      <c r="B24" s="754" t="s">
        <v>2648</v>
      </c>
      <c r="C24" s="754" t="s">
        <v>2649</v>
      </c>
      <c r="D24" s="755" t="s">
        <v>915</v>
      </c>
      <c r="E24" s="756" t="s">
        <v>2536</v>
      </c>
      <c r="F24" s="755" t="s">
        <v>2458</v>
      </c>
      <c r="G24" s="755" t="s">
        <v>2135</v>
      </c>
      <c r="H24" s="769" t="s">
        <v>2077</v>
      </c>
      <c r="I24" s="758">
        <v>1600</v>
      </c>
      <c r="J24" s="754">
        <v>10</v>
      </c>
      <c r="K24" s="758">
        <f t="shared" si="2"/>
        <v>16000</v>
      </c>
      <c r="L24" s="759">
        <f t="shared" si="1"/>
        <v>16000</v>
      </c>
      <c r="M24" s="759"/>
      <c r="N24" s="759"/>
      <c r="O24" s="767" t="s">
        <v>2470</v>
      </c>
    </row>
    <row r="25" spans="1:15" s="753" customFormat="1" ht="20.100000000000001" customHeight="1">
      <c r="A25" s="754">
        <v>2</v>
      </c>
      <c r="B25" s="754" t="s">
        <v>2648</v>
      </c>
      <c r="C25" s="754" t="s">
        <v>2649</v>
      </c>
      <c r="D25" s="755" t="s">
        <v>915</v>
      </c>
      <c r="E25" s="756" t="s">
        <v>2536</v>
      </c>
      <c r="F25" s="755" t="s">
        <v>2458</v>
      </c>
      <c r="G25" s="755" t="s">
        <v>1983</v>
      </c>
      <c r="H25" s="755" t="s">
        <v>2471</v>
      </c>
      <c r="I25" s="758">
        <v>6500</v>
      </c>
      <c r="J25" s="754">
        <v>1</v>
      </c>
      <c r="K25" s="758">
        <f t="shared" si="2"/>
        <v>6500</v>
      </c>
      <c r="L25" s="759">
        <f t="shared" si="1"/>
        <v>6500</v>
      </c>
      <c r="M25" s="759"/>
      <c r="N25" s="759"/>
      <c r="O25" s="767" t="s">
        <v>2470</v>
      </c>
    </row>
    <row r="26" spans="1:15" s="753" customFormat="1" ht="20.100000000000001" customHeight="1">
      <c r="A26" s="754">
        <v>2</v>
      </c>
      <c r="B26" s="754" t="s">
        <v>2650</v>
      </c>
      <c r="C26" s="754" t="s">
        <v>2651</v>
      </c>
      <c r="D26" s="755" t="s">
        <v>915</v>
      </c>
      <c r="E26" s="756" t="s">
        <v>2536</v>
      </c>
      <c r="F26" s="755" t="s">
        <v>2458</v>
      </c>
      <c r="G26" s="755" t="s">
        <v>2096</v>
      </c>
      <c r="H26" s="755" t="s">
        <v>2469</v>
      </c>
      <c r="I26" s="758">
        <v>2500</v>
      </c>
      <c r="J26" s="754">
        <v>1</v>
      </c>
      <c r="K26" s="758">
        <f t="shared" si="2"/>
        <v>2500</v>
      </c>
      <c r="L26" s="759">
        <f t="shared" si="1"/>
        <v>2500</v>
      </c>
      <c r="M26" s="759"/>
      <c r="N26" s="759"/>
      <c r="O26" s="767" t="s">
        <v>2470</v>
      </c>
    </row>
    <row r="27" spans="1:15" s="753" customFormat="1" ht="20.100000000000001" customHeight="1">
      <c r="A27" s="754">
        <v>2</v>
      </c>
      <c r="B27" s="754" t="s">
        <v>2648</v>
      </c>
      <c r="C27" s="754" t="s">
        <v>2649</v>
      </c>
      <c r="D27" s="755" t="s">
        <v>915</v>
      </c>
      <c r="E27" s="756" t="s">
        <v>2536</v>
      </c>
      <c r="F27" s="755" t="s">
        <v>2458</v>
      </c>
      <c r="G27" s="755" t="s">
        <v>2472</v>
      </c>
      <c r="H27" s="755" t="s">
        <v>2473</v>
      </c>
      <c r="I27" s="758">
        <v>750</v>
      </c>
      <c r="J27" s="754">
        <v>1</v>
      </c>
      <c r="K27" s="758">
        <f t="shared" si="2"/>
        <v>750</v>
      </c>
      <c r="L27" s="759">
        <f t="shared" si="1"/>
        <v>750</v>
      </c>
      <c r="M27" s="759"/>
      <c r="N27" s="759"/>
      <c r="O27" s="767" t="s">
        <v>2470</v>
      </c>
    </row>
    <row r="28" spans="1:15" s="753" customFormat="1" ht="20.100000000000001" customHeight="1">
      <c r="A28" s="754">
        <v>2</v>
      </c>
      <c r="B28" s="754" t="s">
        <v>2648</v>
      </c>
      <c r="C28" s="754" t="s">
        <v>2649</v>
      </c>
      <c r="D28" s="755" t="s">
        <v>915</v>
      </c>
      <c r="E28" s="756" t="s">
        <v>2536</v>
      </c>
      <c r="F28" s="755" t="s">
        <v>2458</v>
      </c>
      <c r="G28" s="755" t="s">
        <v>2474</v>
      </c>
      <c r="H28" s="755" t="s">
        <v>2475</v>
      </c>
      <c r="I28" s="758">
        <v>200</v>
      </c>
      <c r="J28" s="754">
        <v>40</v>
      </c>
      <c r="K28" s="758">
        <f t="shared" si="2"/>
        <v>8000</v>
      </c>
      <c r="L28" s="759">
        <f t="shared" si="1"/>
        <v>8000</v>
      </c>
      <c r="M28" s="759"/>
      <c r="N28" s="759"/>
      <c r="O28" s="767" t="s">
        <v>2476</v>
      </c>
    </row>
    <row r="29" spans="1:15" s="753" customFormat="1" ht="20.100000000000001" customHeight="1">
      <c r="A29" s="754">
        <v>2</v>
      </c>
      <c r="B29" s="754" t="s">
        <v>2648</v>
      </c>
      <c r="C29" s="754" t="s">
        <v>2649</v>
      </c>
      <c r="D29" s="755" t="s">
        <v>915</v>
      </c>
      <c r="E29" s="756" t="s">
        <v>2536</v>
      </c>
      <c r="F29" s="755" t="s">
        <v>2458</v>
      </c>
      <c r="G29" s="755" t="s">
        <v>2477</v>
      </c>
      <c r="H29" s="755" t="s">
        <v>2478</v>
      </c>
      <c r="I29" s="758">
        <v>6500</v>
      </c>
      <c r="J29" s="754">
        <v>1</v>
      </c>
      <c r="K29" s="758">
        <f t="shared" si="2"/>
        <v>6500</v>
      </c>
      <c r="L29" s="759">
        <f t="shared" si="1"/>
        <v>6500</v>
      </c>
      <c r="M29" s="759"/>
      <c r="N29" s="759"/>
      <c r="O29" s="767" t="s">
        <v>2476</v>
      </c>
    </row>
    <row r="30" spans="1:15" s="753" customFormat="1" ht="20.100000000000001" customHeight="1">
      <c r="A30" s="754">
        <v>2</v>
      </c>
      <c r="B30" s="754" t="s">
        <v>2650</v>
      </c>
      <c r="C30" s="754" t="s">
        <v>2651</v>
      </c>
      <c r="D30" s="755" t="s">
        <v>915</v>
      </c>
      <c r="E30" s="756" t="s">
        <v>2536</v>
      </c>
      <c r="F30" s="755" t="s">
        <v>2458</v>
      </c>
      <c r="G30" s="755" t="s">
        <v>2479</v>
      </c>
      <c r="H30" s="755" t="s">
        <v>2480</v>
      </c>
      <c r="I30" s="758">
        <v>9000</v>
      </c>
      <c r="J30" s="754">
        <v>1</v>
      </c>
      <c r="K30" s="758">
        <f t="shared" si="2"/>
        <v>9000</v>
      </c>
      <c r="L30" s="759">
        <f t="shared" si="1"/>
        <v>9000</v>
      </c>
      <c r="M30" s="759"/>
      <c r="N30" s="759"/>
      <c r="O30" s="767" t="s">
        <v>2476</v>
      </c>
    </row>
    <row r="31" spans="1:15" s="753" customFormat="1" ht="20.100000000000001" customHeight="1">
      <c r="A31" s="754">
        <v>2</v>
      </c>
      <c r="B31" s="754" t="s">
        <v>2648</v>
      </c>
      <c r="C31" s="754" t="s">
        <v>2649</v>
      </c>
      <c r="D31" s="755" t="s">
        <v>915</v>
      </c>
      <c r="E31" s="756" t="s">
        <v>2536</v>
      </c>
      <c r="F31" s="755" t="s">
        <v>2458</v>
      </c>
      <c r="G31" s="755" t="s">
        <v>2481</v>
      </c>
      <c r="H31" s="755" t="s">
        <v>2482</v>
      </c>
      <c r="I31" s="758">
        <v>2000</v>
      </c>
      <c r="J31" s="754">
        <v>1</v>
      </c>
      <c r="K31" s="758">
        <f t="shared" si="2"/>
        <v>2000</v>
      </c>
      <c r="L31" s="759">
        <f t="shared" si="1"/>
        <v>2000</v>
      </c>
      <c r="M31" s="759"/>
      <c r="N31" s="759"/>
      <c r="O31" s="767" t="s">
        <v>2483</v>
      </c>
    </row>
    <row r="32" spans="1:15" s="753" customFormat="1" ht="20.100000000000001" customHeight="1">
      <c r="A32" s="754">
        <v>2</v>
      </c>
      <c r="B32" s="754" t="s">
        <v>2648</v>
      </c>
      <c r="C32" s="754" t="s">
        <v>2649</v>
      </c>
      <c r="D32" s="755" t="s">
        <v>915</v>
      </c>
      <c r="E32" s="756" t="s">
        <v>2536</v>
      </c>
      <c r="F32" s="755" t="s">
        <v>2458</v>
      </c>
      <c r="G32" s="755" t="s">
        <v>2652</v>
      </c>
      <c r="H32" s="755" t="s">
        <v>2484</v>
      </c>
      <c r="I32" s="758">
        <v>400</v>
      </c>
      <c r="J32" s="754">
        <v>40</v>
      </c>
      <c r="K32" s="758">
        <f t="shared" si="2"/>
        <v>16000</v>
      </c>
      <c r="L32" s="759">
        <f t="shared" si="1"/>
        <v>16000</v>
      </c>
      <c r="M32" s="759"/>
      <c r="N32" s="759"/>
      <c r="O32" s="767" t="s">
        <v>2483</v>
      </c>
    </row>
    <row r="33" spans="1:15" s="753" customFormat="1" ht="20.100000000000001" customHeight="1">
      <c r="A33" s="754">
        <v>2</v>
      </c>
      <c r="B33" s="754" t="s">
        <v>2648</v>
      </c>
      <c r="C33" s="754" t="s">
        <v>2649</v>
      </c>
      <c r="D33" s="755" t="s">
        <v>915</v>
      </c>
      <c r="E33" s="756" t="s">
        <v>2536</v>
      </c>
      <c r="F33" s="755" t="s">
        <v>2458</v>
      </c>
      <c r="G33" s="755" t="s">
        <v>2485</v>
      </c>
      <c r="H33" s="755" t="s">
        <v>2486</v>
      </c>
      <c r="I33" s="758">
        <v>300</v>
      </c>
      <c r="J33" s="754">
        <v>212</v>
      </c>
      <c r="K33" s="758">
        <f t="shared" si="2"/>
        <v>63600</v>
      </c>
      <c r="L33" s="759">
        <f t="shared" si="1"/>
        <v>63600</v>
      </c>
      <c r="M33" s="759"/>
      <c r="N33" s="759"/>
      <c r="O33" s="767" t="s">
        <v>2487</v>
      </c>
    </row>
    <row r="34" spans="1:15" s="753" customFormat="1" ht="20.100000000000001" customHeight="1">
      <c r="A34" s="754">
        <v>2</v>
      </c>
      <c r="B34" s="754" t="s">
        <v>2648</v>
      </c>
      <c r="C34" s="754" t="s">
        <v>2649</v>
      </c>
      <c r="D34" s="755" t="s">
        <v>915</v>
      </c>
      <c r="E34" s="756" t="s">
        <v>2536</v>
      </c>
      <c r="F34" s="755" t="s">
        <v>2458</v>
      </c>
      <c r="G34" s="755" t="s">
        <v>2689</v>
      </c>
      <c r="H34" s="755" t="s">
        <v>2690</v>
      </c>
      <c r="I34" s="758">
        <v>110000</v>
      </c>
      <c r="J34" s="754">
        <v>1</v>
      </c>
      <c r="K34" s="758">
        <f t="shared" si="2"/>
        <v>110000</v>
      </c>
      <c r="L34" s="759">
        <v>28231</v>
      </c>
      <c r="M34" s="759">
        <f>K34-L34</f>
        <v>81769</v>
      </c>
      <c r="N34" s="759"/>
      <c r="O34" s="767" t="s">
        <v>2441</v>
      </c>
    </row>
    <row r="35" spans="1:15" s="753" customFormat="1" ht="20.100000000000001" customHeight="1">
      <c r="A35" s="770"/>
      <c r="B35" s="771" t="s">
        <v>2036</v>
      </c>
      <c r="C35" s="770"/>
      <c r="D35" s="771" t="s">
        <v>2691</v>
      </c>
      <c r="E35" s="770"/>
      <c r="F35" s="772"/>
      <c r="G35" s="772"/>
      <c r="H35" s="772"/>
      <c r="I35" s="773"/>
      <c r="J35" s="770"/>
      <c r="K35" s="765">
        <f>SUM(K5:K34)</f>
        <v>1271162.5</v>
      </c>
      <c r="L35" s="765">
        <f t="shared" ref="L35:N35" si="3">SUM(L5:L34)</f>
        <v>1189393.5</v>
      </c>
      <c r="M35" s="765">
        <f t="shared" si="3"/>
        <v>81769</v>
      </c>
      <c r="N35" s="765">
        <f t="shared" si="3"/>
        <v>0</v>
      </c>
      <c r="O35" s="774" t="s">
        <v>2692</v>
      </c>
    </row>
    <row r="36" spans="1:15" s="753" customFormat="1" ht="20.100000000000001" customHeight="1">
      <c r="A36" s="770">
        <v>3</v>
      </c>
      <c r="B36" s="769" t="s">
        <v>2693</v>
      </c>
      <c r="C36" s="769" t="s">
        <v>2694</v>
      </c>
      <c r="D36" s="757" t="s">
        <v>2695</v>
      </c>
      <c r="E36" s="756" t="s">
        <v>2536</v>
      </c>
      <c r="F36" s="757" t="s">
        <v>2696</v>
      </c>
      <c r="G36" s="757" t="s">
        <v>2697</v>
      </c>
      <c r="H36" s="772"/>
      <c r="I36" s="773">
        <v>7600</v>
      </c>
      <c r="J36" s="770">
        <v>85</v>
      </c>
      <c r="K36" s="758">
        <f t="shared" ref="K36:K37" si="4">I36*J36</f>
        <v>646000</v>
      </c>
      <c r="L36" s="759">
        <f>K36</f>
        <v>646000</v>
      </c>
      <c r="M36" s="759"/>
      <c r="N36" s="759"/>
      <c r="O36" s="760"/>
    </row>
    <row r="37" spans="1:15" s="753" customFormat="1" ht="20.100000000000001" customHeight="1">
      <c r="A37" s="770">
        <v>3</v>
      </c>
      <c r="B37" s="769" t="s">
        <v>2693</v>
      </c>
      <c r="C37" s="769" t="s">
        <v>2694</v>
      </c>
      <c r="D37" s="757" t="s">
        <v>2698</v>
      </c>
      <c r="E37" s="756" t="s">
        <v>2536</v>
      </c>
      <c r="F37" s="757" t="s">
        <v>2696</v>
      </c>
      <c r="G37" s="757" t="s">
        <v>2697</v>
      </c>
      <c r="H37" s="772"/>
      <c r="I37" s="773">
        <v>7600</v>
      </c>
      <c r="J37" s="770">
        <v>35</v>
      </c>
      <c r="K37" s="758">
        <f t="shared" si="4"/>
        <v>266000</v>
      </c>
      <c r="L37" s="759">
        <f>K37</f>
        <v>266000</v>
      </c>
      <c r="M37" s="759"/>
      <c r="N37" s="759"/>
      <c r="O37" s="760"/>
    </row>
    <row r="38" spans="1:15" s="753" customFormat="1" ht="20.100000000000001" customHeight="1">
      <c r="A38" s="770"/>
      <c r="B38" s="769"/>
      <c r="C38" s="769"/>
      <c r="D38" s="771" t="s">
        <v>2691</v>
      </c>
      <c r="E38" s="770"/>
      <c r="F38" s="772"/>
      <c r="G38" s="772"/>
      <c r="H38" s="772"/>
      <c r="I38" s="773"/>
      <c r="J38" s="770"/>
      <c r="K38" s="765">
        <f>SUM(K36:K37)</f>
        <v>912000</v>
      </c>
      <c r="L38" s="765">
        <f t="shared" ref="L38:N38" si="5">SUM(L36:L37)</f>
        <v>912000</v>
      </c>
      <c r="M38" s="765">
        <f t="shared" si="5"/>
        <v>0</v>
      </c>
      <c r="N38" s="765">
        <f t="shared" si="5"/>
        <v>0</v>
      </c>
      <c r="O38" s="774"/>
    </row>
    <row r="39" spans="1:15" s="753" customFormat="1" ht="20.100000000000001" customHeight="1">
      <c r="A39" s="770">
        <v>4</v>
      </c>
      <c r="B39" s="770" t="s">
        <v>2648</v>
      </c>
      <c r="C39" s="770" t="s">
        <v>2649</v>
      </c>
      <c r="D39" s="772" t="s">
        <v>2699</v>
      </c>
      <c r="E39" s="756" t="s">
        <v>2536</v>
      </c>
      <c r="F39" s="775" t="s">
        <v>2696</v>
      </c>
      <c r="G39" s="757" t="s">
        <v>2697</v>
      </c>
      <c r="H39" s="772" t="s">
        <v>2038</v>
      </c>
      <c r="I39" s="773">
        <v>7600</v>
      </c>
      <c r="J39" s="770">
        <v>40</v>
      </c>
      <c r="K39" s="758">
        <f>I39*J39</f>
        <v>304000</v>
      </c>
      <c r="L39" s="759"/>
      <c r="M39" s="759">
        <v>304000</v>
      </c>
      <c r="N39" s="759"/>
      <c r="O39" s="760"/>
    </row>
    <row r="40" spans="1:15" s="753" customFormat="1" ht="20.100000000000001" customHeight="1">
      <c r="A40" s="770">
        <v>4</v>
      </c>
      <c r="B40" s="770" t="s">
        <v>2648</v>
      </c>
      <c r="C40" s="770" t="s">
        <v>2649</v>
      </c>
      <c r="D40" s="772" t="s">
        <v>2699</v>
      </c>
      <c r="E40" s="756" t="s">
        <v>2536</v>
      </c>
      <c r="F40" s="776" t="s">
        <v>2700</v>
      </c>
      <c r="G40" s="772" t="s">
        <v>2700</v>
      </c>
      <c r="H40" s="772" t="s">
        <v>2038</v>
      </c>
      <c r="I40" s="773">
        <v>20000</v>
      </c>
      <c r="J40" s="770">
        <v>10</v>
      </c>
      <c r="K40" s="773">
        <f>I40*J40</f>
        <v>200000</v>
      </c>
      <c r="L40" s="759"/>
      <c r="M40" s="759">
        <v>200000</v>
      </c>
      <c r="N40" s="759"/>
      <c r="O40" s="777"/>
    </row>
    <row r="41" spans="1:15" s="753" customFormat="1" ht="20.100000000000001" customHeight="1">
      <c r="A41" s="770"/>
      <c r="B41" s="771" t="s">
        <v>2036</v>
      </c>
      <c r="C41" s="770"/>
      <c r="D41" s="771" t="s">
        <v>2691</v>
      </c>
      <c r="E41" s="756"/>
      <c r="F41" s="772"/>
      <c r="G41" s="772"/>
      <c r="H41" s="772"/>
      <c r="I41" s="773"/>
      <c r="J41" s="770"/>
      <c r="K41" s="765">
        <f>SUM(K39:K40)</f>
        <v>504000</v>
      </c>
      <c r="L41" s="765">
        <f t="shared" ref="L41:N41" si="6">SUM(L39:L40)</f>
        <v>0</v>
      </c>
      <c r="M41" s="765">
        <f t="shared" si="6"/>
        <v>504000</v>
      </c>
      <c r="N41" s="765">
        <f t="shared" si="6"/>
        <v>0</v>
      </c>
      <c r="O41" s="774"/>
    </row>
    <row r="42" spans="1:15" s="753" customFormat="1" ht="20.100000000000001" customHeight="1">
      <c r="A42" s="778">
        <v>5</v>
      </c>
      <c r="B42" s="778" t="s">
        <v>2648</v>
      </c>
      <c r="C42" s="778" t="s">
        <v>2701</v>
      </c>
      <c r="D42" s="755" t="s">
        <v>2702</v>
      </c>
      <c r="E42" s="756" t="s">
        <v>2536</v>
      </c>
      <c r="F42" s="755" t="s">
        <v>2703</v>
      </c>
      <c r="G42" s="755" t="s">
        <v>2703</v>
      </c>
      <c r="H42" s="755"/>
      <c r="I42" s="758">
        <v>757598</v>
      </c>
      <c r="J42" s="754">
        <v>1</v>
      </c>
      <c r="K42" s="758">
        <f t="shared" ref="K42:K45" si="7">I42*J42</f>
        <v>757598</v>
      </c>
      <c r="L42" s="759">
        <f t="shared" ref="L42:L49" si="8">K42</f>
        <v>757598</v>
      </c>
      <c r="M42" s="759"/>
      <c r="N42" s="759"/>
      <c r="O42" s="767" t="s">
        <v>2787</v>
      </c>
    </row>
    <row r="43" spans="1:15" s="753" customFormat="1" ht="20.100000000000001" customHeight="1">
      <c r="A43" s="778">
        <v>5</v>
      </c>
      <c r="B43" s="754" t="s">
        <v>2648</v>
      </c>
      <c r="C43" s="754" t="s">
        <v>2701</v>
      </c>
      <c r="D43" s="755" t="s">
        <v>2704</v>
      </c>
      <c r="E43" s="756" t="s">
        <v>2536</v>
      </c>
      <c r="F43" s="755" t="s">
        <v>2028</v>
      </c>
      <c r="G43" s="755" t="s">
        <v>2028</v>
      </c>
      <c r="H43" s="755"/>
      <c r="I43" s="758">
        <v>102550</v>
      </c>
      <c r="J43" s="754">
        <v>1</v>
      </c>
      <c r="K43" s="758">
        <f t="shared" si="7"/>
        <v>102550</v>
      </c>
      <c r="L43" s="759">
        <f t="shared" si="8"/>
        <v>102550</v>
      </c>
      <c r="M43" s="759"/>
      <c r="N43" s="759"/>
      <c r="O43" s="767"/>
    </row>
    <row r="44" spans="1:15" s="753" customFormat="1" ht="20.100000000000001" customHeight="1">
      <c r="A44" s="779">
        <v>5</v>
      </c>
      <c r="B44" s="780" t="s">
        <v>2648</v>
      </c>
      <c r="C44" s="780" t="s">
        <v>2701</v>
      </c>
      <c r="D44" s="781" t="s">
        <v>2704</v>
      </c>
      <c r="E44" s="756" t="s">
        <v>2536</v>
      </c>
      <c r="F44" s="781" t="s">
        <v>2029</v>
      </c>
      <c r="G44" s="781" t="s">
        <v>2029</v>
      </c>
      <c r="H44" s="781"/>
      <c r="I44" s="782">
        <v>135050</v>
      </c>
      <c r="J44" s="780">
        <v>1</v>
      </c>
      <c r="K44" s="782">
        <f t="shared" si="7"/>
        <v>135050</v>
      </c>
      <c r="L44" s="759">
        <f t="shared" si="8"/>
        <v>135050</v>
      </c>
      <c r="M44" s="759"/>
      <c r="N44" s="759"/>
      <c r="O44" s="767"/>
    </row>
    <row r="45" spans="1:15" s="753" customFormat="1" ht="20.100000000000001" customHeight="1">
      <c r="A45" s="770">
        <v>5</v>
      </c>
      <c r="B45" s="770" t="s">
        <v>2648</v>
      </c>
      <c r="C45" s="770" t="s">
        <v>2701</v>
      </c>
      <c r="D45" s="755" t="s">
        <v>2704</v>
      </c>
      <c r="E45" s="756" t="s">
        <v>2536</v>
      </c>
      <c r="F45" s="755" t="s">
        <v>2703</v>
      </c>
      <c r="G45" s="755" t="s">
        <v>2703</v>
      </c>
      <c r="H45" s="755"/>
      <c r="I45" s="758">
        <v>757598</v>
      </c>
      <c r="J45" s="754">
        <v>1</v>
      </c>
      <c r="K45" s="758">
        <f t="shared" si="7"/>
        <v>757598</v>
      </c>
      <c r="L45" s="759">
        <f t="shared" si="8"/>
        <v>757598</v>
      </c>
      <c r="M45" s="759"/>
      <c r="N45" s="759"/>
      <c r="O45" s="767" t="s">
        <v>2787</v>
      </c>
    </row>
    <row r="46" spans="1:15" s="753" customFormat="1" ht="20.100000000000001" customHeight="1">
      <c r="A46" s="770">
        <v>5</v>
      </c>
      <c r="B46" s="770" t="s">
        <v>2648</v>
      </c>
      <c r="C46" s="770" t="s">
        <v>2701</v>
      </c>
      <c r="D46" s="772" t="s">
        <v>2704</v>
      </c>
      <c r="E46" s="756" t="s">
        <v>2536</v>
      </c>
      <c r="F46" s="775" t="s">
        <v>2705</v>
      </c>
      <c r="G46" s="757" t="s">
        <v>2705</v>
      </c>
      <c r="H46" s="772"/>
      <c r="I46" s="773">
        <v>140000</v>
      </c>
      <c r="J46" s="770">
        <v>1</v>
      </c>
      <c r="K46" s="773">
        <f>I46*J46</f>
        <v>140000</v>
      </c>
      <c r="L46" s="759">
        <f t="shared" si="8"/>
        <v>140000</v>
      </c>
      <c r="M46" s="759"/>
      <c r="N46" s="759"/>
      <c r="O46" s="783"/>
    </row>
    <row r="47" spans="1:15" s="753" customFormat="1" ht="20.100000000000001" customHeight="1">
      <c r="A47" s="770">
        <v>5</v>
      </c>
      <c r="B47" s="770" t="s">
        <v>2648</v>
      </c>
      <c r="C47" s="770" t="s">
        <v>2701</v>
      </c>
      <c r="D47" s="772" t="s">
        <v>2704</v>
      </c>
      <c r="E47" s="756" t="s">
        <v>2536</v>
      </c>
      <c r="F47" s="757" t="s">
        <v>2696</v>
      </c>
      <c r="G47" s="757" t="s">
        <v>2697</v>
      </c>
      <c r="H47" s="772"/>
      <c r="I47" s="773">
        <v>7600</v>
      </c>
      <c r="J47" s="770">
        <v>15</v>
      </c>
      <c r="K47" s="758">
        <f t="shared" ref="K47:K48" si="9">I47*J47</f>
        <v>114000</v>
      </c>
      <c r="L47" s="759">
        <f t="shared" si="8"/>
        <v>114000</v>
      </c>
      <c r="M47" s="759"/>
      <c r="N47" s="759"/>
      <c r="O47" s="760"/>
    </row>
    <row r="48" spans="1:15" s="753" customFormat="1" ht="20.100000000000001" customHeight="1">
      <c r="A48" s="770">
        <v>5</v>
      </c>
      <c r="B48" s="769" t="s">
        <v>2653</v>
      </c>
      <c r="C48" s="769" t="s">
        <v>2654</v>
      </c>
      <c r="D48" s="772" t="s">
        <v>2655</v>
      </c>
      <c r="E48" s="756" t="s">
        <v>2536</v>
      </c>
      <c r="F48" s="757" t="s">
        <v>2656</v>
      </c>
      <c r="G48" s="757" t="s">
        <v>2657</v>
      </c>
      <c r="H48" s="772"/>
      <c r="I48" s="773">
        <v>7600</v>
      </c>
      <c r="J48" s="770">
        <v>53</v>
      </c>
      <c r="K48" s="758">
        <f t="shared" si="9"/>
        <v>402800</v>
      </c>
      <c r="L48" s="759">
        <f t="shared" si="8"/>
        <v>402800</v>
      </c>
      <c r="M48" s="759"/>
      <c r="N48" s="759"/>
      <c r="O48" s="760"/>
    </row>
    <row r="49" spans="1:15" s="753" customFormat="1" ht="20.100000000000001" customHeight="1">
      <c r="A49" s="770">
        <v>5</v>
      </c>
      <c r="B49" s="769" t="s">
        <v>2653</v>
      </c>
      <c r="C49" s="769" t="s">
        <v>2654</v>
      </c>
      <c r="D49" s="772" t="s">
        <v>920</v>
      </c>
      <c r="E49" s="756" t="s">
        <v>2536</v>
      </c>
      <c r="F49" s="784" t="s">
        <v>2258</v>
      </c>
      <c r="G49" s="785" t="s">
        <v>2258</v>
      </c>
      <c r="H49" s="786" t="s">
        <v>2155</v>
      </c>
      <c r="I49" s="759">
        <v>599692.5</v>
      </c>
      <c r="J49" s="770">
        <v>1</v>
      </c>
      <c r="K49" s="773">
        <f>I49*J49</f>
        <v>599692.5</v>
      </c>
      <c r="L49" s="759">
        <f t="shared" si="8"/>
        <v>599692.5</v>
      </c>
      <c r="M49" s="759"/>
      <c r="N49" s="759"/>
      <c r="O49" s="787" t="s">
        <v>2788</v>
      </c>
    </row>
    <row r="50" spans="1:15" s="753" customFormat="1" ht="20.100000000000001" customHeight="1">
      <c r="A50" s="778"/>
      <c r="B50" s="788" t="s">
        <v>2036</v>
      </c>
      <c r="C50" s="778"/>
      <c r="D50" s="788" t="s">
        <v>2659</v>
      </c>
      <c r="E50" s="778"/>
      <c r="F50" s="789"/>
      <c r="G50" s="789"/>
      <c r="H50" s="789"/>
      <c r="I50" s="790"/>
      <c r="J50" s="778"/>
      <c r="K50" s="791">
        <f>SUM(K42:K49)</f>
        <v>3009288.5</v>
      </c>
      <c r="L50" s="765">
        <f t="shared" ref="L50:N50" si="10">SUM(L42:L49)</f>
        <v>3009288.5</v>
      </c>
      <c r="M50" s="765">
        <f t="shared" si="10"/>
        <v>0</v>
      </c>
      <c r="N50" s="765">
        <f t="shared" si="10"/>
        <v>0</v>
      </c>
      <c r="O50" s="792"/>
    </row>
    <row r="51" spans="1:15" s="753" customFormat="1" ht="20.100000000000001" customHeight="1">
      <c r="A51" s="754">
        <v>6</v>
      </c>
      <c r="B51" s="754" t="s">
        <v>2660</v>
      </c>
      <c r="C51" s="754" t="s">
        <v>2661</v>
      </c>
      <c r="D51" s="755" t="s">
        <v>2662</v>
      </c>
      <c r="E51" s="756" t="s">
        <v>2536</v>
      </c>
      <c r="F51" s="755" t="s">
        <v>2663</v>
      </c>
      <c r="G51" s="755" t="s">
        <v>2663</v>
      </c>
      <c r="H51" s="755"/>
      <c r="I51" s="758">
        <v>757598</v>
      </c>
      <c r="J51" s="754">
        <v>1</v>
      </c>
      <c r="K51" s="793">
        <f>I51*J51</f>
        <v>757598</v>
      </c>
      <c r="L51" s="759">
        <f>K51</f>
        <v>757598</v>
      </c>
      <c r="M51" s="759"/>
      <c r="N51" s="759"/>
      <c r="O51" s="760" t="s">
        <v>2788</v>
      </c>
    </row>
    <row r="52" spans="1:15" s="753" customFormat="1" ht="20.100000000000001" customHeight="1">
      <c r="A52" s="754">
        <v>6</v>
      </c>
      <c r="B52" s="769" t="s">
        <v>2653</v>
      </c>
      <c r="C52" s="769" t="s">
        <v>2654</v>
      </c>
      <c r="D52" s="755" t="s">
        <v>2662</v>
      </c>
      <c r="E52" s="756" t="s">
        <v>2536</v>
      </c>
      <c r="F52" s="775" t="s">
        <v>2664</v>
      </c>
      <c r="G52" s="757" t="s">
        <v>2664</v>
      </c>
      <c r="H52" s="772"/>
      <c r="I52" s="773">
        <v>140000</v>
      </c>
      <c r="J52" s="770">
        <v>1</v>
      </c>
      <c r="K52" s="794">
        <f>I52*J52</f>
        <v>140000</v>
      </c>
      <c r="L52" s="759">
        <f>K52</f>
        <v>140000</v>
      </c>
      <c r="M52" s="759"/>
      <c r="N52" s="759"/>
      <c r="O52" s="760"/>
    </row>
    <row r="53" spans="1:15" s="753" customFormat="1" ht="20.100000000000001" customHeight="1">
      <c r="A53" s="754">
        <v>6</v>
      </c>
      <c r="B53" s="769" t="s">
        <v>2653</v>
      </c>
      <c r="C53" s="769" t="s">
        <v>2654</v>
      </c>
      <c r="D53" s="755" t="s">
        <v>2662</v>
      </c>
      <c r="E53" s="756" t="s">
        <v>2536</v>
      </c>
      <c r="F53" s="757" t="s">
        <v>2656</v>
      </c>
      <c r="G53" s="757" t="s">
        <v>2657</v>
      </c>
      <c r="H53" s="755"/>
      <c r="I53" s="773">
        <v>7600</v>
      </c>
      <c r="J53" s="770">
        <v>40</v>
      </c>
      <c r="K53" s="758">
        <f>I53*J53</f>
        <v>304000</v>
      </c>
      <c r="L53" s="759">
        <f>K53</f>
        <v>304000</v>
      </c>
      <c r="M53" s="759"/>
      <c r="N53" s="759"/>
      <c r="O53" s="760"/>
    </row>
    <row r="54" spans="1:15" s="753" customFormat="1" ht="20.100000000000001" customHeight="1">
      <c r="A54" s="754">
        <v>6</v>
      </c>
      <c r="B54" s="769" t="s">
        <v>2653</v>
      </c>
      <c r="C54" s="769" t="s">
        <v>2654</v>
      </c>
      <c r="D54" s="755" t="s">
        <v>2662</v>
      </c>
      <c r="E54" s="756" t="s">
        <v>2536</v>
      </c>
      <c r="F54" s="784" t="s">
        <v>2258</v>
      </c>
      <c r="G54" s="785" t="s">
        <v>2258</v>
      </c>
      <c r="H54" s="786" t="s">
        <v>2155</v>
      </c>
      <c r="I54" s="758">
        <v>502938.5</v>
      </c>
      <c r="J54" s="754">
        <v>1</v>
      </c>
      <c r="K54" s="795">
        <f>I54*J54</f>
        <v>502938.5</v>
      </c>
      <c r="L54" s="759">
        <f>K54</f>
        <v>502938.5</v>
      </c>
      <c r="M54" s="759"/>
      <c r="N54" s="759"/>
      <c r="O54" s="787" t="s">
        <v>2788</v>
      </c>
    </row>
    <row r="55" spans="1:15" s="753" customFormat="1" ht="20.100000000000001" customHeight="1">
      <c r="A55" s="754"/>
      <c r="B55" s="761" t="s">
        <v>2036</v>
      </c>
      <c r="C55" s="754"/>
      <c r="D55" s="761" t="s">
        <v>2659</v>
      </c>
      <c r="E55" s="754"/>
      <c r="F55" s="755"/>
      <c r="G55" s="755"/>
      <c r="H55" s="755"/>
      <c r="I55" s="758"/>
      <c r="J55" s="754"/>
      <c r="K55" s="764">
        <f>SUM(K51:K54)</f>
        <v>1704536.5</v>
      </c>
      <c r="L55" s="765">
        <f t="shared" ref="L55:N55" si="11">SUM(L51:L54)</f>
        <v>1704536.5</v>
      </c>
      <c r="M55" s="765">
        <f t="shared" si="11"/>
        <v>0</v>
      </c>
      <c r="N55" s="765">
        <f t="shared" si="11"/>
        <v>0</v>
      </c>
      <c r="O55" s="766"/>
    </row>
    <row r="56" spans="1:15" s="753" customFormat="1" ht="20.100000000000001" customHeight="1">
      <c r="A56" s="770">
        <v>7</v>
      </c>
      <c r="B56" s="770" t="s">
        <v>2660</v>
      </c>
      <c r="C56" s="770" t="s">
        <v>2661</v>
      </c>
      <c r="D56" s="772" t="s">
        <v>2665</v>
      </c>
      <c r="E56" s="756" t="s">
        <v>2536</v>
      </c>
      <c r="F56" s="796" t="s">
        <v>2028</v>
      </c>
      <c r="G56" s="796" t="s">
        <v>2028</v>
      </c>
      <c r="H56" s="796"/>
      <c r="I56" s="758">
        <v>102550</v>
      </c>
      <c r="J56" s="754">
        <v>1</v>
      </c>
      <c r="K56" s="758">
        <f>I56*J56</f>
        <v>102550</v>
      </c>
      <c r="L56" s="759">
        <f>K56</f>
        <v>102550</v>
      </c>
      <c r="M56" s="759"/>
      <c r="N56" s="759"/>
      <c r="O56" s="797"/>
    </row>
    <row r="57" spans="1:15" s="753" customFormat="1" ht="20.100000000000001" customHeight="1">
      <c r="A57" s="770">
        <v>7</v>
      </c>
      <c r="B57" s="770" t="s">
        <v>2660</v>
      </c>
      <c r="C57" s="770" t="s">
        <v>2661</v>
      </c>
      <c r="D57" s="772" t="s">
        <v>2665</v>
      </c>
      <c r="E57" s="756" t="s">
        <v>2536</v>
      </c>
      <c r="F57" s="755" t="s">
        <v>2663</v>
      </c>
      <c r="G57" s="755" t="s">
        <v>2663</v>
      </c>
      <c r="H57" s="755"/>
      <c r="I57" s="758">
        <v>757598</v>
      </c>
      <c r="J57" s="754">
        <v>1</v>
      </c>
      <c r="K57" s="758">
        <f>I57*J57</f>
        <v>757598</v>
      </c>
      <c r="L57" s="759">
        <f>K57</f>
        <v>757598</v>
      </c>
      <c r="M57" s="759"/>
      <c r="N57" s="759"/>
      <c r="O57" s="760" t="s">
        <v>2788</v>
      </c>
    </row>
    <row r="58" spans="1:15" s="753" customFormat="1" ht="20.100000000000001" customHeight="1">
      <c r="A58" s="770">
        <v>7</v>
      </c>
      <c r="B58" s="770" t="s">
        <v>2660</v>
      </c>
      <c r="C58" s="770" t="s">
        <v>2661</v>
      </c>
      <c r="D58" s="772" t="s">
        <v>2665</v>
      </c>
      <c r="E58" s="756" t="s">
        <v>2536</v>
      </c>
      <c r="F58" s="757" t="s">
        <v>2656</v>
      </c>
      <c r="G58" s="757" t="s">
        <v>2657</v>
      </c>
      <c r="H58" s="755"/>
      <c r="I58" s="773">
        <v>7600</v>
      </c>
      <c r="J58" s="770">
        <v>32</v>
      </c>
      <c r="K58" s="758">
        <f>I58*J58</f>
        <v>243200</v>
      </c>
      <c r="L58" s="759">
        <f>K58</f>
        <v>243200</v>
      </c>
      <c r="M58" s="759"/>
      <c r="N58" s="759"/>
      <c r="O58" s="760"/>
    </row>
    <row r="59" spans="1:15" s="753" customFormat="1" ht="20.100000000000001" customHeight="1">
      <c r="A59" s="770">
        <v>7</v>
      </c>
      <c r="B59" s="770" t="s">
        <v>2660</v>
      </c>
      <c r="C59" s="770" t="s">
        <v>2661</v>
      </c>
      <c r="D59" s="772" t="s">
        <v>2665</v>
      </c>
      <c r="E59" s="772" t="s">
        <v>2536</v>
      </c>
      <c r="F59" s="775" t="s">
        <v>2664</v>
      </c>
      <c r="G59" s="757" t="s">
        <v>2664</v>
      </c>
      <c r="H59" s="772"/>
      <c r="I59" s="773">
        <v>140000</v>
      </c>
      <c r="J59" s="770">
        <v>1</v>
      </c>
      <c r="K59" s="794">
        <f>I59*J59</f>
        <v>140000</v>
      </c>
      <c r="L59" s="759">
        <f>K59</f>
        <v>140000</v>
      </c>
      <c r="M59" s="759"/>
      <c r="N59" s="759"/>
      <c r="O59" s="760"/>
    </row>
    <row r="60" spans="1:15" s="753" customFormat="1" ht="20.100000000000001" customHeight="1">
      <c r="A60" s="754"/>
      <c r="B60" s="761" t="s">
        <v>2036</v>
      </c>
      <c r="C60" s="754"/>
      <c r="D60" s="761" t="s">
        <v>2659</v>
      </c>
      <c r="E60" s="754"/>
      <c r="F60" s="755"/>
      <c r="G60" s="755"/>
      <c r="H60" s="755"/>
      <c r="I60" s="758"/>
      <c r="J60" s="754"/>
      <c r="K60" s="764">
        <f>SUM(K56:K59)</f>
        <v>1243348</v>
      </c>
      <c r="L60" s="765">
        <f t="shared" ref="L60:N60" si="12">SUM(L56:L59)</f>
        <v>1243348</v>
      </c>
      <c r="M60" s="765">
        <f t="shared" si="12"/>
        <v>0</v>
      </c>
      <c r="N60" s="765">
        <f t="shared" si="12"/>
        <v>0</v>
      </c>
      <c r="O60" s="766"/>
    </row>
    <row r="61" spans="1:15" s="753" customFormat="1" ht="20.100000000000001" customHeight="1">
      <c r="A61" s="770">
        <v>8</v>
      </c>
      <c r="B61" s="754" t="s">
        <v>2660</v>
      </c>
      <c r="C61" s="754" t="s">
        <v>2661</v>
      </c>
      <c r="D61" s="798" t="s">
        <v>2666</v>
      </c>
      <c r="E61" s="756" t="s">
        <v>2536</v>
      </c>
      <c r="F61" s="757" t="s">
        <v>2028</v>
      </c>
      <c r="G61" s="757" t="s">
        <v>2028</v>
      </c>
      <c r="H61" s="769"/>
      <c r="I61" s="758">
        <v>102550</v>
      </c>
      <c r="J61" s="754">
        <v>1</v>
      </c>
      <c r="K61" s="758">
        <f t="shared" ref="K61:K65" si="13">I61*J61</f>
        <v>102550</v>
      </c>
      <c r="L61" s="759">
        <f>K61</f>
        <v>102550</v>
      </c>
      <c r="M61" s="759"/>
      <c r="N61" s="759"/>
      <c r="O61" s="760"/>
    </row>
    <row r="62" spans="1:15" s="753" customFormat="1" ht="20.100000000000001" customHeight="1">
      <c r="A62" s="770">
        <v>8</v>
      </c>
      <c r="B62" s="754" t="s">
        <v>2660</v>
      </c>
      <c r="C62" s="754" t="s">
        <v>2661</v>
      </c>
      <c r="D62" s="798" t="s">
        <v>2666</v>
      </c>
      <c r="E62" s="756" t="s">
        <v>2536</v>
      </c>
      <c r="F62" s="757" t="s">
        <v>2029</v>
      </c>
      <c r="G62" s="757" t="s">
        <v>2029</v>
      </c>
      <c r="H62" s="769"/>
      <c r="I62" s="758">
        <v>135050</v>
      </c>
      <c r="J62" s="754">
        <v>1</v>
      </c>
      <c r="K62" s="758">
        <f t="shared" si="13"/>
        <v>135050</v>
      </c>
      <c r="L62" s="759">
        <f>K62</f>
        <v>135050</v>
      </c>
      <c r="M62" s="759"/>
      <c r="N62" s="759"/>
      <c r="O62" s="760"/>
    </row>
    <row r="63" spans="1:15" s="753" customFormat="1" ht="20.100000000000001" customHeight="1">
      <c r="A63" s="799">
        <v>8</v>
      </c>
      <c r="B63" s="780" t="s">
        <v>2660</v>
      </c>
      <c r="C63" s="780" t="s">
        <v>2661</v>
      </c>
      <c r="D63" s="800" t="s">
        <v>42</v>
      </c>
      <c r="E63" s="756" t="s">
        <v>2536</v>
      </c>
      <c r="F63" s="755" t="s">
        <v>2663</v>
      </c>
      <c r="G63" s="755" t="s">
        <v>2663</v>
      </c>
      <c r="H63" s="755"/>
      <c r="I63" s="758">
        <v>757598</v>
      </c>
      <c r="J63" s="780">
        <v>1</v>
      </c>
      <c r="K63" s="782">
        <f t="shared" si="13"/>
        <v>757598</v>
      </c>
      <c r="L63" s="759">
        <f>K63</f>
        <v>757598</v>
      </c>
      <c r="M63" s="759"/>
      <c r="N63" s="759"/>
      <c r="O63" s="760" t="s">
        <v>2788</v>
      </c>
    </row>
    <row r="64" spans="1:15" s="753" customFormat="1" ht="20.100000000000001" customHeight="1">
      <c r="A64" s="770">
        <v>8</v>
      </c>
      <c r="B64" s="770" t="s">
        <v>2660</v>
      </c>
      <c r="C64" s="770" t="s">
        <v>2661</v>
      </c>
      <c r="D64" s="798" t="s">
        <v>2666</v>
      </c>
      <c r="E64" s="756" t="s">
        <v>2536</v>
      </c>
      <c r="F64" s="757" t="s">
        <v>2656</v>
      </c>
      <c r="G64" s="757" t="s">
        <v>2657</v>
      </c>
      <c r="H64" s="772"/>
      <c r="I64" s="773">
        <v>7600</v>
      </c>
      <c r="J64" s="770">
        <v>37</v>
      </c>
      <c r="K64" s="758">
        <f>I64*J64</f>
        <v>281200</v>
      </c>
      <c r="L64" s="759">
        <f>K64</f>
        <v>281200</v>
      </c>
      <c r="M64" s="759"/>
      <c r="N64" s="759"/>
      <c r="O64" s="760"/>
    </row>
    <row r="65" spans="1:15" s="753" customFormat="1" ht="20.100000000000001" customHeight="1">
      <c r="A65" s="799">
        <v>8</v>
      </c>
      <c r="B65" s="769" t="s">
        <v>2653</v>
      </c>
      <c r="C65" s="769" t="s">
        <v>2654</v>
      </c>
      <c r="D65" s="798" t="s">
        <v>2666</v>
      </c>
      <c r="E65" s="756" t="s">
        <v>2536</v>
      </c>
      <c r="F65" s="784" t="s">
        <v>2258</v>
      </c>
      <c r="G65" s="785" t="s">
        <v>2258</v>
      </c>
      <c r="H65" s="786" t="s">
        <v>2155</v>
      </c>
      <c r="I65" s="758">
        <v>389107</v>
      </c>
      <c r="J65" s="754">
        <v>1</v>
      </c>
      <c r="K65" s="795">
        <f t="shared" si="13"/>
        <v>389107</v>
      </c>
      <c r="L65" s="759">
        <f>K65</f>
        <v>389107</v>
      </c>
      <c r="M65" s="759"/>
      <c r="N65" s="759"/>
      <c r="O65" s="760" t="s">
        <v>2788</v>
      </c>
    </row>
    <row r="66" spans="1:15" s="753" customFormat="1" ht="20.100000000000001" customHeight="1">
      <c r="A66" s="770"/>
      <c r="B66" s="771"/>
      <c r="C66" s="770"/>
      <c r="D66" s="801" t="s">
        <v>2659</v>
      </c>
      <c r="E66" s="757"/>
      <c r="F66" s="757"/>
      <c r="G66" s="757"/>
      <c r="H66" s="772"/>
      <c r="I66" s="773"/>
      <c r="J66" s="770"/>
      <c r="K66" s="765">
        <f>SUM(K61:K65)</f>
        <v>1665505</v>
      </c>
      <c r="L66" s="765">
        <f t="shared" ref="L66:N66" si="14">SUM(L61:L65)</f>
        <v>1665505</v>
      </c>
      <c r="M66" s="765">
        <f t="shared" si="14"/>
        <v>0</v>
      </c>
      <c r="N66" s="765">
        <f t="shared" si="14"/>
        <v>0</v>
      </c>
      <c r="O66" s="774"/>
    </row>
    <row r="67" spans="1:15" s="753" customFormat="1" ht="20.100000000000001" customHeight="1">
      <c r="A67" s="802">
        <v>9</v>
      </c>
      <c r="B67" s="803" t="s">
        <v>2660</v>
      </c>
      <c r="C67" s="802" t="s">
        <v>2667</v>
      </c>
      <c r="D67" s="804" t="s">
        <v>2668</v>
      </c>
      <c r="E67" s="756" t="s">
        <v>2536</v>
      </c>
      <c r="F67" s="756" t="s">
        <v>2244</v>
      </c>
      <c r="G67" s="756" t="s">
        <v>2244</v>
      </c>
      <c r="H67" s="756"/>
      <c r="I67" s="805">
        <v>120000</v>
      </c>
      <c r="J67" s="806">
        <v>1</v>
      </c>
      <c r="K67" s="805">
        <f>I67*J67</f>
        <v>120000</v>
      </c>
      <c r="L67" s="759"/>
      <c r="M67" s="759">
        <v>120000</v>
      </c>
      <c r="N67" s="759"/>
      <c r="O67" s="807"/>
    </row>
    <row r="68" spans="1:15" s="753" customFormat="1" ht="20.100000000000001" customHeight="1">
      <c r="A68" s="802">
        <v>9</v>
      </c>
      <c r="B68" s="803" t="s">
        <v>2660</v>
      </c>
      <c r="C68" s="802" t="s">
        <v>2667</v>
      </c>
      <c r="D68" s="804" t="s">
        <v>2668</v>
      </c>
      <c r="E68" s="756" t="s">
        <v>2536</v>
      </c>
      <c r="F68" s="756" t="s">
        <v>2244</v>
      </c>
      <c r="G68" s="757" t="s">
        <v>2706</v>
      </c>
      <c r="H68" s="757"/>
      <c r="I68" s="808">
        <v>30000</v>
      </c>
      <c r="J68" s="806">
        <v>1</v>
      </c>
      <c r="K68" s="808">
        <f>J68*I68</f>
        <v>30000</v>
      </c>
      <c r="L68" s="759"/>
      <c r="M68" s="759">
        <v>30000</v>
      </c>
      <c r="N68" s="759"/>
      <c r="O68" s="807"/>
    </row>
    <row r="69" spans="1:15" s="753" customFormat="1" ht="20.100000000000001" customHeight="1">
      <c r="A69" s="809"/>
      <c r="B69" s="810"/>
      <c r="C69" s="811"/>
      <c r="D69" s="801" t="s">
        <v>2659</v>
      </c>
      <c r="E69" s="812"/>
      <c r="F69" s="812"/>
      <c r="G69" s="813"/>
      <c r="H69" s="813"/>
      <c r="I69" s="814"/>
      <c r="J69" s="815"/>
      <c r="K69" s="814">
        <f>SUM(K67:K68)</f>
        <v>150000</v>
      </c>
      <c r="L69" s="816">
        <f t="shared" ref="L69:N69" si="15">SUM(L67:L68)</f>
        <v>0</v>
      </c>
      <c r="M69" s="816">
        <f t="shared" si="15"/>
        <v>150000</v>
      </c>
      <c r="N69" s="816">
        <f t="shared" si="15"/>
        <v>0</v>
      </c>
      <c r="O69" s="817"/>
    </row>
    <row r="70" spans="1:15" s="753" customFormat="1" ht="20.100000000000001" customHeight="1">
      <c r="A70" s="802">
        <v>10</v>
      </c>
      <c r="B70" s="802" t="s">
        <v>2660</v>
      </c>
      <c r="C70" s="802" t="s">
        <v>2667</v>
      </c>
      <c r="D70" s="818" t="s">
        <v>590</v>
      </c>
      <c r="E70" s="757" t="s">
        <v>2669</v>
      </c>
      <c r="F70" s="757" t="s">
        <v>2670</v>
      </c>
      <c r="G70" s="757" t="s">
        <v>2671</v>
      </c>
      <c r="H70" s="772" t="s">
        <v>2672</v>
      </c>
      <c r="I70" s="819">
        <v>380</v>
      </c>
      <c r="J70" s="802">
        <v>400</v>
      </c>
      <c r="K70" s="820">
        <f>I70*J70</f>
        <v>152000</v>
      </c>
      <c r="L70" s="759"/>
      <c r="M70" s="759">
        <v>152000</v>
      </c>
      <c r="N70" s="759"/>
      <c r="O70" s="821"/>
    </row>
    <row r="71" spans="1:15" s="753" customFormat="1" ht="20.100000000000001" customHeight="1">
      <c r="A71" s="811">
        <v>10</v>
      </c>
      <c r="B71" s="811" t="s">
        <v>2673</v>
      </c>
      <c r="C71" s="811" t="s">
        <v>2674</v>
      </c>
      <c r="D71" s="822" t="s">
        <v>590</v>
      </c>
      <c r="E71" s="796" t="s">
        <v>2669</v>
      </c>
      <c r="F71" s="823" t="s">
        <v>2670</v>
      </c>
      <c r="G71" s="823" t="s">
        <v>2675</v>
      </c>
      <c r="H71" s="824" t="s">
        <v>2676</v>
      </c>
      <c r="I71" s="820">
        <v>650</v>
      </c>
      <c r="J71" s="811">
        <v>15</v>
      </c>
      <c r="K71" s="820">
        <f t="shared" ref="K71:K82" si="16">I71*J71</f>
        <v>9750</v>
      </c>
      <c r="L71" s="759"/>
      <c r="M71" s="759">
        <v>9750</v>
      </c>
      <c r="N71" s="759"/>
      <c r="O71" s="825"/>
    </row>
    <row r="72" spans="1:15" s="753" customFormat="1" ht="20.100000000000001" customHeight="1">
      <c r="A72" s="802">
        <v>10</v>
      </c>
      <c r="B72" s="802" t="s">
        <v>2673</v>
      </c>
      <c r="C72" s="802" t="s">
        <v>2674</v>
      </c>
      <c r="D72" s="818" t="s">
        <v>590</v>
      </c>
      <c r="E72" s="796" t="s">
        <v>2669</v>
      </c>
      <c r="F72" s="823" t="s">
        <v>2670</v>
      </c>
      <c r="G72" s="823" t="s">
        <v>2677</v>
      </c>
      <c r="H72" s="824" t="s">
        <v>2678</v>
      </c>
      <c r="I72" s="820">
        <v>6000</v>
      </c>
      <c r="J72" s="811">
        <v>20</v>
      </c>
      <c r="K72" s="820">
        <f t="shared" si="16"/>
        <v>120000</v>
      </c>
      <c r="L72" s="759"/>
      <c r="M72" s="759">
        <v>120000</v>
      </c>
      <c r="N72" s="759"/>
      <c r="O72" s="825"/>
    </row>
    <row r="73" spans="1:15" s="753" customFormat="1" ht="20.100000000000001" customHeight="1">
      <c r="A73" s="811">
        <v>10</v>
      </c>
      <c r="B73" s="811" t="s">
        <v>2707</v>
      </c>
      <c r="C73" s="811" t="s">
        <v>2708</v>
      </c>
      <c r="D73" s="822" t="s">
        <v>590</v>
      </c>
      <c r="E73" s="796" t="s">
        <v>2669</v>
      </c>
      <c r="F73" s="823" t="s">
        <v>2670</v>
      </c>
      <c r="G73" s="823" t="s">
        <v>2679</v>
      </c>
      <c r="H73" s="824"/>
      <c r="I73" s="820">
        <v>100000</v>
      </c>
      <c r="J73" s="811">
        <v>1</v>
      </c>
      <c r="K73" s="820">
        <f t="shared" si="16"/>
        <v>100000</v>
      </c>
      <c r="L73" s="759"/>
      <c r="M73" s="759">
        <v>100000</v>
      </c>
      <c r="N73" s="759"/>
      <c r="O73" s="825"/>
    </row>
    <row r="74" spans="1:15" s="753" customFormat="1" ht="20.100000000000001" customHeight="1">
      <c r="A74" s="802">
        <v>10</v>
      </c>
      <c r="B74" s="802" t="s">
        <v>2707</v>
      </c>
      <c r="C74" s="802" t="s">
        <v>2708</v>
      </c>
      <c r="D74" s="818" t="s">
        <v>590</v>
      </c>
      <c r="E74" s="796" t="s">
        <v>2669</v>
      </c>
      <c r="F74" s="823" t="s">
        <v>2670</v>
      </c>
      <c r="G74" s="823" t="s">
        <v>2680</v>
      </c>
      <c r="H74" s="824" t="s">
        <v>1965</v>
      </c>
      <c r="I74" s="820">
        <v>2500</v>
      </c>
      <c r="J74" s="811">
        <v>33</v>
      </c>
      <c r="K74" s="820">
        <f t="shared" si="16"/>
        <v>82500</v>
      </c>
      <c r="L74" s="759"/>
      <c r="M74" s="759">
        <v>82500</v>
      </c>
      <c r="N74" s="759"/>
      <c r="O74" s="825"/>
    </row>
    <row r="75" spans="1:15" s="753" customFormat="1" ht="20.100000000000001" customHeight="1">
      <c r="A75" s="811">
        <v>10</v>
      </c>
      <c r="B75" s="811" t="s">
        <v>2707</v>
      </c>
      <c r="C75" s="811" t="s">
        <v>2708</v>
      </c>
      <c r="D75" s="822" t="s">
        <v>590</v>
      </c>
      <c r="E75" s="796" t="s">
        <v>2669</v>
      </c>
      <c r="F75" s="823" t="s">
        <v>2709</v>
      </c>
      <c r="G75" s="823" t="s">
        <v>2709</v>
      </c>
      <c r="H75" s="824" t="s">
        <v>2710</v>
      </c>
      <c r="I75" s="820">
        <v>385178</v>
      </c>
      <c r="J75" s="811">
        <v>1</v>
      </c>
      <c r="K75" s="820">
        <f t="shared" si="16"/>
        <v>385178</v>
      </c>
      <c r="L75" s="759"/>
      <c r="M75" s="759">
        <v>385178</v>
      </c>
      <c r="N75" s="759"/>
      <c r="O75" s="825"/>
    </row>
    <row r="76" spans="1:15" s="753" customFormat="1" ht="20.100000000000001" customHeight="1">
      <c r="A76" s="802">
        <v>10</v>
      </c>
      <c r="B76" s="802" t="s">
        <v>2707</v>
      </c>
      <c r="C76" s="802" t="s">
        <v>2708</v>
      </c>
      <c r="D76" s="818" t="s">
        <v>590</v>
      </c>
      <c r="E76" s="796" t="s">
        <v>2669</v>
      </c>
      <c r="F76" s="823" t="s">
        <v>2681</v>
      </c>
      <c r="G76" s="823" t="s">
        <v>2681</v>
      </c>
      <c r="H76" s="824" t="s">
        <v>2052</v>
      </c>
      <c r="I76" s="820">
        <v>60000</v>
      </c>
      <c r="J76" s="811">
        <v>1</v>
      </c>
      <c r="K76" s="820">
        <f t="shared" si="16"/>
        <v>60000</v>
      </c>
      <c r="L76" s="759"/>
      <c r="M76" s="759">
        <v>60000</v>
      </c>
      <c r="N76" s="759"/>
      <c r="O76" s="825"/>
    </row>
    <row r="77" spans="1:15" s="753" customFormat="1" ht="20.100000000000001" customHeight="1">
      <c r="A77" s="811">
        <v>10</v>
      </c>
      <c r="B77" s="811" t="s">
        <v>2707</v>
      </c>
      <c r="C77" s="811" t="s">
        <v>2708</v>
      </c>
      <c r="D77" s="822" t="s">
        <v>590</v>
      </c>
      <c r="E77" s="796" t="s">
        <v>2669</v>
      </c>
      <c r="F77" s="823" t="s">
        <v>2682</v>
      </c>
      <c r="G77" s="823" t="s">
        <v>2682</v>
      </c>
      <c r="H77" s="824" t="s">
        <v>2052</v>
      </c>
      <c r="I77" s="820">
        <v>92350</v>
      </c>
      <c r="J77" s="811">
        <v>1</v>
      </c>
      <c r="K77" s="820">
        <f t="shared" si="16"/>
        <v>92350</v>
      </c>
      <c r="L77" s="759"/>
      <c r="M77" s="759">
        <v>92350</v>
      </c>
      <c r="N77" s="759"/>
      <c r="O77" s="825"/>
    </row>
    <row r="78" spans="1:15" s="753" customFormat="1" ht="20.100000000000001" customHeight="1">
      <c r="A78" s="802">
        <v>10</v>
      </c>
      <c r="B78" s="802" t="s">
        <v>2707</v>
      </c>
      <c r="C78" s="802" t="s">
        <v>2708</v>
      </c>
      <c r="D78" s="818" t="s">
        <v>590</v>
      </c>
      <c r="E78" s="757" t="s">
        <v>2669</v>
      </c>
      <c r="F78" s="826" t="s">
        <v>2683</v>
      </c>
      <c r="G78" s="826" t="s">
        <v>2684</v>
      </c>
      <c r="H78" s="772" t="s">
        <v>2685</v>
      </c>
      <c r="I78" s="819">
        <v>15000</v>
      </c>
      <c r="J78" s="802">
        <v>20</v>
      </c>
      <c r="K78" s="819">
        <f t="shared" si="16"/>
        <v>300000</v>
      </c>
      <c r="L78" s="759"/>
      <c r="M78" s="759">
        <v>300000</v>
      </c>
      <c r="N78" s="759"/>
      <c r="O78" s="825"/>
    </row>
    <row r="79" spans="1:15" s="753" customFormat="1" ht="20.100000000000001" customHeight="1">
      <c r="A79" s="802">
        <v>10</v>
      </c>
      <c r="B79" s="802" t="s">
        <v>2707</v>
      </c>
      <c r="C79" s="802" t="s">
        <v>2708</v>
      </c>
      <c r="D79" s="818" t="s">
        <v>590</v>
      </c>
      <c r="E79" s="757" t="s">
        <v>2669</v>
      </c>
      <c r="F79" s="826" t="s">
        <v>2686</v>
      </c>
      <c r="G79" s="826" t="s">
        <v>2686</v>
      </c>
      <c r="H79" s="772" t="s">
        <v>2052</v>
      </c>
      <c r="I79" s="819">
        <v>200000</v>
      </c>
      <c r="J79" s="802">
        <v>1</v>
      </c>
      <c r="K79" s="819">
        <f t="shared" si="16"/>
        <v>200000</v>
      </c>
      <c r="L79" s="759"/>
      <c r="M79" s="759">
        <v>200000</v>
      </c>
      <c r="N79" s="759"/>
      <c r="O79" s="825"/>
    </row>
    <row r="80" spans="1:15" s="753" customFormat="1" ht="20.100000000000001" customHeight="1">
      <c r="A80" s="802">
        <v>10</v>
      </c>
      <c r="B80" s="802" t="s">
        <v>2707</v>
      </c>
      <c r="C80" s="802" t="s">
        <v>2708</v>
      </c>
      <c r="D80" s="818" t="s">
        <v>590</v>
      </c>
      <c r="E80" s="757" t="s">
        <v>2669</v>
      </c>
      <c r="F80" s="826" t="s">
        <v>2247</v>
      </c>
      <c r="G80" s="826" t="s">
        <v>2247</v>
      </c>
      <c r="H80" s="772" t="s">
        <v>1965</v>
      </c>
      <c r="I80" s="819">
        <v>40000</v>
      </c>
      <c r="J80" s="802">
        <v>1</v>
      </c>
      <c r="K80" s="819">
        <f t="shared" si="16"/>
        <v>40000</v>
      </c>
      <c r="L80" s="759"/>
      <c r="M80" s="759">
        <v>40000</v>
      </c>
      <c r="N80" s="759"/>
      <c r="O80" s="825"/>
    </row>
    <row r="81" spans="1:15" s="753" customFormat="1" ht="20.100000000000001" customHeight="1">
      <c r="A81" s="802">
        <v>10</v>
      </c>
      <c r="B81" s="802" t="s">
        <v>2707</v>
      </c>
      <c r="C81" s="802" t="s">
        <v>2708</v>
      </c>
      <c r="D81" s="818" t="s">
        <v>590</v>
      </c>
      <c r="E81" s="757" t="s">
        <v>2669</v>
      </c>
      <c r="F81" s="826" t="s">
        <v>2249</v>
      </c>
      <c r="G81" s="826" t="s">
        <v>2249</v>
      </c>
      <c r="H81" s="772" t="s">
        <v>1965</v>
      </c>
      <c r="I81" s="819">
        <v>30000</v>
      </c>
      <c r="J81" s="802">
        <v>1</v>
      </c>
      <c r="K81" s="819">
        <f t="shared" si="16"/>
        <v>30000</v>
      </c>
      <c r="L81" s="759"/>
      <c r="M81" s="759">
        <v>30000</v>
      </c>
      <c r="N81" s="759"/>
      <c r="O81" s="825"/>
    </row>
    <row r="82" spans="1:15" s="753" customFormat="1" ht="20.100000000000001" customHeight="1">
      <c r="A82" s="802">
        <v>10</v>
      </c>
      <c r="B82" s="802" t="s">
        <v>2707</v>
      </c>
      <c r="C82" s="802" t="s">
        <v>2708</v>
      </c>
      <c r="D82" s="818" t="s">
        <v>590</v>
      </c>
      <c r="E82" s="757" t="s">
        <v>2669</v>
      </c>
      <c r="F82" s="826" t="s">
        <v>2687</v>
      </c>
      <c r="G82" s="826" t="s">
        <v>2687</v>
      </c>
      <c r="H82" s="772" t="s">
        <v>2052</v>
      </c>
      <c r="I82" s="819">
        <v>100000</v>
      </c>
      <c r="J82" s="802">
        <v>4</v>
      </c>
      <c r="K82" s="819">
        <f t="shared" si="16"/>
        <v>400000</v>
      </c>
      <c r="L82" s="759"/>
      <c r="M82" s="759">
        <v>372453</v>
      </c>
      <c r="N82" s="759">
        <f>K82-M82</f>
        <v>27547</v>
      </c>
      <c r="O82" s="825"/>
    </row>
    <row r="83" spans="1:15" s="753" customFormat="1" ht="20.100000000000001" customHeight="1">
      <c r="A83" s="827"/>
      <c r="B83" s="827"/>
      <c r="C83" s="802"/>
      <c r="D83" s="771" t="s">
        <v>2711</v>
      </c>
      <c r="E83" s="828"/>
      <c r="F83" s="828"/>
      <c r="G83" s="829"/>
      <c r="H83" s="829"/>
      <c r="I83" s="816"/>
      <c r="J83" s="827"/>
      <c r="K83" s="816">
        <f>SUM(K70:K82)</f>
        <v>1971778</v>
      </c>
      <c r="L83" s="816">
        <f t="shared" ref="L83:N83" si="17">SUM(L70:L82)</f>
        <v>0</v>
      </c>
      <c r="M83" s="816">
        <f t="shared" si="17"/>
        <v>1944231</v>
      </c>
      <c r="N83" s="816">
        <f t="shared" si="17"/>
        <v>27547</v>
      </c>
      <c r="O83" s="830"/>
    </row>
    <row r="84" spans="1:15" s="753" customFormat="1" ht="20.100000000000001" customHeight="1">
      <c r="A84" s="802">
        <v>11</v>
      </c>
      <c r="B84" s="802" t="s">
        <v>2707</v>
      </c>
      <c r="C84" s="802" t="s">
        <v>2708</v>
      </c>
      <c r="D84" s="831" t="s">
        <v>2488</v>
      </c>
      <c r="E84" s="832" t="s">
        <v>2712</v>
      </c>
      <c r="F84" s="831" t="s">
        <v>2712</v>
      </c>
      <c r="G84" s="831" t="s">
        <v>2712</v>
      </c>
      <c r="H84" s="775" t="s">
        <v>2489</v>
      </c>
      <c r="I84" s="833">
        <v>2718000</v>
      </c>
      <c r="J84" s="834">
        <v>1</v>
      </c>
      <c r="K84" s="833">
        <f>J84*I84</f>
        <v>2718000</v>
      </c>
      <c r="L84" s="759"/>
      <c r="M84" s="759"/>
      <c r="N84" s="759">
        <f>K84</f>
        <v>2718000</v>
      </c>
      <c r="O84" s="760" t="s">
        <v>2713</v>
      </c>
    </row>
    <row r="85" spans="1:15" s="753" customFormat="1" ht="20.100000000000001" customHeight="1">
      <c r="A85" s="802"/>
      <c r="B85" s="759"/>
      <c r="C85" s="759"/>
      <c r="D85" s="771" t="s">
        <v>2711</v>
      </c>
      <c r="E85" s="835"/>
      <c r="F85" s="829"/>
      <c r="G85" s="829"/>
      <c r="H85" s="759"/>
      <c r="I85" s="759"/>
      <c r="J85" s="759"/>
      <c r="K85" s="814">
        <f>SUM(K84:K84)</f>
        <v>2718000</v>
      </c>
      <c r="L85" s="816">
        <f t="shared" ref="L85:N85" si="18">SUM(L84:L84)</f>
        <v>0</v>
      </c>
      <c r="M85" s="816">
        <f t="shared" si="18"/>
        <v>0</v>
      </c>
      <c r="N85" s="816">
        <f t="shared" si="18"/>
        <v>2718000</v>
      </c>
      <c r="O85" s="817"/>
    </row>
    <row r="86" spans="1:15" s="753" customFormat="1" ht="20.100000000000001" customHeight="1">
      <c r="A86" s="802">
        <v>12</v>
      </c>
      <c r="B86" s="802" t="s">
        <v>2707</v>
      </c>
      <c r="C86" s="802" t="s">
        <v>2708</v>
      </c>
      <c r="D86" s="831" t="s">
        <v>2490</v>
      </c>
      <c r="E86" s="832" t="s">
        <v>2712</v>
      </c>
      <c r="F86" s="831" t="s">
        <v>2712</v>
      </c>
      <c r="G86" s="831" t="s">
        <v>2712</v>
      </c>
      <c r="H86" s="775" t="s">
        <v>2714</v>
      </c>
      <c r="I86" s="833">
        <v>2808000</v>
      </c>
      <c r="J86" s="834">
        <v>1</v>
      </c>
      <c r="K86" s="833">
        <f>J86*I86</f>
        <v>2808000</v>
      </c>
      <c r="L86" s="759"/>
      <c r="M86" s="759"/>
      <c r="N86" s="759">
        <f>K86</f>
        <v>2808000</v>
      </c>
      <c r="O86" s="760" t="s">
        <v>2713</v>
      </c>
    </row>
    <row r="87" spans="1:15" s="753" customFormat="1" ht="20.100000000000001" customHeight="1">
      <c r="A87" s="827"/>
      <c r="B87" s="827"/>
      <c r="C87" s="802"/>
      <c r="D87" s="771" t="s">
        <v>2711</v>
      </c>
      <c r="E87" s="835"/>
      <c r="F87" s="828"/>
      <c r="G87" s="829"/>
      <c r="H87" s="829"/>
      <c r="I87" s="816"/>
      <c r="J87" s="827"/>
      <c r="K87" s="816">
        <f>SUM(K86:K86)</f>
        <v>2808000</v>
      </c>
      <c r="L87" s="816">
        <f t="shared" ref="L87:N87" si="19">SUM(L86:L86)</f>
        <v>0</v>
      </c>
      <c r="M87" s="816">
        <f t="shared" si="19"/>
        <v>0</v>
      </c>
      <c r="N87" s="816">
        <f t="shared" si="19"/>
        <v>2808000</v>
      </c>
      <c r="O87" s="830"/>
    </row>
    <row r="88" spans="1:15" s="753" customFormat="1" ht="20.100000000000001" customHeight="1">
      <c r="A88" s="802">
        <v>13</v>
      </c>
      <c r="B88" s="769" t="s">
        <v>2707</v>
      </c>
      <c r="C88" s="563" t="s">
        <v>1717</v>
      </c>
      <c r="D88" s="831" t="s">
        <v>2688</v>
      </c>
      <c r="E88" s="832" t="s">
        <v>2715</v>
      </c>
      <c r="F88" s="832" t="s">
        <v>2715</v>
      </c>
      <c r="G88" s="832" t="s">
        <v>2715</v>
      </c>
      <c r="H88" s="772"/>
      <c r="I88" s="773">
        <f>[3]七宝文莱碧林湾校区!J14</f>
        <v>500300</v>
      </c>
      <c r="J88" s="770">
        <v>1</v>
      </c>
      <c r="K88" s="819">
        <f>I88*J88</f>
        <v>500300</v>
      </c>
      <c r="L88" s="759"/>
      <c r="M88" s="759"/>
      <c r="N88" s="759">
        <f>K88-L88</f>
        <v>500300</v>
      </c>
      <c r="O88" s="830"/>
    </row>
    <row r="89" spans="1:15" s="753" customFormat="1" ht="20.100000000000001" customHeight="1">
      <c r="A89" s="827"/>
      <c r="B89" s="827"/>
      <c r="C89" s="802"/>
      <c r="D89" s="771" t="s">
        <v>2711</v>
      </c>
      <c r="E89" s="828"/>
      <c r="F89" s="828"/>
      <c r="G89" s="829"/>
      <c r="H89" s="829"/>
      <c r="I89" s="816"/>
      <c r="J89" s="827"/>
      <c r="K89" s="816">
        <f>SUM(K88:K88)</f>
        <v>500300</v>
      </c>
      <c r="L89" s="816">
        <f t="shared" ref="L89:N89" si="20">SUM(L88:L88)</f>
        <v>0</v>
      </c>
      <c r="M89" s="816">
        <f t="shared" si="20"/>
        <v>0</v>
      </c>
      <c r="N89" s="816">
        <f t="shared" si="20"/>
        <v>500300</v>
      </c>
      <c r="O89" s="830"/>
    </row>
    <row r="90" spans="1:15" s="753" customFormat="1" ht="20.100000000000001" customHeight="1">
      <c r="A90" s="802">
        <v>14</v>
      </c>
      <c r="B90" s="769" t="s">
        <v>2707</v>
      </c>
      <c r="C90" s="769" t="s">
        <v>2040</v>
      </c>
      <c r="D90" s="757" t="s">
        <v>2716</v>
      </c>
      <c r="E90" s="756" t="s">
        <v>2536</v>
      </c>
      <c r="F90" s="757" t="s">
        <v>2717</v>
      </c>
      <c r="G90" s="757" t="s">
        <v>2718</v>
      </c>
      <c r="H90" s="772"/>
      <c r="I90" s="773">
        <v>7600</v>
      </c>
      <c r="J90" s="770">
        <v>25</v>
      </c>
      <c r="K90" s="758">
        <f>I90*J90</f>
        <v>190000</v>
      </c>
      <c r="L90" s="759"/>
      <c r="M90" s="759"/>
      <c r="N90" s="759">
        <v>190000</v>
      </c>
      <c r="O90" s="760"/>
    </row>
    <row r="91" spans="1:15" s="753" customFormat="1" ht="20.100000000000001" customHeight="1">
      <c r="A91" s="827"/>
      <c r="B91" s="827"/>
      <c r="C91" s="802"/>
      <c r="D91" s="771" t="s">
        <v>2711</v>
      </c>
      <c r="E91" s="828"/>
      <c r="F91" s="828"/>
      <c r="G91" s="829"/>
      <c r="H91" s="829"/>
      <c r="I91" s="816"/>
      <c r="J91" s="827"/>
      <c r="K91" s="816">
        <f>SUM(K90:K90)</f>
        <v>190000</v>
      </c>
      <c r="L91" s="816">
        <f t="shared" ref="L91:N91" si="21">SUM(L90:L90)</f>
        <v>0</v>
      </c>
      <c r="M91" s="816">
        <f t="shared" si="21"/>
        <v>0</v>
      </c>
      <c r="N91" s="816">
        <f t="shared" si="21"/>
        <v>190000</v>
      </c>
      <c r="O91" s="830"/>
    </row>
    <row r="92" spans="1:15" s="753" customFormat="1" ht="20.100000000000001" customHeight="1">
      <c r="A92" s="802">
        <v>15</v>
      </c>
      <c r="B92" s="803" t="s">
        <v>2707</v>
      </c>
      <c r="C92" s="802" t="s">
        <v>2719</v>
      </c>
      <c r="D92" s="784" t="s">
        <v>2720</v>
      </c>
      <c r="E92" s="756" t="s">
        <v>2536</v>
      </c>
      <c r="F92" s="784" t="s">
        <v>2258</v>
      </c>
      <c r="G92" s="785" t="s">
        <v>2258</v>
      </c>
      <c r="H92" s="786" t="s">
        <v>2155</v>
      </c>
      <c r="I92" s="808">
        <v>498328.5</v>
      </c>
      <c r="J92" s="806">
        <v>1</v>
      </c>
      <c r="K92" s="808">
        <f>J92*I92</f>
        <v>498328.5</v>
      </c>
      <c r="L92" s="759">
        <f>K92</f>
        <v>498328.5</v>
      </c>
      <c r="M92" s="759"/>
      <c r="N92" s="759"/>
      <c r="O92" s="760" t="s">
        <v>2789</v>
      </c>
    </row>
    <row r="93" spans="1:15" s="753" customFormat="1" ht="20.100000000000001" customHeight="1">
      <c r="A93" s="809"/>
      <c r="B93" s="810"/>
      <c r="C93" s="811"/>
      <c r="D93" s="801" t="s">
        <v>2711</v>
      </c>
      <c r="E93" s="812"/>
      <c r="F93" s="812"/>
      <c r="G93" s="813"/>
      <c r="H93" s="813"/>
      <c r="I93" s="814"/>
      <c r="J93" s="815"/>
      <c r="K93" s="814">
        <f>SUM(K92:K92)</f>
        <v>498328.5</v>
      </c>
      <c r="L93" s="816">
        <f t="shared" ref="L93:N93" si="22">SUM(L92:L92)</f>
        <v>498328.5</v>
      </c>
      <c r="M93" s="816">
        <f t="shared" si="22"/>
        <v>0</v>
      </c>
      <c r="N93" s="816">
        <f t="shared" si="22"/>
        <v>0</v>
      </c>
      <c r="O93" s="817"/>
    </row>
    <row r="94" spans="1:15" s="753" customFormat="1" ht="20.100000000000001" customHeight="1">
      <c r="A94" s="836"/>
      <c r="B94" s="836"/>
      <c r="C94" s="836"/>
      <c r="D94" s="771" t="s">
        <v>2721</v>
      </c>
      <c r="E94" s="836"/>
      <c r="F94" s="837"/>
      <c r="G94" s="837"/>
      <c r="H94" s="837"/>
      <c r="I94" s="838"/>
      <c r="J94" s="839"/>
      <c r="K94" s="836">
        <f>SUM(K3:K93)/2</f>
        <v>19343847</v>
      </c>
      <c r="L94" s="836">
        <f t="shared" ref="L94:N94" si="23">SUM(L3:L93)/2</f>
        <v>10420000</v>
      </c>
      <c r="M94" s="836">
        <f t="shared" si="23"/>
        <v>2680000</v>
      </c>
      <c r="N94" s="836">
        <f t="shared" si="23"/>
        <v>6243847</v>
      </c>
      <c r="O94" s="840"/>
    </row>
    <row r="95" spans="1:15" ht="20.100000000000001" customHeight="1"/>
    <row r="96" spans="1:15" ht="15.75">
      <c r="A96" s="1493" t="s">
        <v>2790</v>
      </c>
      <c r="B96" s="1493"/>
      <c r="C96" s="1493"/>
      <c r="D96" s="1493"/>
      <c r="E96" s="1493"/>
      <c r="F96" s="1493"/>
      <c r="G96" s="1493"/>
      <c r="H96" s="1493"/>
      <c r="I96" s="1493"/>
      <c r="J96" s="1493"/>
      <c r="K96" s="1493"/>
    </row>
    <row r="97" spans="1:11">
      <c r="A97" s="1494" t="s">
        <v>2791</v>
      </c>
      <c r="B97" s="1496" t="s">
        <v>2792</v>
      </c>
      <c r="C97" s="1498" t="s">
        <v>2793</v>
      </c>
      <c r="D97" s="1500" t="s">
        <v>2794</v>
      </c>
      <c r="E97" s="1500" t="s">
        <v>2795</v>
      </c>
      <c r="F97" s="1496" t="s">
        <v>2796</v>
      </c>
      <c r="G97" s="1496" t="s">
        <v>2797</v>
      </c>
      <c r="H97" s="1494" t="s">
        <v>2798</v>
      </c>
      <c r="I97" s="1494" t="s">
        <v>2799</v>
      </c>
      <c r="J97" s="1494" t="s">
        <v>2800</v>
      </c>
      <c r="K97" s="1502" t="s">
        <v>2801</v>
      </c>
    </row>
    <row r="98" spans="1:11">
      <c r="A98" s="1495"/>
      <c r="B98" s="1497"/>
      <c r="C98" s="1499"/>
      <c r="D98" s="1501"/>
      <c r="E98" s="1501"/>
      <c r="F98" s="1497"/>
      <c r="G98" s="1497"/>
      <c r="H98" s="1495"/>
      <c r="I98" s="1495"/>
      <c r="J98" s="1495"/>
      <c r="K98" s="1495"/>
    </row>
    <row r="99" spans="1:11" ht="33.75">
      <c r="A99" s="845">
        <v>1</v>
      </c>
      <c r="B99" s="846" t="s">
        <v>2802</v>
      </c>
      <c r="C99" s="847" t="s">
        <v>2492</v>
      </c>
      <c r="D99" s="846" t="s">
        <v>2803</v>
      </c>
      <c r="E99" s="846" t="s">
        <v>2804</v>
      </c>
      <c r="F99" s="846" t="s">
        <v>2061</v>
      </c>
      <c r="G99" s="845"/>
      <c r="H99" s="845">
        <v>400</v>
      </c>
      <c r="I99" s="845">
        <v>270</v>
      </c>
      <c r="J99" s="845">
        <f>H99*I99</f>
        <v>108000</v>
      </c>
      <c r="K99" s="845"/>
    </row>
    <row r="100" spans="1:11" ht="33.75">
      <c r="A100" s="845">
        <v>2</v>
      </c>
      <c r="B100" s="846" t="s">
        <v>2802</v>
      </c>
      <c r="C100" s="847" t="s">
        <v>2492</v>
      </c>
      <c r="D100" s="846" t="s">
        <v>2803</v>
      </c>
      <c r="E100" s="846" t="s">
        <v>2804</v>
      </c>
      <c r="F100" s="848" t="s">
        <v>2493</v>
      </c>
      <c r="G100" s="845"/>
      <c r="H100" s="845">
        <v>2000</v>
      </c>
      <c r="I100" s="845">
        <v>6</v>
      </c>
      <c r="J100" s="845">
        <f t="shared" ref="J100:J108" si="24">H100*I100</f>
        <v>12000</v>
      </c>
      <c r="K100" s="845"/>
    </row>
    <row r="101" spans="1:11" ht="33.75">
      <c r="A101" s="845">
        <v>3</v>
      </c>
      <c r="B101" s="846" t="s">
        <v>2802</v>
      </c>
      <c r="C101" s="847" t="s">
        <v>2492</v>
      </c>
      <c r="D101" s="846" t="s">
        <v>2803</v>
      </c>
      <c r="E101" s="846" t="s">
        <v>2804</v>
      </c>
      <c r="F101" s="848" t="s">
        <v>2494</v>
      </c>
      <c r="G101" s="845"/>
      <c r="H101" s="845">
        <v>3500</v>
      </c>
      <c r="I101" s="845">
        <v>6</v>
      </c>
      <c r="J101" s="845">
        <f t="shared" si="24"/>
        <v>21000</v>
      </c>
      <c r="K101" s="845"/>
    </row>
    <row r="102" spans="1:11" ht="33.75">
      <c r="A102" s="845">
        <v>4</v>
      </c>
      <c r="B102" s="846" t="s">
        <v>2802</v>
      </c>
      <c r="C102" s="847" t="s">
        <v>2492</v>
      </c>
      <c r="D102" s="846" t="s">
        <v>2803</v>
      </c>
      <c r="E102" s="846" t="s">
        <v>2804</v>
      </c>
      <c r="F102" s="848" t="s">
        <v>2805</v>
      </c>
      <c r="G102" s="845"/>
      <c r="H102" s="845">
        <v>1100</v>
      </c>
      <c r="I102" s="845">
        <v>6</v>
      </c>
      <c r="J102" s="845">
        <f t="shared" si="24"/>
        <v>6600</v>
      </c>
      <c r="K102" s="845"/>
    </row>
    <row r="103" spans="1:11" ht="33.75">
      <c r="A103" s="845">
        <v>5</v>
      </c>
      <c r="B103" s="846" t="s">
        <v>2802</v>
      </c>
      <c r="C103" s="847" t="s">
        <v>2492</v>
      </c>
      <c r="D103" s="846" t="s">
        <v>2803</v>
      </c>
      <c r="E103" s="846" t="s">
        <v>2804</v>
      </c>
      <c r="F103" s="848" t="s">
        <v>2806</v>
      </c>
      <c r="G103" s="845"/>
      <c r="H103" s="845">
        <v>1600</v>
      </c>
      <c r="I103" s="845">
        <v>24</v>
      </c>
      <c r="J103" s="845">
        <f t="shared" si="24"/>
        <v>38400</v>
      </c>
      <c r="K103" s="845"/>
    </row>
    <row r="104" spans="1:11" ht="33.75">
      <c r="A104" s="845">
        <v>6</v>
      </c>
      <c r="B104" s="846" t="s">
        <v>2802</v>
      </c>
      <c r="C104" s="847" t="s">
        <v>2492</v>
      </c>
      <c r="D104" s="846" t="s">
        <v>2803</v>
      </c>
      <c r="E104" s="846" t="s">
        <v>2804</v>
      </c>
      <c r="F104" s="848" t="s">
        <v>2495</v>
      </c>
      <c r="G104" s="845"/>
      <c r="H104" s="845">
        <v>700</v>
      </c>
      <c r="I104" s="845">
        <v>11</v>
      </c>
      <c r="J104" s="845">
        <f t="shared" si="24"/>
        <v>7700</v>
      </c>
      <c r="K104" s="845"/>
    </row>
    <row r="105" spans="1:11" ht="33.75">
      <c r="A105" s="845">
        <v>7</v>
      </c>
      <c r="B105" s="846" t="s">
        <v>2802</v>
      </c>
      <c r="C105" s="847" t="s">
        <v>2492</v>
      </c>
      <c r="D105" s="846" t="s">
        <v>2803</v>
      </c>
      <c r="E105" s="846" t="s">
        <v>2807</v>
      </c>
      <c r="F105" s="848" t="s">
        <v>2808</v>
      </c>
      <c r="G105" s="845"/>
      <c r="H105" s="845">
        <v>27000</v>
      </c>
      <c r="I105" s="845">
        <v>6</v>
      </c>
      <c r="J105" s="845">
        <f t="shared" si="24"/>
        <v>162000</v>
      </c>
      <c r="K105" s="845"/>
    </row>
    <row r="106" spans="1:11" ht="33.75">
      <c r="A106" s="845">
        <v>8</v>
      </c>
      <c r="B106" s="846" t="s">
        <v>2802</v>
      </c>
      <c r="C106" s="847" t="s">
        <v>2492</v>
      </c>
      <c r="D106" s="846" t="s">
        <v>2803</v>
      </c>
      <c r="E106" s="846" t="s">
        <v>2807</v>
      </c>
      <c r="F106" s="848" t="s">
        <v>2809</v>
      </c>
      <c r="G106" s="845"/>
      <c r="H106" s="845">
        <v>5000</v>
      </c>
      <c r="I106" s="845">
        <v>24</v>
      </c>
      <c r="J106" s="845">
        <f t="shared" si="24"/>
        <v>120000</v>
      </c>
      <c r="K106" s="845"/>
    </row>
    <row r="107" spans="1:11" ht="33.75">
      <c r="A107" s="845">
        <v>9</v>
      </c>
      <c r="B107" s="846" t="s">
        <v>2810</v>
      </c>
      <c r="C107" s="847" t="s">
        <v>2811</v>
      </c>
      <c r="D107" s="846" t="s">
        <v>2803</v>
      </c>
      <c r="E107" s="846" t="s">
        <v>2807</v>
      </c>
      <c r="F107" s="848" t="s">
        <v>2812</v>
      </c>
      <c r="G107" s="845"/>
      <c r="H107" s="845">
        <v>1200</v>
      </c>
      <c r="I107" s="845">
        <v>8</v>
      </c>
      <c r="J107" s="845">
        <f t="shared" si="24"/>
        <v>9600</v>
      </c>
      <c r="K107" s="845"/>
    </row>
    <row r="108" spans="1:11" ht="33.75">
      <c r="A108" s="845">
        <v>10</v>
      </c>
      <c r="B108" s="846" t="s">
        <v>2810</v>
      </c>
      <c r="C108" s="847" t="s">
        <v>2811</v>
      </c>
      <c r="D108" s="846" t="s">
        <v>2803</v>
      </c>
      <c r="E108" s="846" t="s">
        <v>2807</v>
      </c>
      <c r="F108" s="848" t="s">
        <v>2813</v>
      </c>
      <c r="G108" s="845"/>
      <c r="H108" s="845">
        <v>15000</v>
      </c>
      <c r="I108" s="845">
        <v>1</v>
      </c>
      <c r="J108" s="845">
        <f t="shared" si="24"/>
        <v>15000</v>
      </c>
      <c r="K108" s="845"/>
    </row>
    <row r="109" spans="1:11">
      <c r="A109" s="845"/>
      <c r="B109" s="846"/>
      <c r="C109" s="849" t="s">
        <v>2814</v>
      </c>
      <c r="D109" s="846"/>
      <c r="E109" s="848"/>
      <c r="F109" s="845"/>
      <c r="G109" s="845"/>
      <c r="H109" s="845"/>
      <c r="I109" s="845"/>
      <c r="J109" s="850">
        <f>SUM(J99:J108)</f>
        <v>500300</v>
      </c>
      <c r="K109" s="845"/>
    </row>
    <row r="111" spans="1:11" ht="18.75">
      <c r="A111" s="1503" t="s">
        <v>3285</v>
      </c>
      <c r="B111" s="1503"/>
      <c r="C111" s="1503"/>
      <c r="D111" s="1503"/>
      <c r="E111" s="1503"/>
      <c r="F111" s="1503"/>
      <c r="G111" s="1503"/>
      <c r="H111" s="1503"/>
    </row>
    <row r="112" spans="1:11">
      <c r="A112" s="1504" t="s">
        <v>1878</v>
      </c>
      <c r="B112" s="1504" t="s">
        <v>1885</v>
      </c>
      <c r="C112" s="1504" t="s">
        <v>1886</v>
      </c>
      <c r="D112" s="1504" t="s">
        <v>1887</v>
      </c>
      <c r="E112" s="1506" t="s">
        <v>1888</v>
      </c>
      <c r="F112" s="1508" t="s">
        <v>2815</v>
      </c>
      <c r="G112" s="1509"/>
      <c r="H112" s="851" t="s">
        <v>1889</v>
      </c>
    </row>
    <row r="113" spans="1:8">
      <c r="A113" s="1505"/>
      <c r="B113" s="1505"/>
      <c r="C113" s="1505"/>
      <c r="D113" s="1505"/>
      <c r="E113" s="1507"/>
      <c r="F113" s="1156" t="s">
        <v>2292</v>
      </c>
      <c r="G113" s="1159" t="s">
        <v>2293</v>
      </c>
      <c r="H113" s="851"/>
    </row>
    <row r="114" spans="1:8" ht="48">
      <c r="A114" s="853" t="s">
        <v>1890</v>
      </c>
      <c r="B114" s="854" t="s">
        <v>2294</v>
      </c>
      <c r="C114" s="855"/>
      <c r="D114" s="856"/>
      <c r="E114" s="1160"/>
      <c r="F114" s="1156"/>
      <c r="G114" s="1159"/>
      <c r="H114" s="851"/>
    </row>
    <row r="115" spans="1:8" ht="60">
      <c r="A115" s="857">
        <v>1</v>
      </c>
      <c r="B115" s="669" t="s">
        <v>2295</v>
      </c>
      <c r="C115" s="857" t="s">
        <v>1893</v>
      </c>
      <c r="D115" s="854"/>
      <c r="E115" s="1161">
        <v>250000</v>
      </c>
      <c r="F115" s="857">
        <v>1</v>
      </c>
      <c r="G115" s="1161">
        <f>E115*F115</f>
        <v>250000</v>
      </c>
      <c r="H115" s="880" t="s">
        <v>2296</v>
      </c>
    </row>
    <row r="116" spans="1:8" ht="60">
      <c r="A116" s="857">
        <v>2</v>
      </c>
      <c r="B116" s="669" t="s">
        <v>2297</v>
      </c>
      <c r="C116" s="857" t="s">
        <v>1893</v>
      </c>
      <c r="D116" s="669"/>
      <c r="E116" s="1161">
        <v>100000</v>
      </c>
      <c r="F116" s="857">
        <v>1</v>
      </c>
      <c r="G116" s="1161">
        <f t="shared" ref="G116:G118" si="25">E116*F116</f>
        <v>100000</v>
      </c>
      <c r="H116" s="880" t="s">
        <v>2296</v>
      </c>
    </row>
    <row r="117" spans="1:8" ht="60">
      <c r="A117" s="859">
        <v>3</v>
      </c>
      <c r="B117" s="669" t="s">
        <v>2298</v>
      </c>
      <c r="C117" s="857" t="s">
        <v>1893</v>
      </c>
      <c r="D117" s="669" t="s">
        <v>2299</v>
      </c>
      <c r="E117" s="1161">
        <v>70000</v>
      </c>
      <c r="F117" s="857">
        <v>1</v>
      </c>
      <c r="G117" s="1161">
        <f t="shared" si="25"/>
        <v>70000</v>
      </c>
      <c r="H117" s="880" t="s">
        <v>2296</v>
      </c>
    </row>
    <row r="118" spans="1:8" ht="24">
      <c r="A118" s="857">
        <v>4</v>
      </c>
      <c r="B118" s="669" t="s">
        <v>2300</v>
      </c>
      <c r="C118" s="857" t="s">
        <v>1893</v>
      </c>
      <c r="D118" s="857"/>
      <c r="E118" s="1161">
        <v>20000</v>
      </c>
      <c r="F118" s="857">
        <v>1</v>
      </c>
      <c r="G118" s="1161">
        <f t="shared" si="25"/>
        <v>20000</v>
      </c>
      <c r="H118" s="880" t="s">
        <v>2301</v>
      </c>
    </row>
    <row r="119" spans="1:8">
      <c r="A119" s="857"/>
      <c r="B119" s="1156" t="s">
        <v>1900</v>
      </c>
      <c r="C119" s="857"/>
      <c r="D119" s="669"/>
      <c r="E119" s="1161"/>
      <c r="F119" s="853"/>
      <c r="G119" s="1162">
        <f t="shared" ref="G119" si="26">SUM(G115:G118)</f>
        <v>440000</v>
      </c>
      <c r="H119" s="861"/>
    </row>
    <row r="120" spans="1:8" ht="36">
      <c r="A120" s="1163" t="s">
        <v>2302</v>
      </c>
      <c r="B120" s="919" t="s">
        <v>2303</v>
      </c>
      <c r="C120" s="857"/>
      <c r="D120" s="863"/>
      <c r="E120" s="1161"/>
      <c r="F120" s="853"/>
      <c r="G120" s="1162"/>
      <c r="H120" s="861"/>
    </row>
    <row r="121" spans="1:8" ht="36">
      <c r="A121" s="1164" t="s">
        <v>1903</v>
      </c>
      <c r="B121" s="865" t="s">
        <v>2304</v>
      </c>
      <c r="C121" s="853"/>
      <c r="D121" s="866"/>
      <c r="E121" s="1162"/>
      <c r="F121" s="853"/>
      <c r="G121" s="1162"/>
      <c r="H121" s="851"/>
    </row>
    <row r="122" spans="1:8" ht="60">
      <c r="A122" s="1164" t="s">
        <v>1905</v>
      </c>
      <c r="B122" s="865" t="s">
        <v>2305</v>
      </c>
      <c r="C122" s="853"/>
      <c r="D122" s="866"/>
      <c r="E122" s="1162"/>
      <c r="F122" s="853"/>
      <c r="G122" s="1162"/>
      <c r="H122" s="851"/>
    </row>
    <row r="123" spans="1:8">
      <c r="A123" s="857">
        <v>1</v>
      </c>
      <c r="B123" s="867" t="s">
        <v>1907</v>
      </c>
      <c r="C123" s="857" t="s">
        <v>1908</v>
      </c>
      <c r="D123" s="863"/>
      <c r="E123" s="1161">
        <v>80</v>
      </c>
      <c r="F123" s="857">
        <v>4</v>
      </c>
      <c r="G123" s="1161">
        <f>E123*F123</f>
        <v>320</v>
      </c>
      <c r="H123" s="669"/>
    </row>
    <row r="124" spans="1:8">
      <c r="A124" s="1163">
        <v>2</v>
      </c>
      <c r="B124" s="867" t="s">
        <v>1909</v>
      </c>
      <c r="C124" s="857" t="s">
        <v>1910</v>
      </c>
      <c r="D124" s="669" t="s">
        <v>2306</v>
      </c>
      <c r="E124" s="1161">
        <v>13000</v>
      </c>
      <c r="F124" s="857">
        <v>4</v>
      </c>
      <c r="G124" s="1161">
        <f t="shared" ref="G124:G134" si="27">E124*F124</f>
        <v>52000</v>
      </c>
      <c r="H124" s="669"/>
    </row>
    <row r="125" spans="1:8">
      <c r="A125" s="857">
        <v>3</v>
      </c>
      <c r="B125" s="867" t="s">
        <v>1912</v>
      </c>
      <c r="C125" s="857" t="s">
        <v>1913</v>
      </c>
      <c r="D125" s="868" t="s">
        <v>1914</v>
      </c>
      <c r="E125" s="1161">
        <v>320</v>
      </c>
      <c r="F125" s="857">
        <v>4</v>
      </c>
      <c r="G125" s="1161">
        <f t="shared" si="27"/>
        <v>1280</v>
      </c>
      <c r="H125" s="669"/>
    </row>
    <row r="126" spans="1:8">
      <c r="A126" s="1163">
        <v>4</v>
      </c>
      <c r="B126" s="867" t="s">
        <v>2307</v>
      </c>
      <c r="C126" s="857" t="s">
        <v>1916</v>
      </c>
      <c r="D126" s="669" t="s">
        <v>1917</v>
      </c>
      <c r="E126" s="1161">
        <v>650</v>
      </c>
      <c r="F126" s="857">
        <v>20</v>
      </c>
      <c r="G126" s="1161">
        <f t="shared" si="27"/>
        <v>13000</v>
      </c>
      <c r="H126" s="669"/>
    </row>
    <row r="127" spans="1:8" ht="36">
      <c r="A127" s="857">
        <v>5</v>
      </c>
      <c r="B127" s="920" t="s">
        <v>1918</v>
      </c>
      <c r="C127" s="857" t="s">
        <v>1919</v>
      </c>
      <c r="D127" s="669" t="s">
        <v>2308</v>
      </c>
      <c r="E127" s="1161">
        <v>6000</v>
      </c>
      <c r="F127" s="857">
        <v>4</v>
      </c>
      <c r="G127" s="1161">
        <f t="shared" si="27"/>
        <v>24000</v>
      </c>
      <c r="H127" s="669"/>
    </row>
    <row r="128" spans="1:8">
      <c r="A128" s="1163">
        <v>6</v>
      </c>
      <c r="B128" s="1165" t="s">
        <v>1921</v>
      </c>
      <c r="C128" s="870" t="s">
        <v>1922</v>
      </c>
      <c r="D128" s="669" t="s">
        <v>2309</v>
      </c>
      <c r="E128" s="1161">
        <v>15000</v>
      </c>
      <c r="F128" s="857">
        <v>4</v>
      </c>
      <c r="G128" s="1161">
        <f t="shared" si="27"/>
        <v>60000</v>
      </c>
      <c r="H128" s="669"/>
    </row>
    <row r="129" spans="1:8">
      <c r="A129" s="857">
        <v>7</v>
      </c>
      <c r="B129" s="867" t="s">
        <v>3286</v>
      </c>
      <c r="C129" s="870" t="s">
        <v>1922</v>
      </c>
      <c r="D129" s="669" t="s">
        <v>3287</v>
      </c>
      <c r="E129" s="1161">
        <v>500</v>
      </c>
      <c r="F129" s="857">
        <v>4</v>
      </c>
      <c r="G129" s="1161">
        <f t="shared" si="27"/>
        <v>2000</v>
      </c>
      <c r="H129" s="669"/>
    </row>
    <row r="130" spans="1:8" ht="24">
      <c r="A130" s="1163">
        <v>8</v>
      </c>
      <c r="B130" s="867" t="s">
        <v>2310</v>
      </c>
      <c r="C130" s="870" t="s">
        <v>1916</v>
      </c>
      <c r="D130" s="863" t="s">
        <v>2311</v>
      </c>
      <c r="E130" s="1161">
        <v>20000</v>
      </c>
      <c r="F130" s="857">
        <v>4</v>
      </c>
      <c r="G130" s="1161">
        <f t="shared" si="27"/>
        <v>80000</v>
      </c>
      <c r="H130" s="669"/>
    </row>
    <row r="131" spans="1:8" ht="24">
      <c r="A131" s="857">
        <v>9</v>
      </c>
      <c r="B131" s="871" t="s">
        <v>2312</v>
      </c>
      <c r="C131" s="857" t="s">
        <v>1922</v>
      </c>
      <c r="D131" s="669"/>
      <c r="E131" s="1161">
        <v>2500</v>
      </c>
      <c r="F131" s="857">
        <v>4</v>
      </c>
      <c r="G131" s="1161">
        <f t="shared" si="27"/>
        <v>10000</v>
      </c>
      <c r="H131" s="669"/>
    </row>
    <row r="132" spans="1:8" ht="36.75">
      <c r="A132" s="1163">
        <v>10</v>
      </c>
      <c r="B132" s="867" t="s">
        <v>2313</v>
      </c>
      <c r="C132" s="857" t="s">
        <v>1922</v>
      </c>
      <c r="D132" s="669" t="s">
        <v>1929</v>
      </c>
      <c r="E132" s="1161">
        <v>13000</v>
      </c>
      <c r="F132" s="857">
        <v>4</v>
      </c>
      <c r="G132" s="1161">
        <f t="shared" si="27"/>
        <v>52000</v>
      </c>
      <c r="H132" s="669" t="s">
        <v>2816</v>
      </c>
    </row>
    <row r="133" spans="1:8" ht="36">
      <c r="A133" s="857">
        <v>11</v>
      </c>
      <c r="B133" s="669" t="s">
        <v>2316</v>
      </c>
      <c r="C133" s="857" t="s">
        <v>1916</v>
      </c>
      <c r="D133" s="863" t="s">
        <v>2317</v>
      </c>
      <c r="E133" s="1161">
        <v>700</v>
      </c>
      <c r="F133" s="857">
        <v>4</v>
      </c>
      <c r="G133" s="1161">
        <f t="shared" si="27"/>
        <v>2800</v>
      </c>
      <c r="H133" s="669"/>
    </row>
    <row r="134" spans="1:8" ht="24">
      <c r="A134" s="1163">
        <v>12</v>
      </c>
      <c r="B134" s="669" t="s">
        <v>2318</v>
      </c>
      <c r="C134" s="857" t="s">
        <v>1916</v>
      </c>
      <c r="D134" s="669" t="s">
        <v>1917</v>
      </c>
      <c r="E134" s="1161">
        <v>650</v>
      </c>
      <c r="F134" s="857">
        <v>20</v>
      </c>
      <c r="G134" s="1161">
        <f t="shared" si="27"/>
        <v>13000</v>
      </c>
      <c r="H134" s="669"/>
    </row>
    <row r="135" spans="1:8">
      <c r="A135" s="1164"/>
      <c r="B135" s="1156" t="s">
        <v>1900</v>
      </c>
      <c r="C135" s="853"/>
      <c r="D135" s="866"/>
      <c r="E135" s="1162"/>
      <c r="F135" s="853"/>
      <c r="G135" s="1162">
        <f>SUM(G123:G134)</f>
        <v>310400</v>
      </c>
      <c r="H135" s="854"/>
    </row>
    <row r="136" spans="1:8" ht="36">
      <c r="A136" s="1164" t="s">
        <v>1931</v>
      </c>
      <c r="B136" s="919" t="s">
        <v>2319</v>
      </c>
      <c r="C136" s="853"/>
      <c r="D136" s="866"/>
      <c r="E136" s="1162"/>
      <c r="F136" s="853"/>
      <c r="G136" s="1162"/>
      <c r="H136" s="854"/>
    </row>
    <row r="137" spans="1:8" ht="24">
      <c r="A137" s="857">
        <v>1</v>
      </c>
      <c r="B137" s="867" t="s">
        <v>2320</v>
      </c>
      <c r="C137" s="857" t="s">
        <v>1908</v>
      </c>
      <c r="D137" s="863" t="s">
        <v>2321</v>
      </c>
      <c r="E137" s="1161">
        <v>380</v>
      </c>
      <c r="F137" s="857">
        <v>120</v>
      </c>
      <c r="G137" s="1161">
        <f>E137*F137</f>
        <v>45600</v>
      </c>
      <c r="H137" s="669"/>
    </row>
    <row r="138" spans="1:8" ht="36.75">
      <c r="A138" s="1163">
        <v>2</v>
      </c>
      <c r="B138" s="867" t="s">
        <v>2322</v>
      </c>
      <c r="C138" s="857" t="s">
        <v>1922</v>
      </c>
      <c r="D138" s="669" t="s">
        <v>2817</v>
      </c>
      <c r="E138" s="1161">
        <v>9000</v>
      </c>
      <c r="F138" s="857">
        <v>4</v>
      </c>
      <c r="G138" s="1161">
        <f>E138*F138</f>
        <v>36000</v>
      </c>
      <c r="H138" s="669" t="s">
        <v>2816</v>
      </c>
    </row>
    <row r="139" spans="1:8">
      <c r="A139" s="1164"/>
      <c r="B139" s="1156" t="s">
        <v>1900</v>
      </c>
      <c r="C139" s="873"/>
      <c r="D139" s="866"/>
      <c r="E139" s="1162"/>
      <c r="F139" s="853"/>
      <c r="G139" s="1162">
        <f t="shared" ref="G139" si="28">SUM(G137:G138)</f>
        <v>81600</v>
      </c>
      <c r="H139" s="854"/>
    </row>
    <row r="140" spans="1:8" ht="48">
      <c r="A140" s="1164" t="s">
        <v>1934</v>
      </c>
      <c r="B140" s="919" t="s">
        <v>2324</v>
      </c>
      <c r="C140" s="873"/>
      <c r="D140" s="866"/>
      <c r="E140" s="1162"/>
      <c r="F140" s="853"/>
      <c r="G140" s="1162"/>
      <c r="H140" s="854"/>
    </row>
    <row r="141" spans="1:8" ht="84.75">
      <c r="A141" s="857">
        <v>1</v>
      </c>
      <c r="B141" s="867" t="s">
        <v>1935</v>
      </c>
      <c r="C141" s="870" t="s">
        <v>1908</v>
      </c>
      <c r="D141" s="863" t="s">
        <v>2325</v>
      </c>
      <c r="E141" s="1161">
        <v>2000</v>
      </c>
      <c r="F141" s="857">
        <v>5</v>
      </c>
      <c r="G141" s="1161">
        <f>E141*F141</f>
        <v>10000</v>
      </c>
      <c r="H141" s="669" t="s">
        <v>2818</v>
      </c>
    </row>
    <row r="142" spans="1:8">
      <c r="A142" s="1164"/>
      <c r="B142" s="1156" t="s">
        <v>1900</v>
      </c>
      <c r="C142" s="873"/>
      <c r="D142" s="866"/>
      <c r="E142" s="1162"/>
      <c r="F142" s="853"/>
      <c r="G142" s="1162">
        <f t="shared" ref="G142" si="29">SUM(G141:G141)</f>
        <v>10000</v>
      </c>
      <c r="H142" s="854"/>
    </row>
    <row r="143" spans="1:8" ht="48">
      <c r="A143" s="1164" t="s">
        <v>1937</v>
      </c>
      <c r="B143" s="865" t="s">
        <v>2327</v>
      </c>
      <c r="C143" s="873"/>
      <c r="D143" s="866"/>
      <c r="E143" s="1162"/>
      <c r="F143" s="853"/>
      <c r="G143" s="1162"/>
      <c r="H143" s="854"/>
    </row>
    <row r="144" spans="1:8" ht="24">
      <c r="A144" s="1163">
        <v>1</v>
      </c>
      <c r="B144" s="867" t="s">
        <v>2328</v>
      </c>
      <c r="C144" s="857" t="s">
        <v>1919</v>
      </c>
      <c r="D144" s="863" t="s">
        <v>2329</v>
      </c>
      <c r="E144" s="1161">
        <v>2400</v>
      </c>
      <c r="F144" s="857">
        <v>4</v>
      </c>
      <c r="G144" s="1161">
        <f>E144*F144</f>
        <v>9600</v>
      </c>
      <c r="H144" s="669"/>
    </row>
    <row r="145" spans="1:8">
      <c r="A145" s="1164"/>
      <c r="B145" s="1156" t="s">
        <v>1900</v>
      </c>
      <c r="C145" s="853"/>
      <c r="D145" s="866"/>
      <c r="E145" s="1162"/>
      <c r="F145" s="853"/>
      <c r="G145" s="1162">
        <f t="shared" ref="G145" si="30">SUM(G144:G144)</f>
        <v>9600</v>
      </c>
      <c r="H145" s="851"/>
    </row>
    <row r="146" spans="1:8" ht="48.75">
      <c r="A146" s="1164" t="s">
        <v>1939</v>
      </c>
      <c r="B146" s="919" t="s">
        <v>2330</v>
      </c>
      <c r="C146" s="853"/>
      <c r="D146" s="866"/>
      <c r="E146" s="1162"/>
      <c r="F146" s="853"/>
      <c r="G146" s="1166"/>
      <c r="H146" s="669" t="s">
        <v>1940</v>
      </c>
    </row>
    <row r="147" spans="1:8" ht="24">
      <c r="A147" s="1163">
        <v>1</v>
      </c>
      <c r="B147" s="867" t="s">
        <v>1941</v>
      </c>
      <c r="C147" s="857" t="s">
        <v>1922</v>
      </c>
      <c r="D147" s="863"/>
      <c r="E147" s="1161">
        <v>1500</v>
      </c>
      <c r="F147" s="857">
        <v>4</v>
      </c>
      <c r="G147" s="1167">
        <f>E147*F147</f>
        <v>6000</v>
      </c>
      <c r="H147" s="669" t="s">
        <v>2331</v>
      </c>
    </row>
    <row r="148" spans="1:8">
      <c r="A148" s="1163">
        <v>2</v>
      </c>
      <c r="B148" s="867" t="s">
        <v>1943</v>
      </c>
      <c r="C148" s="857" t="s">
        <v>1922</v>
      </c>
      <c r="D148" s="863"/>
      <c r="E148" s="1161">
        <v>2000</v>
      </c>
      <c r="F148" s="857">
        <v>2</v>
      </c>
      <c r="G148" s="1167">
        <f>E148*F148</f>
        <v>4000</v>
      </c>
      <c r="H148" s="861"/>
    </row>
    <row r="149" spans="1:8" ht="24">
      <c r="A149" s="1163">
        <v>3</v>
      </c>
      <c r="B149" s="867" t="s">
        <v>2332</v>
      </c>
      <c r="C149" s="857" t="s">
        <v>1908</v>
      </c>
      <c r="D149" s="863" t="s">
        <v>2333</v>
      </c>
      <c r="E149" s="1161">
        <v>2000</v>
      </c>
      <c r="F149" s="857">
        <v>4</v>
      </c>
      <c r="G149" s="1167">
        <f>E149*F149</f>
        <v>8000</v>
      </c>
      <c r="H149" s="669" t="s">
        <v>2331</v>
      </c>
    </row>
    <row r="150" spans="1:8" ht="24">
      <c r="A150" s="1163">
        <v>4</v>
      </c>
      <c r="B150" s="867" t="s">
        <v>2334</v>
      </c>
      <c r="C150" s="857" t="s">
        <v>1992</v>
      </c>
      <c r="D150" s="863"/>
      <c r="E150" s="1161">
        <v>1200</v>
      </c>
      <c r="F150" s="857">
        <v>2</v>
      </c>
      <c r="G150" s="1167">
        <f>E150*F150</f>
        <v>2400</v>
      </c>
      <c r="H150" s="867" t="s">
        <v>2335</v>
      </c>
    </row>
    <row r="151" spans="1:8" ht="72.75">
      <c r="A151" s="1163">
        <v>5</v>
      </c>
      <c r="B151" s="867" t="s">
        <v>2336</v>
      </c>
      <c r="C151" s="857" t="s">
        <v>1922</v>
      </c>
      <c r="D151" s="863" t="s">
        <v>3288</v>
      </c>
      <c r="E151" s="1161">
        <v>12000</v>
      </c>
      <c r="F151" s="857">
        <v>2</v>
      </c>
      <c r="G151" s="1167">
        <f>E151*F151</f>
        <v>24000</v>
      </c>
      <c r="H151" s="867" t="s">
        <v>2337</v>
      </c>
    </row>
    <row r="152" spans="1:8">
      <c r="A152" s="1164"/>
      <c r="B152" s="1156" t="s">
        <v>1900</v>
      </c>
      <c r="C152" s="853"/>
      <c r="D152" s="866"/>
      <c r="E152" s="1162"/>
      <c r="F152" s="853"/>
      <c r="G152" s="1162">
        <f>SUM(G147:G151)</f>
        <v>44400</v>
      </c>
      <c r="H152" s="865"/>
    </row>
    <row r="153" spans="1:8" ht="24">
      <c r="A153" s="853" t="s">
        <v>1948</v>
      </c>
      <c r="B153" s="923" t="s">
        <v>2338</v>
      </c>
      <c r="C153" s="873"/>
      <c r="D153" s="919"/>
      <c r="E153" s="1162"/>
      <c r="F153" s="853"/>
      <c r="G153" s="1162"/>
      <c r="H153" s="669" t="s">
        <v>2339</v>
      </c>
    </row>
    <row r="154" spans="1:8" ht="36">
      <c r="A154" s="857">
        <v>1</v>
      </c>
      <c r="B154" s="867" t="s">
        <v>2340</v>
      </c>
      <c r="C154" s="857" t="s">
        <v>1893</v>
      </c>
      <c r="D154" s="669" t="s">
        <v>2341</v>
      </c>
      <c r="E154" s="1161">
        <v>350000</v>
      </c>
      <c r="F154" s="857">
        <v>1</v>
      </c>
      <c r="G154" s="1161">
        <f>E154*F154</f>
        <v>350000</v>
      </c>
      <c r="H154" s="861"/>
    </row>
    <row r="155" spans="1:8" ht="24">
      <c r="A155" s="879">
        <v>2</v>
      </c>
      <c r="B155" s="867" t="s">
        <v>2342</v>
      </c>
      <c r="C155" s="857" t="s">
        <v>1893</v>
      </c>
      <c r="D155" s="863" t="s">
        <v>2343</v>
      </c>
      <c r="E155" s="1161">
        <v>25000</v>
      </c>
      <c r="F155" s="857">
        <v>1</v>
      </c>
      <c r="G155" s="1161">
        <f t="shared" ref="G155:G158" si="31">E155*F155</f>
        <v>25000</v>
      </c>
      <c r="H155" s="861"/>
    </row>
    <row r="156" spans="1:8">
      <c r="A156" s="879">
        <v>3</v>
      </c>
      <c r="B156" s="924" t="s">
        <v>2344</v>
      </c>
      <c r="C156" s="857" t="s">
        <v>1910</v>
      </c>
      <c r="D156" s="669" t="s">
        <v>2345</v>
      </c>
      <c r="E156" s="1161">
        <v>13000</v>
      </c>
      <c r="F156" s="925">
        <v>1</v>
      </c>
      <c r="G156" s="1161">
        <f t="shared" si="31"/>
        <v>13000</v>
      </c>
      <c r="H156" s="861"/>
    </row>
    <row r="157" spans="1:8" ht="36">
      <c r="A157" s="879">
        <v>4</v>
      </c>
      <c r="B157" s="924" t="s">
        <v>2346</v>
      </c>
      <c r="C157" s="857" t="s">
        <v>1893</v>
      </c>
      <c r="D157" s="1168" t="s">
        <v>2347</v>
      </c>
      <c r="E157" s="1167">
        <v>20000</v>
      </c>
      <c r="F157" s="925">
        <v>1</v>
      </c>
      <c r="G157" s="1161">
        <f t="shared" si="31"/>
        <v>20000</v>
      </c>
      <c r="H157" s="861"/>
    </row>
    <row r="158" spans="1:8" ht="36.75">
      <c r="A158" s="879">
        <v>5</v>
      </c>
      <c r="B158" s="867" t="s">
        <v>2348</v>
      </c>
      <c r="C158" s="857" t="s">
        <v>1922</v>
      </c>
      <c r="D158" s="669" t="s">
        <v>1929</v>
      </c>
      <c r="E158" s="1161">
        <v>13000</v>
      </c>
      <c r="F158" s="857">
        <v>5</v>
      </c>
      <c r="G158" s="1161">
        <f t="shared" si="31"/>
        <v>65000</v>
      </c>
      <c r="H158" s="669" t="s">
        <v>2816</v>
      </c>
    </row>
    <row r="159" spans="1:8">
      <c r="A159" s="853"/>
      <c r="B159" s="1156" t="s">
        <v>1900</v>
      </c>
      <c r="C159" s="873"/>
      <c r="D159" s="854"/>
      <c r="E159" s="1162"/>
      <c r="F159" s="853"/>
      <c r="G159" s="1162">
        <f t="shared" ref="G159" si="32">SUM(G154:G158)</f>
        <v>473000</v>
      </c>
      <c r="H159" s="851"/>
    </row>
    <row r="160" spans="1:8" ht="36">
      <c r="A160" s="1164" t="s">
        <v>1954</v>
      </c>
      <c r="B160" s="865" t="s">
        <v>1955</v>
      </c>
      <c r="C160" s="853"/>
      <c r="D160" s="866"/>
      <c r="E160" s="1162"/>
      <c r="F160" s="853"/>
      <c r="G160" s="1162"/>
      <c r="H160" s="851"/>
    </row>
    <row r="161" spans="1:8" ht="96">
      <c r="A161" s="1163">
        <v>1</v>
      </c>
      <c r="B161" s="867" t="s">
        <v>2349</v>
      </c>
      <c r="C161" s="857" t="s">
        <v>1916</v>
      </c>
      <c r="D161" s="863" t="s">
        <v>2350</v>
      </c>
      <c r="E161" s="1161">
        <v>100000</v>
      </c>
      <c r="F161" s="857">
        <v>4</v>
      </c>
      <c r="G161" s="1161">
        <f>E161*F161</f>
        <v>400000</v>
      </c>
      <c r="H161" s="669" t="s">
        <v>2351</v>
      </c>
    </row>
    <row r="162" spans="1:8" ht="36">
      <c r="A162" s="1163">
        <v>2</v>
      </c>
      <c r="B162" s="1165" t="s">
        <v>1921</v>
      </c>
      <c r="C162" s="870" t="s">
        <v>1922</v>
      </c>
      <c r="D162" s="669" t="s">
        <v>2309</v>
      </c>
      <c r="E162" s="1161">
        <v>15000</v>
      </c>
      <c r="F162" s="857">
        <v>3</v>
      </c>
      <c r="G162" s="1161">
        <f t="shared" ref="G162:G164" si="33">E162*F162</f>
        <v>45000</v>
      </c>
      <c r="H162" s="669" t="s">
        <v>2352</v>
      </c>
    </row>
    <row r="163" spans="1:8" ht="25.5">
      <c r="A163" s="857">
        <v>3</v>
      </c>
      <c r="B163" s="880" t="s">
        <v>2353</v>
      </c>
      <c r="C163" s="857" t="s">
        <v>1893</v>
      </c>
      <c r="D163" s="1168" t="s">
        <v>1959</v>
      </c>
      <c r="E163" s="1161">
        <v>1920</v>
      </c>
      <c r="F163" s="857">
        <v>4</v>
      </c>
      <c r="G163" s="1161">
        <f t="shared" si="33"/>
        <v>7680</v>
      </c>
      <c r="H163" s="880"/>
    </row>
    <row r="164" spans="1:8" ht="36.75">
      <c r="A164" s="1163">
        <v>4</v>
      </c>
      <c r="B164" s="867" t="s">
        <v>2354</v>
      </c>
      <c r="C164" s="857" t="s">
        <v>1922</v>
      </c>
      <c r="D164" s="669" t="s">
        <v>1929</v>
      </c>
      <c r="E164" s="1161">
        <v>13000</v>
      </c>
      <c r="F164" s="857">
        <v>4</v>
      </c>
      <c r="G164" s="1161">
        <f t="shared" si="33"/>
        <v>52000</v>
      </c>
      <c r="H164" s="669" t="s">
        <v>2816</v>
      </c>
    </row>
    <row r="165" spans="1:8">
      <c r="A165" s="1164"/>
      <c r="B165" s="1156" t="s">
        <v>1900</v>
      </c>
      <c r="C165" s="853"/>
      <c r="D165" s="866"/>
      <c r="E165" s="1162"/>
      <c r="F165" s="853"/>
      <c r="G165" s="1162">
        <f>SUM(G161:G164)</f>
        <v>504680</v>
      </c>
      <c r="H165" s="851"/>
    </row>
    <row r="166" spans="1:8" ht="36">
      <c r="A166" s="1164" t="s">
        <v>2355</v>
      </c>
      <c r="B166" s="919" t="s">
        <v>2356</v>
      </c>
      <c r="C166" s="853"/>
      <c r="D166" s="866"/>
      <c r="E166" s="1162"/>
      <c r="F166" s="853"/>
      <c r="G166" s="1162"/>
      <c r="H166" s="851"/>
    </row>
    <row r="167" spans="1:8" ht="36">
      <c r="A167" s="1164" t="s">
        <v>1903</v>
      </c>
      <c r="B167" s="882" t="s">
        <v>2357</v>
      </c>
      <c r="C167" s="853"/>
      <c r="D167" s="866"/>
      <c r="E167" s="1162"/>
      <c r="F167" s="853"/>
      <c r="G167" s="1162"/>
      <c r="H167" s="851"/>
    </row>
    <row r="168" spans="1:8" ht="36">
      <c r="A168" s="853" t="s">
        <v>1905</v>
      </c>
      <c r="B168" s="882" t="s">
        <v>2358</v>
      </c>
      <c r="C168" s="853"/>
      <c r="D168" s="854"/>
      <c r="E168" s="1162"/>
      <c r="F168" s="853"/>
      <c r="G168" s="1162"/>
      <c r="H168" s="851"/>
    </row>
    <row r="169" spans="1:8" ht="24">
      <c r="A169" s="879">
        <v>1</v>
      </c>
      <c r="B169" s="871" t="s">
        <v>1962</v>
      </c>
      <c r="C169" s="857" t="s">
        <v>1916</v>
      </c>
      <c r="D169" s="883"/>
      <c r="E169" s="1161">
        <v>2500</v>
      </c>
      <c r="F169" s="857">
        <v>1</v>
      </c>
      <c r="G169" s="1161">
        <f>E169*F169</f>
        <v>2500</v>
      </c>
      <c r="H169" s="669"/>
    </row>
    <row r="170" spans="1:8" ht="24">
      <c r="A170" s="879">
        <v>2</v>
      </c>
      <c r="B170" s="871" t="s">
        <v>2359</v>
      </c>
      <c r="C170" s="857" t="s">
        <v>1908</v>
      </c>
      <c r="D170" s="883"/>
      <c r="E170" s="1161">
        <v>1500</v>
      </c>
      <c r="F170" s="857">
        <v>1</v>
      </c>
      <c r="G170" s="1161">
        <f>E170*F170</f>
        <v>1500</v>
      </c>
      <c r="H170" s="669"/>
    </row>
    <row r="171" spans="1:8">
      <c r="A171" s="879">
        <v>3</v>
      </c>
      <c r="B171" s="867" t="s">
        <v>1963</v>
      </c>
      <c r="C171" s="857" t="s">
        <v>1916</v>
      </c>
      <c r="D171" s="863" t="s">
        <v>2360</v>
      </c>
      <c r="E171" s="1161">
        <v>2000</v>
      </c>
      <c r="F171" s="857">
        <v>1</v>
      </c>
      <c r="G171" s="1161">
        <f>E171*F171</f>
        <v>2000</v>
      </c>
      <c r="H171" s="669"/>
    </row>
    <row r="172" spans="1:8" ht="24">
      <c r="A172" s="879">
        <v>4</v>
      </c>
      <c r="B172" s="871" t="s">
        <v>2361</v>
      </c>
      <c r="C172" s="857" t="s">
        <v>1965</v>
      </c>
      <c r="D172" s="669" t="s">
        <v>1967</v>
      </c>
      <c r="E172" s="1161">
        <v>5000</v>
      </c>
      <c r="F172" s="857">
        <v>1</v>
      </c>
      <c r="G172" s="1161">
        <f>E172*F172</f>
        <v>5000</v>
      </c>
      <c r="H172" s="669"/>
    </row>
    <row r="173" spans="1:8" ht="24">
      <c r="A173" s="879">
        <v>5</v>
      </c>
      <c r="B173" s="867" t="s">
        <v>2362</v>
      </c>
      <c r="C173" s="857" t="s">
        <v>1922</v>
      </c>
      <c r="D173" s="863"/>
      <c r="E173" s="1161">
        <v>3000</v>
      </c>
      <c r="F173" s="857">
        <v>1</v>
      </c>
      <c r="G173" s="1161">
        <f>E173*F173</f>
        <v>3000</v>
      </c>
      <c r="H173" s="669"/>
    </row>
    <row r="174" spans="1:8">
      <c r="A174" s="884"/>
      <c r="B174" s="1156" t="s">
        <v>1900</v>
      </c>
      <c r="C174" s="853"/>
      <c r="D174" s="905"/>
      <c r="E174" s="1162"/>
      <c r="F174" s="853"/>
      <c r="G174" s="1162">
        <f t="shared" ref="G174" si="34">SUM(G169:G173)</f>
        <v>14000</v>
      </c>
      <c r="H174" s="854"/>
    </row>
    <row r="175" spans="1:8" ht="36">
      <c r="A175" s="884" t="s">
        <v>1931</v>
      </c>
      <c r="B175" s="882" t="s">
        <v>2357</v>
      </c>
      <c r="C175" s="853"/>
      <c r="D175" s="905"/>
      <c r="E175" s="1162"/>
      <c r="F175" s="853"/>
      <c r="G175" s="1162"/>
      <c r="H175" s="854"/>
    </row>
    <row r="176" spans="1:8" ht="96">
      <c r="A176" s="879">
        <v>1</v>
      </c>
      <c r="B176" s="867" t="s">
        <v>2363</v>
      </c>
      <c r="C176" s="857" t="s">
        <v>1916</v>
      </c>
      <c r="D176" s="883" t="s">
        <v>1966</v>
      </c>
      <c r="E176" s="1161">
        <v>1600</v>
      </c>
      <c r="F176" s="857">
        <v>14</v>
      </c>
      <c r="G176" s="1161">
        <f>E176*F176</f>
        <v>22400</v>
      </c>
      <c r="H176" s="871" t="s">
        <v>2364</v>
      </c>
    </row>
    <row r="177" spans="1:8" ht="96">
      <c r="A177" s="879">
        <v>2</v>
      </c>
      <c r="B177" s="867" t="s">
        <v>2365</v>
      </c>
      <c r="C177" s="857" t="s">
        <v>1908</v>
      </c>
      <c r="D177" s="863"/>
      <c r="E177" s="1161">
        <v>700</v>
      </c>
      <c r="F177" s="857">
        <v>13</v>
      </c>
      <c r="G177" s="1161">
        <f t="shared" ref="G177:G182" si="35">E177*F177</f>
        <v>9100</v>
      </c>
      <c r="H177" s="871" t="s">
        <v>2364</v>
      </c>
    </row>
    <row r="178" spans="1:8" ht="49.5">
      <c r="A178" s="879">
        <v>4</v>
      </c>
      <c r="B178" s="867" t="s">
        <v>2366</v>
      </c>
      <c r="C178" s="857" t="s">
        <v>1916</v>
      </c>
      <c r="D178" s="863"/>
      <c r="E178" s="1161">
        <v>5000</v>
      </c>
      <c r="F178" s="857">
        <v>8</v>
      </c>
      <c r="G178" s="1161">
        <f t="shared" si="35"/>
        <v>40000</v>
      </c>
      <c r="H178" s="669" t="s">
        <v>3289</v>
      </c>
    </row>
    <row r="179" spans="1:8" ht="72">
      <c r="A179" s="879">
        <v>5</v>
      </c>
      <c r="B179" s="867" t="s">
        <v>2368</v>
      </c>
      <c r="C179" s="857" t="s">
        <v>1916</v>
      </c>
      <c r="D179" s="863" t="s">
        <v>1967</v>
      </c>
      <c r="E179" s="1161">
        <v>5000</v>
      </c>
      <c r="F179" s="857">
        <v>6</v>
      </c>
      <c r="G179" s="1161">
        <f t="shared" si="35"/>
        <v>30000</v>
      </c>
      <c r="H179" s="871" t="s">
        <v>2369</v>
      </c>
    </row>
    <row r="180" spans="1:8" ht="24.75">
      <c r="A180" s="879">
        <v>6</v>
      </c>
      <c r="B180" s="867" t="s">
        <v>2370</v>
      </c>
      <c r="C180" s="857" t="s">
        <v>1922</v>
      </c>
      <c r="D180" s="863" t="s">
        <v>2371</v>
      </c>
      <c r="E180" s="1161">
        <v>1200</v>
      </c>
      <c r="F180" s="857">
        <v>3</v>
      </c>
      <c r="G180" s="1161">
        <f t="shared" si="35"/>
        <v>3600</v>
      </c>
      <c r="H180" s="669" t="s">
        <v>2372</v>
      </c>
    </row>
    <row r="181" spans="1:8" ht="24">
      <c r="A181" s="879">
        <v>7</v>
      </c>
      <c r="B181" s="867" t="s">
        <v>2373</v>
      </c>
      <c r="C181" s="857" t="s">
        <v>1922</v>
      </c>
      <c r="D181" s="863" t="s">
        <v>2374</v>
      </c>
      <c r="E181" s="1161">
        <v>5000</v>
      </c>
      <c r="F181" s="857">
        <v>1</v>
      </c>
      <c r="G181" s="1161">
        <f t="shared" si="35"/>
        <v>5000</v>
      </c>
      <c r="H181" s="669"/>
    </row>
    <row r="182" spans="1:8" ht="96">
      <c r="A182" s="879">
        <v>9</v>
      </c>
      <c r="B182" s="867" t="s">
        <v>1968</v>
      </c>
      <c r="C182" s="857" t="s">
        <v>1922</v>
      </c>
      <c r="D182" s="863" t="s">
        <v>1969</v>
      </c>
      <c r="E182" s="1161">
        <v>6000</v>
      </c>
      <c r="F182" s="857">
        <v>10</v>
      </c>
      <c r="G182" s="1161">
        <f t="shared" si="35"/>
        <v>60000</v>
      </c>
      <c r="H182" s="871" t="s">
        <v>2364</v>
      </c>
    </row>
    <row r="183" spans="1:8">
      <c r="A183" s="884"/>
      <c r="B183" s="1156" t="s">
        <v>1900</v>
      </c>
      <c r="C183" s="926"/>
      <c r="D183" s="1169"/>
      <c r="E183" s="1166"/>
      <c r="F183" s="926"/>
      <c r="G183" s="1166">
        <f>SUM(G176:G182)</f>
        <v>170100</v>
      </c>
      <c r="H183" s="919"/>
    </row>
    <row r="184" spans="1:8">
      <c r="A184" s="884" t="s">
        <v>1934</v>
      </c>
      <c r="B184" s="919" t="s">
        <v>2375</v>
      </c>
      <c r="C184" s="926"/>
      <c r="D184" s="1169"/>
      <c r="E184" s="1166"/>
      <c r="F184" s="926"/>
      <c r="G184" s="1166"/>
      <c r="H184" s="919"/>
    </row>
    <row r="185" spans="1:8" ht="24">
      <c r="A185" s="879">
        <v>1</v>
      </c>
      <c r="B185" s="1170" t="s">
        <v>2376</v>
      </c>
      <c r="C185" s="925" t="s">
        <v>1922</v>
      </c>
      <c r="D185" s="1168" t="s">
        <v>2377</v>
      </c>
      <c r="E185" s="1161">
        <v>5000</v>
      </c>
      <c r="F185" s="857">
        <v>1</v>
      </c>
      <c r="G185" s="1161">
        <f>E185*F185</f>
        <v>5000</v>
      </c>
      <c r="H185" s="920"/>
    </row>
    <row r="186" spans="1:8" ht="24">
      <c r="A186" s="879">
        <v>2</v>
      </c>
      <c r="B186" s="1170" t="s">
        <v>1970</v>
      </c>
      <c r="C186" s="925" t="s">
        <v>1922</v>
      </c>
      <c r="D186" s="1168" t="s">
        <v>2377</v>
      </c>
      <c r="E186" s="1167">
        <v>1500</v>
      </c>
      <c r="F186" s="925">
        <v>1</v>
      </c>
      <c r="G186" s="1161">
        <f t="shared" ref="G186:G188" si="36">E186*F186</f>
        <v>1500</v>
      </c>
      <c r="H186" s="920"/>
    </row>
    <row r="187" spans="1:8">
      <c r="A187" s="879">
        <v>3</v>
      </c>
      <c r="B187" s="871" t="s">
        <v>1971</v>
      </c>
      <c r="C187" s="925" t="s">
        <v>1922</v>
      </c>
      <c r="D187" s="1168" t="s">
        <v>2377</v>
      </c>
      <c r="E187" s="1167">
        <v>3000</v>
      </c>
      <c r="F187" s="925">
        <v>1</v>
      </c>
      <c r="G187" s="1161">
        <f t="shared" si="36"/>
        <v>3000</v>
      </c>
      <c r="H187" s="920"/>
    </row>
    <row r="188" spans="1:8">
      <c r="A188" s="879">
        <v>4</v>
      </c>
      <c r="B188" s="867" t="s">
        <v>2378</v>
      </c>
      <c r="C188" s="857" t="s">
        <v>1908</v>
      </c>
      <c r="D188" s="863"/>
      <c r="E188" s="1161">
        <v>2000</v>
      </c>
      <c r="F188" s="857">
        <v>1</v>
      </c>
      <c r="G188" s="1161">
        <f t="shared" si="36"/>
        <v>2000</v>
      </c>
      <c r="H188" s="920"/>
    </row>
    <row r="189" spans="1:8">
      <c r="A189" s="884"/>
      <c r="B189" s="1156" t="s">
        <v>1900</v>
      </c>
      <c r="C189" s="853"/>
      <c r="D189" s="1169"/>
      <c r="E189" s="1162"/>
      <c r="F189" s="926"/>
      <c r="G189" s="1166">
        <f>SUM(G185:G188)</f>
        <v>11500</v>
      </c>
      <c r="H189" s="919"/>
    </row>
    <row r="190" spans="1:8">
      <c r="A190" s="884" t="s">
        <v>1937</v>
      </c>
      <c r="B190" s="865" t="s">
        <v>2379</v>
      </c>
      <c r="C190" s="853"/>
      <c r="D190" s="1169"/>
      <c r="E190" s="1162"/>
      <c r="F190" s="926"/>
      <c r="G190" s="1166"/>
      <c r="H190" s="919"/>
    </row>
    <row r="191" spans="1:8">
      <c r="A191" s="879">
        <v>1</v>
      </c>
      <c r="B191" s="867" t="s">
        <v>1972</v>
      </c>
      <c r="C191" s="857" t="s">
        <v>1908</v>
      </c>
      <c r="D191" s="1168"/>
      <c r="E191" s="1161">
        <v>700</v>
      </c>
      <c r="F191" s="925">
        <v>4</v>
      </c>
      <c r="G191" s="1161">
        <f>E191*F191</f>
        <v>2800</v>
      </c>
      <c r="H191" s="920"/>
    </row>
    <row r="192" spans="1:8">
      <c r="A192" s="879">
        <v>2</v>
      </c>
      <c r="B192" s="867" t="s">
        <v>1973</v>
      </c>
      <c r="C192" s="857" t="s">
        <v>1908</v>
      </c>
      <c r="D192" s="863"/>
      <c r="E192" s="1161">
        <v>700</v>
      </c>
      <c r="F192" s="857">
        <v>6</v>
      </c>
      <c r="G192" s="1161">
        <f t="shared" ref="G192:G195" si="37">E192*F192</f>
        <v>4200</v>
      </c>
      <c r="H192" s="920"/>
    </row>
    <row r="193" spans="1:8">
      <c r="A193" s="879">
        <v>3</v>
      </c>
      <c r="B193" s="867" t="s">
        <v>2380</v>
      </c>
      <c r="C193" s="857" t="s">
        <v>1922</v>
      </c>
      <c r="D193" s="863"/>
      <c r="E193" s="1161">
        <v>2000</v>
      </c>
      <c r="F193" s="857">
        <v>1</v>
      </c>
      <c r="G193" s="1161">
        <f t="shared" si="37"/>
        <v>2000</v>
      </c>
      <c r="H193" s="920"/>
    </row>
    <row r="194" spans="1:8">
      <c r="A194" s="879">
        <v>4</v>
      </c>
      <c r="B194" s="867" t="s">
        <v>2381</v>
      </c>
      <c r="C194" s="857" t="s">
        <v>1922</v>
      </c>
      <c r="D194" s="863"/>
      <c r="E194" s="1161">
        <v>1000</v>
      </c>
      <c r="F194" s="857">
        <v>1</v>
      </c>
      <c r="G194" s="1161">
        <f t="shared" si="37"/>
        <v>1000</v>
      </c>
      <c r="H194" s="920"/>
    </row>
    <row r="195" spans="1:8" ht="24">
      <c r="A195" s="879">
        <v>5</v>
      </c>
      <c r="B195" s="867" t="s">
        <v>2382</v>
      </c>
      <c r="C195" s="857" t="s">
        <v>1916</v>
      </c>
      <c r="D195" s="1168" t="s">
        <v>2383</v>
      </c>
      <c r="E195" s="1161">
        <v>1000</v>
      </c>
      <c r="F195" s="857">
        <v>1</v>
      </c>
      <c r="G195" s="1161">
        <f t="shared" si="37"/>
        <v>1000</v>
      </c>
      <c r="H195" s="920"/>
    </row>
    <row r="196" spans="1:8">
      <c r="A196" s="884"/>
      <c r="B196" s="1156" t="s">
        <v>1900</v>
      </c>
      <c r="C196" s="853"/>
      <c r="D196" s="866"/>
      <c r="E196" s="1162"/>
      <c r="F196" s="853"/>
      <c r="G196" s="1162">
        <f t="shared" ref="G196" si="38">SUM(G191:G195)</f>
        <v>11000</v>
      </c>
      <c r="H196" s="919"/>
    </row>
    <row r="197" spans="1:8" ht="48">
      <c r="A197" s="884" t="s">
        <v>1939</v>
      </c>
      <c r="B197" s="865" t="s">
        <v>2384</v>
      </c>
      <c r="C197" s="853"/>
      <c r="D197" s="866"/>
      <c r="E197" s="1162"/>
      <c r="F197" s="853"/>
      <c r="G197" s="1162"/>
      <c r="H197" s="919"/>
    </row>
    <row r="198" spans="1:8" ht="24">
      <c r="A198" s="879">
        <v>1</v>
      </c>
      <c r="B198" s="867" t="s">
        <v>2362</v>
      </c>
      <c r="C198" s="857" t="s">
        <v>1922</v>
      </c>
      <c r="D198" s="863"/>
      <c r="E198" s="1161">
        <v>3000</v>
      </c>
      <c r="F198" s="857">
        <v>1</v>
      </c>
      <c r="G198" s="1161">
        <f>E198*F198</f>
        <v>3000</v>
      </c>
      <c r="H198" s="669"/>
    </row>
    <row r="199" spans="1:8">
      <c r="A199" s="879">
        <v>2</v>
      </c>
      <c r="B199" s="867" t="s">
        <v>2385</v>
      </c>
      <c r="C199" s="857" t="s">
        <v>1922</v>
      </c>
      <c r="D199" s="863"/>
      <c r="E199" s="1161">
        <v>15000</v>
      </c>
      <c r="F199" s="857">
        <v>1</v>
      </c>
      <c r="G199" s="1161">
        <f t="shared" ref="G199:G202" si="39">E199*F199</f>
        <v>15000</v>
      </c>
      <c r="H199" s="669"/>
    </row>
    <row r="200" spans="1:8" ht="24">
      <c r="A200" s="879">
        <v>3</v>
      </c>
      <c r="B200" s="867" t="s">
        <v>2386</v>
      </c>
      <c r="C200" s="857" t="s">
        <v>1922</v>
      </c>
      <c r="D200" s="863"/>
      <c r="E200" s="1171">
        <v>25000</v>
      </c>
      <c r="F200" s="857">
        <v>1</v>
      </c>
      <c r="G200" s="1161">
        <f t="shared" si="39"/>
        <v>25000</v>
      </c>
      <c r="H200" s="669"/>
    </row>
    <row r="201" spans="1:8" ht="24">
      <c r="A201" s="879">
        <v>4</v>
      </c>
      <c r="B201" s="871" t="s">
        <v>1974</v>
      </c>
      <c r="C201" s="857" t="s">
        <v>1922</v>
      </c>
      <c r="D201" s="863" t="s">
        <v>1975</v>
      </c>
      <c r="E201" s="1161">
        <v>20000</v>
      </c>
      <c r="F201" s="857">
        <v>1</v>
      </c>
      <c r="G201" s="1161">
        <f t="shared" si="39"/>
        <v>20000</v>
      </c>
      <c r="H201" s="669"/>
    </row>
    <row r="202" spans="1:8" ht="24">
      <c r="A202" s="879">
        <v>5</v>
      </c>
      <c r="B202" s="871" t="s">
        <v>2387</v>
      </c>
      <c r="C202" s="857" t="s">
        <v>1922</v>
      </c>
      <c r="D202" s="928"/>
      <c r="E202" s="1161">
        <v>25000</v>
      </c>
      <c r="F202" s="857">
        <v>1</v>
      </c>
      <c r="G202" s="1161">
        <f t="shared" si="39"/>
        <v>25000</v>
      </c>
      <c r="H202" s="669"/>
    </row>
    <row r="203" spans="1:8">
      <c r="A203" s="884"/>
      <c r="B203" s="1156" t="s">
        <v>1900</v>
      </c>
      <c r="C203" s="853"/>
      <c r="D203" s="866"/>
      <c r="E203" s="1162"/>
      <c r="F203" s="853"/>
      <c r="G203" s="1162">
        <f>SUM(G198:G202)</f>
        <v>88000</v>
      </c>
      <c r="H203" s="851"/>
    </row>
    <row r="204" spans="1:8" ht="24">
      <c r="A204" s="884" t="s">
        <v>1948</v>
      </c>
      <c r="B204" s="865" t="s">
        <v>2388</v>
      </c>
      <c r="C204" s="853"/>
      <c r="D204" s="866"/>
      <c r="E204" s="1162"/>
      <c r="F204" s="853"/>
      <c r="G204" s="1162"/>
      <c r="H204" s="851"/>
    </row>
    <row r="205" spans="1:8">
      <c r="A205" s="879">
        <v>1</v>
      </c>
      <c r="B205" s="867" t="s">
        <v>1976</v>
      </c>
      <c r="C205" s="857" t="s">
        <v>1908</v>
      </c>
      <c r="D205" s="863"/>
      <c r="E205" s="1161">
        <v>6000</v>
      </c>
      <c r="F205" s="857">
        <v>1</v>
      </c>
      <c r="G205" s="1161">
        <f>E205*F205</f>
        <v>6000</v>
      </c>
      <c r="H205" s="861"/>
    </row>
    <row r="206" spans="1:8">
      <c r="A206" s="879">
        <v>2</v>
      </c>
      <c r="B206" s="867" t="s">
        <v>1977</v>
      </c>
      <c r="C206" s="857" t="s">
        <v>1908</v>
      </c>
      <c r="D206" s="863"/>
      <c r="E206" s="1161">
        <v>380</v>
      </c>
      <c r="F206" s="857">
        <v>30</v>
      </c>
      <c r="G206" s="1161">
        <f t="shared" ref="G206:G208" si="40">E206*F206</f>
        <v>11400</v>
      </c>
      <c r="H206" s="861"/>
    </row>
    <row r="207" spans="1:8">
      <c r="A207" s="879">
        <v>3</v>
      </c>
      <c r="B207" s="1165" t="s">
        <v>1978</v>
      </c>
      <c r="C207" s="870" t="s">
        <v>1922</v>
      </c>
      <c r="D207" s="669" t="s">
        <v>2389</v>
      </c>
      <c r="E207" s="1161">
        <v>22000</v>
      </c>
      <c r="F207" s="857">
        <v>1</v>
      </c>
      <c r="G207" s="1161">
        <f t="shared" si="40"/>
        <v>22000</v>
      </c>
      <c r="H207" s="861"/>
    </row>
    <row r="208" spans="1:8" ht="36.75">
      <c r="A208" s="879">
        <v>4</v>
      </c>
      <c r="B208" s="867" t="s">
        <v>1968</v>
      </c>
      <c r="C208" s="857" t="s">
        <v>1922</v>
      </c>
      <c r="D208" s="669" t="s">
        <v>1929</v>
      </c>
      <c r="E208" s="1161">
        <v>13000</v>
      </c>
      <c r="F208" s="857">
        <v>1</v>
      </c>
      <c r="G208" s="1161">
        <f t="shared" si="40"/>
        <v>13000</v>
      </c>
      <c r="H208" s="669" t="s">
        <v>2816</v>
      </c>
    </row>
    <row r="209" spans="1:8">
      <c r="A209" s="1172"/>
      <c r="B209" s="1156" t="s">
        <v>1900</v>
      </c>
      <c r="C209" s="926"/>
      <c r="D209" s="1169"/>
      <c r="E209" s="1162"/>
      <c r="F209" s="853"/>
      <c r="G209" s="1162">
        <f>SUM(G205:G208)</f>
        <v>52400</v>
      </c>
      <c r="H209" s="1156"/>
    </row>
    <row r="210" spans="1:8" ht="36">
      <c r="A210" s="1172" t="s">
        <v>1954</v>
      </c>
      <c r="B210" s="919" t="s">
        <v>2390</v>
      </c>
      <c r="C210" s="1173"/>
      <c r="D210" s="1169"/>
      <c r="E210" s="1162"/>
      <c r="F210" s="853"/>
      <c r="G210" s="1162"/>
      <c r="H210" s="1156"/>
    </row>
    <row r="211" spans="1:8">
      <c r="A211" s="857">
        <v>1</v>
      </c>
      <c r="B211" s="867" t="s">
        <v>2391</v>
      </c>
      <c r="C211" s="1174" t="s">
        <v>1916</v>
      </c>
      <c r="D211" s="1168" t="s">
        <v>2392</v>
      </c>
      <c r="E211" s="1161">
        <v>1800</v>
      </c>
      <c r="F211" s="857">
        <v>3</v>
      </c>
      <c r="G211" s="1161">
        <f>E211*F211</f>
        <v>5400</v>
      </c>
      <c r="H211" s="929"/>
    </row>
    <row r="212" spans="1:8">
      <c r="A212" s="857">
        <v>3</v>
      </c>
      <c r="B212" s="867" t="s">
        <v>1980</v>
      </c>
      <c r="C212" s="1174" t="s">
        <v>2393</v>
      </c>
      <c r="D212" s="1168"/>
      <c r="E212" s="1161">
        <v>1000</v>
      </c>
      <c r="F212" s="857">
        <v>4</v>
      </c>
      <c r="G212" s="1161">
        <f t="shared" ref="G212:G214" si="41">E212*F212</f>
        <v>4000</v>
      </c>
      <c r="H212" s="929"/>
    </row>
    <row r="213" spans="1:8" ht="24">
      <c r="A213" s="857">
        <v>4</v>
      </c>
      <c r="B213" s="867" t="s">
        <v>2394</v>
      </c>
      <c r="C213" s="857" t="s">
        <v>1893</v>
      </c>
      <c r="D213" s="669"/>
      <c r="E213" s="1161">
        <v>10000</v>
      </c>
      <c r="F213" s="857">
        <v>1</v>
      </c>
      <c r="G213" s="1161">
        <f t="shared" si="41"/>
        <v>10000</v>
      </c>
      <c r="H213" s="669"/>
    </row>
    <row r="214" spans="1:8" ht="36.75">
      <c r="A214" s="857">
        <v>5</v>
      </c>
      <c r="B214" s="867" t="s">
        <v>1979</v>
      </c>
      <c r="C214" s="1174" t="s">
        <v>1922</v>
      </c>
      <c r="D214" s="669" t="s">
        <v>2817</v>
      </c>
      <c r="E214" s="1161">
        <v>9000</v>
      </c>
      <c r="F214" s="857">
        <v>1</v>
      </c>
      <c r="G214" s="1161">
        <f t="shared" si="41"/>
        <v>9000</v>
      </c>
      <c r="H214" s="669" t="s">
        <v>2819</v>
      </c>
    </row>
    <row r="215" spans="1:8">
      <c r="A215" s="1172"/>
      <c r="B215" s="1156" t="s">
        <v>1900</v>
      </c>
      <c r="C215" s="1173"/>
      <c r="D215" s="1169"/>
      <c r="E215" s="1162"/>
      <c r="F215" s="853"/>
      <c r="G215" s="1162">
        <f t="shared" ref="G215" si="42">SUM(G211:G214)</f>
        <v>28400</v>
      </c>
      <c r="H215" s="1156"/>
    </row>
    <row r="216" spans="1:8" ht="36">
      <c r="A216" s="1172" t="s">
        <v>1981</v>
      </c>
      <c r="B216" s="895" t="s">
        <v>2395</v>
      </c>
      <c r="C216" s="1173"/>
      <c r="D216" s="1169"/>
      <c r="E216" s="1162"/>
      <c r="F216" s="853"/>
      <c r="G216" s="1162"/>
      <c r="H216" s="1156"/>
    </row>
    <row r="217" spans="1:8" ht="36">
      <c r="A217" s="1175">
        <v>1</v>
      </c>
      <c r="B217" s="880" t="s">
        <v>2396</v>
      </c>
      <c r="C217" s="1174" t="s">
        <v>1919</v>
      </c>
      <c r="D217" s="1168" t="s">
        <v>1984</v>
      </c>
      <c r="E217" s="1161">
        <v>7500</v>
      </c>
      <c r="F217" s="857">
        <v>1</v>
      </c>
      <c r="G217" s="1161">
        <f>E217*F217</f>
        <v>7500</v>
      </c>
      <c r="H217" s="897" t="s">
        <v>1985</v>
      </c>
    </row>
    <row r="218" spans="1:8">
      <c r="A218" s="1172"/>
      <c r="B218" s="1156" t="s">
        <v>1900</v>
      </c>
      <c r="C218" s="1173"/>
      <c r="D218" s="1169"/>
      <c r="E218" s="1162"/>
      <c r="F218" s="853"/>
      <c r="G218" s="1162">
        <f t="shared" ref="G218" si="43">SUM(G217:G217)</f>
        <v>7500</v>
      </c>
      <c r="H218" s="1156"/>
    </row>
    <row r="219" spans="1:8" ht="24">
      <c r="A219" s="853" t="s">
        <v>1986</v>
      </c>
      <c r="B219" s="895" t="s">
        <v>2397</v>
      </c>
      <c r="C219" s="1173"/>
      <c r="D219" s="1169"/>
      <c r="E219" s="1162"/>
      <c r="F219" s="853"/>
      <c r="G219" s="1162"/>
      <c r="H219" s="1156"/>
    </row>
    <row r="220" spans="1:8">
      <c r="A220" s="857">
        <v>1</v>
      </c>
      <c r="B220" s="867" t="s">
        <v>2398</v>
      </c>
      <c r="C220" s="857" t="s">
        <v>2393</v>
      </c>
      <c r="D220" s="863" t="s">
        <v>2399</v>
      </c>
      <c r="E220" s="1161">
        <v>1500</v>
      </c>
      <c r="F220" s="857">
        <v>4</v>
      </c>
      <c r="G220" s="1161">
        <f>E220*F220</f>
        <v>6000</v>
      </c>
      <c r="H220" s="669" t="s">
        <v>2400</v>
      </c>
    </row>
    <row r="221" spans="1:8">
      <c r="A221" s="857">
        <v>2</v>
      </c>
      <c r="B221" s="867" t="s">
        <v>2401</v>
      </c>
      <c r="C221" s="857" t="s">
        <v>2393</v>
      </c>
      <c r="D221" s="863" t="s">
        <v>2399</v>
      </c>
      <c r="E221" s="1161">
        <v>1000</v>
      </c>
      <c r="F221" s="857">
        <v>3</v>
      </c>
      <c r="G221" s="1161">
        <f>E221*F221</f>
        <v>3000</v>
      </c>
      <c r="H221" s="669" t="s">
        <v>2400</v>
      </c>
    </row>
    <row r="222" spans="1:8">
      <c r="A222" s="1172"/>
      <c r="B222" s="1156" t="s">
        <v>1900</v>
      </c>
      <c r="C222" s="1173"/>
      <c r="D222" s="1169"/>
      <c r="E222" s="1162"/>
      <c r="F222" s="853"/>
      <c r="G222" s="1162">
        <f t="shared" ref="G222" si="44">SUM(G220:G221)</f>
        <v>9000</v>
      </c>
      <c r="H222" s="1156"/>
    </row>
    <row r="223" spans="1:8" ht="24">
      <c r="A223" s="1172" t="s">
        <v>1988</v>
      </c>
      <c r="B223" s="895" t="s">
        <v>2402</v>
      </c>
      <c r="C223" s="1173"/>
      <c r="D223" s="1169"/>
      <c r="E223" s="1162"/>
      <c r="F223" s="853"/>
      <c r="G223" s="1162"/>
      <c r="H223" s="1156"/>
    </row>
    <row r="224" spans="1:8">
      <c r="A224" s="1175">
        <v>1</v>
      </c>
      <c r="B224" s="867" t="s">
        <v>2307</v>
      </c>
      <c r="C224" s="870" t="s">
        <v>1916</v>
      </c>
      <c r="D224" s="669" t="s">
        <v>1917</v>
      </c>
      <c r="E224" s="1161">
        <v>650</v>
      </c>
      <c r="F224" s="857">
        <v>1</v>
      </c>
      <c r="G224" s="1161">
        <f>E224*F224</f>
        <v>650</v>
      </c>
      <c r="H224" s="920" t="s">
        <v>2403</v>
      </c>
    </row>
    <row r="225" spans="1:8" ht="24">
      <c r="A225" s="1175">
        <v>2</v>
      </c>
      <c r="B225" s="871" t="s">
        <v>2404</v>
      </c>
      <c r="C225" s="857" t="s">
        <v>1916</v>
      </c>
      <c r="D225" s="1170" t="s">
        <v>2010</v>
      </c>
      <c r="E225" s="1161">
        <v>20000</v>
      </c>
      <c r="F225" s="857">
        <v>1</v>
      </c>
      <c r="G225" s="1161">
        <f t="shared" ref="G225:G226" si="45">E225*F225</f>
        <v>20000</v>
      </c>
      <c r="H225" s="920"/>
    </row>
    <row r="226" spans="1:8" ht="24">
      <c r="A226" s="1163">
        <v>3</v>
      </c>
      <c r="B226" s="871" t="s">
        <v>2405</v>
      </c>
      <c r="C226" s="857" t="s">
        <v>1916</v>
      </c>
      <c r="D226" s="1176"/>
      <c r="E226" s="1161">
        <v>18000</v>
      </c>
      <c r="F226" s="857">
        <v>1</v>
      </c>
      <c r="G226" s="1161">
        <f t="shared" si="45"/>
        <v>18000</v>
      </c>
      <c r="H226" s="861"/>
    </row>
    <row r="227" spans="1:8">
      <c r="A227" s="1172"/>
      <c r="B227" s="1156" t="s">
        <v>1900</v>
      </c>
      <c r="C227" s="1173"/>
      <c r="D227" s="1169"/>
      <c r="E227" s="1162"/>
      <c r="F227" s="853"/>
      <c r="G227" s="1162">
        <f t="shared" ref="G227" si="46">SUM(G224:G226)</f>
        <v>38650</v>
      </c>
      <c r="H227" s="1156"/>
    </row>
    <row r="228" spans="1:8" ht="36">
      <c r="A228" s="853" t="s">
        <v>1990</v>
      </c>
      <c r="B228" s="865" t="s">
        <v>2406</v>
      </c>
      <c r="C228" s="873"/>
      <c r="D228" s="854"/>
      <c r="E228" s="1162"/>
      <c r="F228" s="853"/>
      <c r="G228" s="1162"/>
      <c r="H228" s="851"/>
    </row>
    <row r="229" spans="1:8" ht="24">
      <c r="A229" s="857">
        <v>2</v>
      </c>
      <c r="B229" s="867" t="s">
        <v>1991</v>
      </c>
      <c r="C229" s="870" t="s">
        <v>1908</v>
      </c>
      <c r="D229" s="863"/>
      <c r="E229" s="1161">
        <v>700</v>
      </c>
      <c r="F229" s="857">
        <v>1</v>
      </c>
      <c r="G229" s="1161">
        <f t="shared" ref="G229:G234" si="47">E229*F229</f>
        <v>700</v>
      </c>
      <c r="H229" s="861"/>
    </row>
    <row r="230" spans="1:8">
      <c r="A230" s="857">
        <v>3</v>
      </c>
      <c r="B230" s="867" t="s">
        <v>2401</v>
      </c>
      <c r="C230" s="857" t="s">
        <v>1908</v>
      </c>
      <c r="D230" s="669"/>
      <c r="E230" s="1161">
        <v>1200</v>
      </c>
      <c r="F230" s="857">
        <v>1</v>
      </c>
      <c r="G230" s="1161">
        <f t="shared" si="47"/>
        <v>1200</v>
      </c>
      <c r="H230" s="861"/>
    </row>
    <row r="231" spans="1:8">
      <c r="A231" s="857">
        <v>4</v>
      </c>
      <c r="B231" s="867" t="s">
        <v>2407</v>
      </c>
      <c r="C231" s="870" t="s">
        <v>2393</v>
      </c>
      <c r="D231" s="669"/>
      <c r="E231" s="1161">
        <v>900</v>
      </c>
      <c r="F231" s="857">
        <v>1</v>
      </c>
      <c r="G231" s="1161">
        <f t="shared" si="47"/>
        <v>900</v>
      </c>
      <c r="H231" s="861"/>
    </row>
    <row r="232" spans="1:8">
      <c r="A232" s="857">
        <v>5</v>
      </c>
      <c r="B232" s="867" t="s">
        <v>2307</v>
      </c>
      <c r="C232" s="870" t="s">
        <v>1916</v>
      </c>
      <c r="D232" s="669" t="s">
        <v>1917</v>
      </c>
      <c r="E232" s="1161">
        <v>650</v>
      </c>
      <c r="F232" s="857">
        <v>1</v>
      </c>
      <c r="G232" s="1161">
        <f t="shared" si="47"/>
        <v>650</v>
      </c>
      <c r="H232" s="861"/>
    </row>
    <row r="233" spans="1:8">
      <c r="A233" s="857">
        <v>6</v>
      </c>
      <c r="B233" s="867" t="s">
        <v>2320</v>
      </c>
      <c r="C233" s="857" t="s">
        <v>1992</v>
      </c>
      <c r="D233" s="669" t="s">
        <v>1993</v>
      </c>
      <c r="E233" s="1161">
        <v>380</v>
      </c>
      <c r="F233" s="857">
        <v>1</v>
      </c>
      <c r="G233" s="1161">
        <f t="shared" si="47"/>
        <v>380</v>
      </c>
      <c r="H233" s="861"/>
    </row>
    <row r="234" spans="1:8" ht="24">
      <c r="A234" s="857">
        <v>8</v>
      </c>
      <c r="B234" s="867" t="s">
        <v>1994</v>
      </c>
      <c r="C234" s="857" t="s">
        <v>1916</v>
      </c>
      <c r="D234" s="669" t="s">
        <v>1995</v>
      </c>
      <c r="E234" s="1161">
        <v>20000</v>
      </c>
      <c r="F234" s="857">
        <v>1</v>
      </c>
      <c r="G234" s="1161">
        <f t="shared" si="47"/>
        <v>20000</v>
      </c>
      <c r="H234" s="861"/>
    </row>
    <row r="235" spans="1:8">
      <c r="A235" s="853"/>
      <c r="B235" s="1156" t="s">
        <v>1900</v>
      </c>
      <c r="C235" s="853"/>
      <c r="D235" s="854"/>
      <c r="E235" s="1162"/>
      <c r="F235" s="853"/>
      <c r="G235" s="1162">
        <f>SUM(G229:G234)</f>
        <v>23830</v>
      </c>
      <c r="H235" s="851"/>
    </row>
    <row r="236" spans="1:8" ht="24">
      <c r="A236" s="1172" t="s">
        <v>1996</v>
      </c>
      <c r="B236" s="895" t="s">
        <v>2408</v>
      </c>
      <c r="C236" s="1173"/>
      <c r="D236" s="1169"/>
      <c r="E236" s="1162"/>
      <c r="F236" s="853"/>
      <c r="G236" s="1162"/>
      <c r="H236" s="1156"/>
    </row>
    <row r="237" spans="1:8" ht="48.75">
      <c r="A237" s="1163">
        <v>1</v>
      </c>
      <c r="B237" s="899" t="s">
        <v>1998</v>
      </c>
      <c r="C237" s="900" t="s">
        <v>1922</v>
      </c>
      <c r="D237" s="998" t="s">
        <v>2409</v>
      </c>
      <c r="E237" s="1177">
        <v>40000</v>
      </c>
      <c r="F237" s="900">
        <v>1</v>
      </c>
      <c r="G237" s="1161">
        <f>E237*F237</f>
        <v>40000</v>
      </c>
      <c r="H237" s="669" t="s">
        <v>3290</v>
      </c>
    </row>
    <row r="238" spans="1:8">
      <c r="A238" s="1172"/>
      <c r="B238" s="1156" t="s">
        <v>1900</v>
      </c>
      <c r="C238" s="1173"/>
      <c r="D238" s="1169"/>
      <c r="E238" s="1162"/>
      <c r="F238" s="853"/>
      <c r="G238" s="1162">
        <f t="shared" ref="G238" si="48">SUM(G237:G237)</f>
        <v>40000</v>
      </c>
      <c r="H238" s="1156"/>
    </row>
    <row r="239" spans="1:8" ht="24">
      <c r="A239" s="1172" t="s">
        <v>1999</v>
      </c>
      <c r="B239" s="902" t="s">
        <v>2411</v>
      </c>
      <c r="C239" s="1173"/>
      <c r="D239" s="1169"/>
      <c r="E239" s="1162"/>
      <c r="F239" s="853"/>
      <c r="G239" s="1162"/>
      <c r="H239" s="1156"/>
    </row>
    <row r="240" spans="1:8" ht="24">
      <c r="A240" s="1163">
        <v>1</v>
      </c>
      <c r="B240" s="867" t="s">
        <v>2412</v>
      </c>
      <c r="C240" s="857" t="s">
        <v>1916</v>
      </c>
      <c r="D240" s="863"/>
      <c r="E240" s="1161">
        <v>0</v>
      </c>
      <c r="F240" s="900">
        <v>0</v>
      </c>
      <c r="G240" s="1161">
        <v>0</v>
      </c>
      <c r="H240" s="669" t="s">
        <v>2824</v>
      </c>
    </row>
    <row r="241" spans="1:8">
      <c r="A241" s="1172"/>
      <c r="B241" s="1156" t="s">
        <v>1900</v>
      </c>
      <c r="C241" s="1173"/>
      <c r="D241" s="1169"/>
      <c r="E241" s="1162"/>
      <c r="F241" s="853"/>
      <c r="G241" s="1162">
        <f t="shared" ref="G241" si="49">SUM(G240:G240)</f>
        <v>0</v>
      </c>
      <c r="H241" s="1156"/>
    </row>
    <row r="242" spans="1:8" ht="36">
      <c r="A242" s="1172" t="s">
        <v>2000</v>
      </c>
      <c r="B242" s="895" t="s">
        <v>2414</v>
      </c>
      <c r="C242" s="1173"/>
      <c r="D242" s="1169"/>
      <c r="E242" s="1162"/>
      <c r="F242" s="853"/>
      <c r="G242" s="1162"/>
      <c r="H242" s="1156"/>
    </row>
    <row r="243" spans="1:8">
      <c r="A243" s="1175">
        <v>1</v>
      </c>
      <c r="B243" s="880" t="s">
        <v>2415</v>
      </c>
      <c r="C243" s="1174" t="s">
        <v>2393</v>
      </c>
      <c r="D243" s="863" t="s">
        <v>2399</v>
      </c>
      <c r="E243" s="1161">
        <v>1500</v>
      </c>
      <c r="F243" s="857">
        <v>8</v>
      </c>
      <c r="G243" s="1161">
        <f>E243*F243</f>
        <v>12000</v>
      </c>
      <c r="H243" s="929"/>
    </row>
    <row r="244" spans="1:8">
      <c r="A244" s="1172"/>
      <c r="B244" s="1156" t="s">
        <v>1900</v>
      </c>
      <c r="C244" s="1173"/>
      <c r="D244" s="1169"/>
      <c r="E244" s="1162"/>
      <c r="F244" s="853"/>
      <c r="G244" s="1162">
        <f t="shared" ref="G244" si="50">SUM(G243:G243)</f>
        <v>12000</v>
      </c>
      <c r="H244" s="1156"/>
    </row>
    <row r="245" spans="1:8" ht="24">
      <c r="A245" s="1172" t="s">
        <v>2003</v>
      </c>
      <c r="B245" s="895" t="s">
        <v>2416</v>
      </c>
      <c r="C245" s="1173"/>
      <c r="D245" s="1169"/>
      <c r="E245" s="1162"/>
      <c r="F245" s="853"/>
      <c r="G245" s="1162"/>
      <c r="H245" s="1156"/>
    </row>
    <row r="246" spans="1:8">
      <c r="A246" s="1175">
        <v>1</v>
      </c>
      <c r="B246" s="880" t="s">
        <v>2417</v>
      </c>
      <c r="C246" s="870" t="s">
        <v>2393</v>
      </c>
      <c r="D246" s="1168"/>
      <c r="E246" s="1161">
        <v>900</v>
      </c>
      <c r="F246" s="857">
        <v>4</v>
      </c>
      <c r="G246" s="1161">
        <f>E246*F246</f>
        <v>3600</v>
      </c>
      <c r="H246" s="929"/>
    </row>
    <row r="247" spans="1:8">
      <c r="A247" s="1172"/>
      <c r="B247" s="1156" t="s">
        <v>1900</v>
      </c>
      <c r="C247" s="1173"/>
      <c r="D247" s="1169"/>
      <c r="E247" s="1162"/>
      <c r="F247" s="853"/>
      <c r="G247" s="1162">
        <f>SUM(G246:G246)</f>
        <v>3600</v>
      </c>
      <c r="H247" s="1156"/>
    </row>
    <row r="248" spans="1:8" ht="24">
      <c r="A248" s="1172" t="s">
        <v>2006</v>
      </c>
      <c r="B248" s="895" t="s">
        <v>2418</v>
      </c>
      <c r="C248" s="1173"/>
      <c r="D248" s="1169"/>
      <c r="E248" s="1162"/>
      <c r="F248" s="853"/>
      <c r="G248" s="1162"/>
      <c r="H248" s="1156"/>
    </row>
    <row r="249" spans="1:8">
      <c r="A249" s="1175">
        <v>1</v>
      </c>
      <c r="B249" s="880" t="s">
        <v>2417</v>
      </c>
      <c r="C249" s="870" t="s">
        <v>2393</v>
      </c>
      <c r="D249" s="1168"/>
      <c r="E249" s="1161">
        <v>900</v>
      </c>
      <c r="F249" s="857">
        <v>1</v>
      </c>
      <c r="G249" s="1161">
        <f>E249*F249</f>
        <v>900</v>
      </c>
      <c r="H249" s="929"/>
    </row>
    <row r="250" spans="1:8" ht="24">
      <c r="A250" s="1163">
        <v>3</v>
      </c>
      <c r="B250" s="867" t="s">
        <v>2007</v>
      </c>
      <c r="C250" s="857" t="s">
        <v>1916</v>
      </c>
      <c r="D250" s="863" t="s">
        <v>2419</v>
      </c>
      <c r="E250" s="1161">
        <v>5000</v>
      </c>
      <c r="F250" s="857">
        <v>1</v>
      </c>
      <c r="G250" s="1161">
        <f>E250*F250</f>
        <v>5000</v>
      </c>
      <c r="H250" s="861"/>
    </row>
    <row r="251" spans="1:8">
      <c r="A251" s="1163">
        <v>4</v>
      </c>
      <c r="B251" s="903" t="s">
        <v>2009</v>
      </c>
      <c r="C251" s="904" t="s">
        <v>1916</v>
      </c>
      <c r="D251" s="1176" t="s">
        <v>2010</v>
      </c>
      <c r="E251" s="1161">
        <v>14000</v>
      </c>
      <c r="F251" s="857">
        <v>1</v>
      </c>
      <c r="G251" s="1161">
        <f>E251*F251</f>
        <v>14000</v>
      </c>
      <c r="H251" s="861"/>
    </row>
    <row r="252" spans="1:8">
      <c r="A252" s="1172"/>
      <c r="B252" s="1156" t="s">
        <v>1900</v>
      </c>
      <c r="C252" s="1173"/>
      <c r="D252" s="1169"/>
      <c r="E252" s="1162"/>
      <c r="F252" s="853"/>
      <c r="G252" s="1162">
        <f t="shared" ref="G252" si="51">SUM(G249:G251)</f>
        <v>19900</v>
      </c>
      <c r="H252" s="1156"/>
    </row>
    <row r="253" spans="1:8" ht="24">
      <c r="A253" s="1172" t="s">
        <v>2420</v>
      </c>
      <c r="B253" s="895" t="s">
        <v>2421</v>
      </c>
      <c r="C253" s="1173"/>
      <c r="D253" s="1169"/>
      <c r="E253" s="1162"/>
      <c r="F253" s="853"/>
      <c r="G253" s="1162"/>
      <c r="H253" s="1156"/>
    </row>
    <row r="254" spans="1:8" ht="24">
      <c r="A254" s="1163">
        <v>1</v>
      </c>
      <c r="B254" s="867" t="s">
        <v>2011</v>
      </c>
      <c r="C254" s="857" t="s">
        <v>1916</v>
      </c>
      <c r="D254" s="863" t="s">
        <v>2422</v>
      </c>
      <c r="E254" s="1161">
        <v>310000</v>
      </c>
      <c r="F254" s="857">
        <v>1</v>
      </c>
      <c r="G254" s="1161">
        <f>E254*F254</f>
        <v>310000</v>
      </c>
      <c r="H254" s="861"/>
    </row>
    <row r="255" spans="1:8" ht="24">
      <c r="A255" s="1163">
        <v>2</v>
      </c>
      <c r="B255" s="867" t="s">
        <v>2423</v>
      </c>
      <c r="C255" s="870" t="s">
        <v>1893</v>
      </c>
      <c r="D255" s="863"/>
      <c r="E255" s="1161">
        <v>7000</v>
      </c>
      <c r="F255" s="857">
        <v>1</v>
      </c>
      <c r="G255" s="1161">
        <f>E255*F255</f>
        <v>7000</v>
      </c>
      <c r="H255" s="861"/>
    </row>
    <row r="256" spans="1:8" ht="24">
      <c r="A256" s="1163">
        <v>4</v>
      </c>
      <c r="B256" s="899" t="s">
        <v>2820</v>
      </c>
      <c r="C256" s="857" t="s">
        <v>1916</v>
      </c>
      <c r="D256" s="863"/>
      <c r="E256" s="1178">
        <v>20000</v>
      </c>
      <c r="F256" s="900">
        <v>1</v>
      </c>
      <c r="G256" s="1161">
        <f t="shared" ref="G256:G258" si="52">E256*F256</f>
        <v>20000</v>
      </c>
      <c r="H256" s="669"/>
    </row>
    <row r="257" spans="1:8">
      <c r="A257" s="1163">
        <v>6</v>
      </c>
      <c r="B257" s="924" t="s">
        <v>2012</v>
      </c>
      <c r="C257" s="870"/>
      <c r="D257" s="883"/>
      <c r="E257" s="1161">
        <v>16000</v>
      </c>
      <c r="F257" s="857">
        <v>1</v>
      </c>
      <c r="G257" s="1161">
        <f t="shared" si="52"/>
        <v>16000</v>
      </c>
      <c r="H257" s="897"/>
    </row>
    <row r="258" spans="1:8" ht="24">
      <c r="A258" s="1163">
        <v>7</v>
      </c>
      <c r="B258" s="924" t="s">
        <v>2013</v>
      </c>
      <c r="C258" s="870"/>
      <c r="D258" s="883"/>
      <c r="E258" s="1161">
        <v>5000</v>
      </c>
      <c r="F258" s="857">
        <v>1</v>
      </c>
      <c r="G258" s="1161">
        <f t="shared" si="52"/>
        <v>5000</v>
      </c>
      <c r="H258" s="897"/>
    </row>
    <row r="259" spans="1:8">
      <c r="A259" s="1164"/>
      <c r="B259" s="1156" t="s">
        <v>1900</v>
      </c>
      <c r="C259" s="873"/>
      <c r="D259" s="905"/>
      <c r="E259" s="1162"/>
      <c r="F259" s="853"/>
      <c r="G259" s="1162">
        <f>SUM(G254:G258)</f>
        <v>358000</v>
      </c>
      <c r="H259" s="851"/>
    </row>
    <row r="260" spans="1:8" ht="36">
      <c r="A260" s="1164" t="s">
        <v>2424</v>
      </c>
      <c r="B260" s="865" t="s">
        <v>2014</v>
      </c>
      <c r="C260" s="853"/>
      <c r="D260" s="905"/>
      <c r="E260" s="1162"/>
      <c r="F260" s="853"/>
      <c r="G260" s="1162"/>
      <c r="H260" s="851"/>
    </row>
    <row r="261" spans="1:8">
      <c r="A261" s="1163">
        <v>2</v>
      </c>
      <c r="B261" s="899" t="s">
        <v>2016</v>
      </c>
      <c r="C261" s="900" t="s">
        <v>1916</v>
      </c>
      <c r="D261" s="906" t="s">
        <v>2017</v>
      </c>
      <c r="E261" s="1161">
        <v>30000</v>
      </c>
      <c r="F261" s="900">
        <v>1</v>
      </c>
      <c r="G261" s="1161">
        <f t="shared" ref="G261:G264" si="53">E261*F261</f>
        <v>30000</v>
      </c>
      <c r="H261" s="861"/>
    </row>
    <row r="262" spans="1:8" ht="24">
      <c r="A262" s="1163">
        <v>4</v>
      </c>
      <c r="B262" s="871" t="s">
        <v>2427</v>
      </c>
      <c r="C262" s="857" t="s">
        <v>1893</v>
      </c>
      <c r="D262" s="1179" t="s">
        <v>2428</v>
      </c>
      <c r="E262" s="1161">
        <v>10000</v>
      </c>
      <c r="F262" s="857">
        <v>1</v>
      </c>
      <c r="G262" s="1161">
        <f t="shared" si="53"/>
        <v>10000</v>
      </c>
      <c r="H262" s="861"/>
    </row>
    <row r="263" spans="1:8">
      <c r="A263" s="1163">
        <v>5</v>
      </c>
      <c r="B263" s="867" t="s">
        <v>2020</v>
      </c>
      <c r="C263" s="857" t="s">
        <v>1893</v>
      </c>
      <c r="D263" s="863" t="s">
        <v>2429</v>
      </c>
      <c r="E263" s="1161">
        <v>128440</v>
      </c>
      <c r="F263" s="857">
        <v>1</v>
      </c>
      <c r="G263" s="1161">
        <f t="shared" si="53"/>
        <v>128440</v>
      </c>
      <c r="H263" s="861"/>
    </row>
    <row r="264" spans="1:8" ht="36">
      <c r="A264" s="1163">
        <v>6</v>
      </c>
      <c r="B264" s="903" t="s">
        <v>2430</v>
      </c>
      <c r="C264" s="904" t="s">
        <v>2022</v>
      </c>
      <c r="D264" s="897" t="s">
        <v>2023</v>
      </c>
      <c r="E264" s="1178">
        <v>90000</v>
      </c>
      <c r="F264" s="900">
        <v>1</v>
      </c>
      <c r="G264" s="1161">
        <f t="shared" si="53"/>
        <v>90000</v>
      </c>
      <c r="H264" s="669"/>
    </row>
    <row r="265" spans="1:8">
      <c r="A265" s="1163">
        <v>7</v>
      </c>
      <c r="B265" s="903" t="s">
        <v>2431</v>
      </c>
      <c r="C265" s="904" t="s">
        <v>2432</v>
      </c>
      <c r="D265" s="897"/>
      <c r="E265" s="1178">
        <v>150000</v>
      </c>
      <c r="F265" s="900">
        <v>1</v>
      </c>
      <c r="G265" s="1161">
        <v>0</v>
      </c>
      <c r="H265" s="669"/>
    </row>
    <row r="266" spans="1:8">
      <c r="A266" s="853"/>
      <c r="B266" s="851" t="s">
        <v>1900</v>
      </c>
      <c r="C266" s="853"/>
      <c r="D266" s="854"/>
      <c r="E266" s="1162"/>
      <c r="F266" s="853"/>
      <c r="G266" s="1162">
        <f>SUM(G261:G265)</f>
        <v>258440</v>
      </c>
      <c r="H266" s="851"/>
    </row>
    <row r="267" spans="1:8">
      <c r="A267" s="857"/>
      <c r="B267" s="851" t="s">
        <v>2025</v>
      </c>
      <c r="C267" s="857"/>
      <c r="D267" s="669"/>
      <c r="E267" s="1161"/>
      <c r="F267" s="853"/>
      <c r="G267" s="1162">
        <f>SUM(G266,G259,G252,G247,G244,G241,G238,G235,G227,G222,G218,G215,G209,G203,G196,G189,G183,G174,G165,G159,G152,G145,G142,G139,G135,G119)</f>
        <v>3020000</v>
      </c>
      <c r="H267" s="910"/>
    </row>
    <row r="268" spans="1:8" ht="24.75">
      <c r="A268" s="1510"/>
      <c r="B268" s="1510"/>
      <c r="C268" s="853"/>
      <c r="D268" s="854"/>
      <c r="E268" s="853"/>
      <c r="F268" s="911"/>
      <c r="G268" s="1162">
        <f>G267*0.9</f>
        <v>2718000</v>
      </c>
      <c r="H268" s="1158" t="s">
        <v>1884</v>
      </c>
    </row>
    <row r="270" spans="1:8" ht="18.75">
      <c r="A270" s="1503" t="s">
        <v>3291</v>
      </c>
      <c r="B270" s="1503"/>
      <c r="C270" s="1503"/>
      <c r="D270" s="1503"/>
      <c r="E270" s="1503"/>
      <c r="F270" s="1503"/>
      <c r="G270" s="1503"/>
      <c r="H270" s="1503"/>
    </row>
    <row r="271" spans="1:8">
      <c r="A271" s="1504" t="s">
        <v>1878</v>
      </c>
      <c r="B271" s="1504" t="s">
        <v>1885</v>
      </c>
      <c r="C271" s="1504" t="s">
        <v>1886</v>
      </c>
      <c r="D271" s="1504" t="s">
        <v>1887</v>
      </c>
      <c r="E271" s="1512" t="s">
        <v>1888</v>
      </c>
      <c r="F271" s="1508" t="s">
        <v>2291</v>
      </c>
      <c r="G271" s="1509"/>
      <c r="H271" s="1514" t="s">
        <v>1889</v>
      </c>
    </row>
    <row r="272" spans="1:8">
      <c r="A272" s="1511"/>
      <c r="B272" s="1511"/>
      <c r="C272" s="1511"/>
      <c r="D272" s="1505"/>
      <c r="E272" s="1513"/>
      <c r="F272" s="1156" t="s">
        <v>2292</v>
      </c>
      <c r="G272" s="1180" t="s">
        <v>2293</v>
      </c>
      <c r="H272" s="1515"/>
    </row>
    <row r="273" spans="1:8" ht="48">
      <c r="A273" s="853" t="s">
        <v>1890</v>
      </c>
      <c r="B273" s="854" t="s">
        <v>2294</v>
      </c>
      <c r="C273" s="855"/>
      <c r="D273" s="856"/>
      <c r="E273" s="1181"/>
      <c r="F273" s="1156"/>
      <c r="G273" s="1182"/>
      <c r="H273" s="1157"/>
    </row>
    <row r="274" spans="1:8" ht="60">
      <c r="A274" s="857">
        <v>1</v>
      </c>
      <c r="B274" s="669" t="s">
        <v>2295</v>
      </c>
      <c r="C274" s="857" t="s">
        <v>1893</v>
      </c>
      <c r="D274" s="854"/>
      <c r="E274" s="1183">
        <v>250000</v>
      </c>
      <c r="F274" s="857">
        <v>1</v>
      </c>
      <c r="G274" s="1183">
        <f>E274*F274</f>
        <v>250000</v>
      </c>
      <c r="H274" s="880" t="s">
        <v>2296</v>
      </c>
    </row>
    <row r="275" spans="1:8" ht="60">
      <c r="A275" s="857">
        <v>2</v>
      </c>
      <c r="B275" s="669" t="s">
        <v>2297</v>
      </c>
      <c r="C275" s="857" t="s">
        <v>1893</v>
      </c>
      <c r="D275" s="669"/>
      <c r="E275" s="1183">
        <v>100000</v>
      </c>
      <c r="F275" s="857">
        <v>1</v>
      </c>
      <c r="G275" s="1183">
        <f t="shared" ref="G275:G277" si="54">E275*F275</f>
        <v>100000</v>
      </c>
      <c r="H275" s="880" t="s">
        <v>2296</v>
      </c>
    </row>
    <row r="276" spans="1:8" ht="60">
      <c r="A276" s="859">
        <v>3</v>
      </c>
      <c r="B276" s="669" t="s">
        <v>2298</v>
      </c>
      <c r="C276" s="857" t="s">
        <v>1893</v>
      </c>
      <c r="D276" s="669" t="s">
        <v>2299</v>
      </c>
      <c r="E276" s="1183">
        <v>70000</v>
      </c>
      <c r="F276" s="857">
        <v>1</v>
      </c>
      <c r="G276" s="1183">
        <f t="shared" si="54"/>
        <v>70000</v>
      </c>
      <c r="H276" s="880" t="s">
        <v>2296</v>
      </c>
    </row>
    <row r="277" spans="1:8" ht="24">
      <c r="A277" s="857">
        <v>4</v>
      </c>
      <c r="B277" s="669" t="s">
        <v>2300</v>
      </c>
      <c r="C277" s="857" t="s">
        <v>1893</v>
      </c>
      <c r="D277" s="857"/>
      <c r="E277" s="1183">
        <v>15000</v>
      </c>
      <c r="F277" s="857">
        <v>1</v>
      </c>
      <c r="G277" s="1183">
        <f t="shared" si="54"/>
        <v>15000</v>
      </c>
      <c r="H277" s="880" t="s">
        <v>2301</v>
      </c>
    </row>
    <row r="278" spans="1:8">
      <c r="A278" s="857"/>
      <c r="B278" s="1156" t="s">
        <v>1900</v>
      </c>
      <c r="C278" s="857"/>
      <c r="D278" s="669"/>
      <c r="E278" s="1183"/>
      <c r="F278" s="853"/>
      <c r="G278" s="1184">
        <f t="shared" ref="G278" si="55">SUM(G274:G277)</f>
        <v>435000</v>
      </c>
      <c r="H278" s="861"/>
    </row>
    <row r="279" spans="1:8" ht="36">
      <c r="A279" s="1163" t="s">
        <v>2302</v>
      </c>
      <c r="B279" s="919" t="s">
        <v>2303</v>
      </c>
      <c r="C279" s="857"/>
      <c r="D279" s="863"/>
      <c r="E279" s="1183"/>
      <c r="F279" s="853"/>
      <c r="G279" s="1184"/>
      <c r="H279" s="861"/>
    </row>
    <row r="280" spans="1:8" ht="36">
      <c r="A280" s="1164" t="s">
        <v>1903</v>
      </c>
      <c r="B280" s="865" t="s">
        <v>2304</v>
      </c>
      <c r="C280" s="853"/>
      <c r="D280" s="866"/>
      <c r="E280" s="1184"/>
      <c r="F280" s="853"/>
      <c r="G280" s="1184"/>
      <c r="H280" s="851"/>
    </row>
    <row r="281" spans="1:8" ht="60">
      <c r="A281" s="1164" t="s">
        <v>1905</v>
      </c>
      <c r="B281" s="865" t="s">
        <v>2305</v>
      </c>
      <c r="C281" s="853"/>
      <c r="D281" s="866"/>
      <c r="E281" s="1184"/>
      <c r="F281" s="853"/>
      <c r="G281" s="1184"/>
      <c r="H281" s="851"/>
    </row>
    <row r="282" spans="1:8">
      <c r="A282" s="857">
        <v>1</v>
      </c>
      <c r="B282" s="867" t="s">
        <v>1907</v>
      </c>
      <c r="C282" s="857" t="s">
        <v>1908</v>
      </c>
      <c r="D282" s="863"/>
      <c r="E282" s="1183">
        <v>80</v>
      </c>
      <c r="F282" s="857">
        <v>5</v>
      </c>
      <c r="G282" s="1183">
        <f t="shared" ref="G282:G292" si="56">E282*F282</f>
        <v>400</v>
      </c>
      <c r="H282" s="669"/>
    </row>
    <row r="283" spans="1:8">
      <c r="A283" s="1163">
        <v>2</v>
      </c>
      <c r="B283" s="867" t="s">
        <v>1909</v>
      </c>
      <c r="C283" s="857" t="s">
        <v>1910</v>
      </c>
      <c r="D283" s="669" t="s">
        <v>2306</v>
      </c>
      <c r="E283" s="1183">
        <v>13000</v>
      </c>
      <c r="F283" s="857">
        <v>5</v>
      </c>
      <c r="G283" s="1183">
        <f t="shared" si="56"/>
        <v>65000</v>
      </c>
      <c r="H283" s="669"/>
    </row>
    <row r="284" spans="1:8">
      <c r="A284" s="857">
        <v>3</v>
      </c>
      <c r="B284" s="867" t="s">
        <v>1912</v>
      </c>
      <c r="C284" s="857" t="s">
        <v>1913</v>
      </c>
      <c r="D284" s="868" t="s">
        <v>1914</v>
      </c>
      <c r="E284" s="1183">
        <v>320</v>
      </c>
      <c r="F284" s="857">
        <v>5</v>
      </c>
      <c r="G284" s="1183">
        <f t="shared" si="56"/>
        <v>1600</v>
      </c>
      <c r="H284" s="669"/>
    </row>
    <row r="285" spans="1:8">
      <c r="A285" s="1163">
        <v>4</v>
      </c>
      <c r="B285" s="867" t="s">
        <v>2307</v>
      </c>
      <c r="C285" s="857" t="s">
        <v>1916</v>
      </c>
      <c r="D285" s="669" t="s">
        <v>1917</v>
      </c>
      <c r="E285" s="1183">
        <v>650</v>
      </c>
      <c r="F285" s="857">
        <v>25</v>
      </c>
      <c r="G285" s="1183">
        <f t="shared" si="56"/>
        <v>16250</v>
      </c>
      <c r="H285" s="669"/>
    </row>
    <row r="286" spans="1:8" ht="36">
      <c r="A286" s="857">
        <v>5</v>
      </c>
      <c r="B286" s="920" t="s">
        <v>1918</v>
      </c>
      <c r="C286" s="857" t="s">
        <v>1919</v>
      </c>
      <c r="D286" s="669" t="s">
        <v>2308</v>
      </c>
      <c r="E286" s="1183">
        <v>6000</v>
      </c>
      <c r="F286" s="857">
        <v>5</v>
      </c>
      <c r="G286" s="1183">
        <f t="shared" si="56"/>
        <v>30000</v>
      </c>
      <c r="H286" s="669"/>
    </row>
    <row r="287" spans="1:8">
      <c r="A287" s="1163">
        <v>6</v>
      </c>
      <c r="B287" s="1165" t="s">
        <v>1921</v>
      </c>
      <c r="C287" s="870" t="s">
        <v>1922</v>
      </c>
      <c r="D287" s="669" t="s">
        <v>2309</v>
      </c>
      <c r="E287" s="1183">
        <v>15000</v>
      </c>
      <c r="F287" s="857">
        <v>5</v>
      </c>
      <c r="G287" s="1183">
        <f t="shared" si="56"/>
        <v>75000</v>
      </c>
      <c r="H287" s="669"/>
    </row>
    <row r="288" spans="1:8" ht="24">
      <c r="A288" s="857">
        <v>7</v>
      </c>
      <c r="B288" s="669" t="s">
        <v>3292</v>
      </c>
      <c r="C288" s="870" t="s">
        <v>1922</v>
      </c>
      <c r="D288" s="669"/>
      <c r="E288" s="1183">
        <v>500</v>
      </c>
      <c r="F288" s="857">
        <v>5</v>
      </c>
      <c r="G288" s="1183">
        <f t="shared" si="56"/>
        <v>2500</v>
      </c>
      <c r="H288" s="669"/>
    </row>
    <row r="289" spans="1:8" ht="24">
      <c r="A289" s="1163">
        <v>8</v>
      </c>
      <c r="B289" s="867" t="s">
        <v>2310</v>
      </c>
      <c r="C289" s="870" t="s">
        <v>1916</v>
      </c>
      <c r="D289" s="863" t="s">
        <v>2311</v>
      </c>
      <c r="E289" s="1185">
        <v>20000</v>
      </c>
      <c r="F289" s="857">
        <v>5</v>
      </c>
      <c r="G289" s="1183">
        <f t="shared" si="56"/>
        <v>100000</v>
      </c>
      <c r="H289" s="669"/>
    </row>
    <row r="290" spans="1:8" ht="24">
      <c r="A290" s="857">
        <v>9</v>
      </c>
      <c r="B290" s="871" t="s">
        <v>2312</v>
      </c>
      <c r="C290" s="857" t="s">
        <v>1922</v>
      </c>
      <c r="D290" s="669"/>
      <c r="E290" s="1183">
        <v>2500</v>
      </c>
      <c r="F290" s="857">
        <v>5</v>
      </c>
      <c r="G290" s="1183">
        <f t="shared" si="56"/>
        <v>12500</v>
      </c>
      <c r="H290" s="669"/>
    </row>
    <row r="291" spans="1:8" ht="36">
      <c r="A291" s="857">
        <v>11</v>
      </c>
      <c r="B291" s="669" t="s">
        <v>2316</v>
      </c>
      <c r="C291" s="857" t="s">
        <v>1916</v>
      </c>
      <c r="D291" s="863" t="s">
        <v>2317</v>
      </c>
      <c r="E291" s="1183">
        <v>700</v>
      </c>
      <c r="F291" s="857">
        <v>5</v>
      </c>
      <c r="G291" s="1183">
        <f t="shared" si="56"/>
        <v>3500</v>
      </c>
      <c r="H291" s="669"/>
    </row>
    <row r="292" spans="1:8" ht="24">
      <c r="A292" s="1163">
        <v>12</v>
      </c>
      <c r="B292" s="669" t="s">
        <v>2318</v>
      </c>
      <c r="C292" s="857" t="s">
        <v>1916</v>
      </c>
      <c r="D292" s="669" t="s">
        <v>1917</v>
      </c>
      <c r="E292" s="1183">
        <v>650</v>
      </c>
      <c r="F292" s="857">
        <v>25</v>
      </c>
      <c r="G292" s="1183">
        <f t="shared" si="56"/>
        <v>16250</v>
      </c>
      <c r="H292" s="669"/>
    </row>
    <row r="293" spans="1:8">
      <c r="A293" s="1164"/>
      <c r="B293" s="1156" t="s">
        <v>1900</v>
      </c>
      <c r="C293" s="853"/>
      <c r="D293" s="866"/>
      <c r="E293" s="1184"/>
      <c r="F293" s="853"/>
      <c r="G293" s="1184">
        <f>SUM(G282:G292)</f>
        <v>323000</v>
      </c>
      <c r="H293" s="854"/>
    </row>
    <row r="294" spans="1:8" ht="36">
      <c r="A294" s="1164" t="s">
        <v>1931</v>
      </c>
      <c r="B294" s="919" t="s">
        <v>2319</v>
      </c>
      <c r="C294" s="853"/>
      <c r="D294" s="866"/>
      <c r="E294" s="1184"/>
      <c r="F294" s="853"/>
      <c r="G294" s="1184"/>
      <c r="H294" s="854"/>
    </row>
    <row r="295" spans="1:8" ht="24">
      <c r="A295" s="857">
        <v>1</v>
      </c>
      <c r="B295" s="867" t="s">
        <v>2320</v>
      </c>
      <c r="C295" s="857" t="s">
        <v>1908</v>
      </c>
      <c r="D295" s="863" t="s">
        <v>2321</v>
      </c>
      <c r="E295" s="1183">
        <v>380</v>
      </c>
      <c r="F295" s="857">
        <v>150</v>
      </c>
      <c r="G295" s="1183">
        <f>E295*F295</f>
        <v>57000</v>
      </c>
      <c r="H295" s="669"/>
    </row>
    <row r="296" spans="1:8">
      <c r="A296" s="1164"/>
      <c r="B296" s="1156" t="s">
        <v>1900</v>
      </c>
      <c r="C296" s="873"/>
      <c r="D296" s="866"/>
      <c r="E296" s="1184"/>
      <c r="F296" s="853"/>
      <c r="G296" s="1184">
        <f>SUM(G295:G295)</f>
        <v>57000</v>
      </c>
      <c r="H296" s="854"/>
    </row>
    <row r="297" spans="1:8" ht="48">
      <c r="A297" s="1164" t="s">
        <v>1934</v>
      </c>
      <c r="B297" s="919" t="s">
        <v>2324</v>
      </c>
      <c r="C297" s="873"/>
      <c r="D297" s="866"/>
      <c r="E297" s="1184"/>
      <c r="F297" s="853"/>
      <c r="G297" s="1184"/>
      <c r="H297" s="854"/>
    </row>
    <row r="298" spans="1:8">
      <c r="A298" s="857">
        <v>1</v>
      </c>
      <c r="B298" s="867" t="s">
        <v>1935</v>
      </c>
      <c r="C298" s="870" t="s">
        <v>1908</v>
      </c>
      <c r="D298" s="863" t="s">
        <v>2325</v>
      </c>
      <c r="E298" s="1183">
        <v>2000</v>
      </c>
      <c r="F298" s="857">
        <v>5</v>
      </c>
      <c r="G298" s="1183">
        <f>E298*F298</f>
        <v>10000</v>
      </c>
      <c r="H298" s="669"/>
    </row>
    <row r="299" spans="1:8">
      <c r="A299" s="1164"/>
      <c r="B299" s="1156" t="s">
        <v>1900</v>
      </c>
      <c r="C299" s="873"/>
      <c r="D299" s="866"/>
      <c r="E299" s="1184"/>
      <c r="F299" s="853"/>
      <c r="G299" s="1184">
        <f t="shared" ref="G299" si="57">SUM(G298:G298)</f>
        <v>10000</v>
      </c>
      <c r="H299" s="854"/>
    </row>
    <row r="300" spans="1:8" ht="48">
      <c r="A300" s="1164" t="s">
        <v>1937</v>
      </c>
      <c r="B300" s="865" t="s">
        <v>2327</v>
      </c>
      <c r="C300" s="873"/>
      <c r="D300" s="866"/>
      <c r="E300" s="1184"/>
      <c r="F300" s="853"/>
      <c r="G300" s="1184"/>
      <c r="H300" s="854"/>
    </row>
    <row r="301" spans="1:8" ht="24">
      <c r="A301" s="1163">
        <v>1</v>
      </c>
      <c r="B301" s="867" t="s">
        <v>2328</v>
      </c>
      <c r="C301" s="857" t="s">
        <v>1919</v>
      </c>
      <c r="D301" s="863" t="s">
        <v>2329</v>
      </c>
      <c r="E301" s="1183">
        <v>2400</v>
      </c>
      <c r="F301" s="857">
        <v>5</v>
      </c>
      <c r="G301" s="1183">
        <f>E301*F301</f>
        <v>12000</v>
      </c>
      <c r="H301" s="669"/>
    </row>
    <row r="302" spans="1:8">
      <c r="A302" s="1164"/>
      <c r="B302" s="1156" t="s">
        <v>1900</v>
      </c>
      <c r="C302" s="853"/>
      <c r="D302" s="866"/>
      <c r="E302" s="1184"/>
      <c r="F302" s="853"/>
      <c r="G302" s="1184">
        <f t="shared" ref="G302" si="58">SUM(G301:G301)</f>
        <v>12000</v>
      </c>
      <c r="H302" s="851"/>
    </row>
    <row r="303" spans="1:8" ht="48.75">
      <c r="A303" s="1164" t="s">
        <v>1939</v>
      </c>
      <c r="B303" s="919" t="s">
        <v>2330</v>
      </c>
      <c r="C303" s="853"/>
      <c r="D303" s="866"/>
      <c r="E303" s="1184"/>
      <c r="F303" s="853"/>
      <c r="G303" s="1186"/>
      <c r="H303" s="669" t="s">
        <v>1940</v>
      </c>
    </row>
    <row r="304" spans="1:8" ht="24">
      <c r="A304" s="1163">
        <v>1</v>
      </c>
      <c r="B304" s="867" t="s">
        <v>1941</v>
      </c>
      <c r="C304" s="857" t="s">
        <v>1922</v>
      </c>
      <c r="D304" s="863"/>
      <c r="E304" s="1183">
        <v>1500</v>
      </c>
      <c r="F304" s="857">
        <v>5</v>
      </c>
      <c r="G304" s="1187">
        <f>E304*F304</f>
        <v>7500</v>
      </c>
      <c r="H304" s="669" t="s">
        <v>2331</v>
      </c>
    </row>
    <row r="305" spans="1:8">
      <c r="A305" s="1163">
        <v>2</v>
      </c>
      <c r="B305" s="867" t="s">
        <v>1943</v>
      </c>
      <c r="C305" s="857" t="s">
        <v>1922</v>
      </c>
      <c r="D305" s="863"/>
      <c r="E305" s="1183">
        <v>2000</v>
      </c>
      <c r="F305" s="857">
        <v>2</v>
      </c>
      <c r="G305" s="1183">
        <f>E305*F305</f>
        <v>4000</v>
      </c>
      <c r="H305" s="861"/>
    </row>
    <row r="306" spans="1:8" ht="24">
      <c r="A306" s="1163">
        <v>3</v>
      </c>
      <c r="B306" s="867" t="s">
        <v>2332</v>
      </c>
      <c r="C306" s="857" t="s">
        <v>1908</v>
      </c>
      <c r="D306" s="863" t="s">
        <v>2333</v>
      </c>
      <c r="E306" s="1183">
        <v>2000</v>
      </c>
      <c r="F306" s="857">
        <v>5</v>
      </c>
      <c r="G306" s="1183">
        <f>E306*F306</f>
        <v>10000</v>
      </c>
      <c r="H306" s="669" t="s">
        <v>2331</v>
      </c>
    </row>
    <row r="307" spans="1:8" ht="24">
      <c r="A307" s="1163">
        <v>4</v>
      </c>
      <c r="B307" s="867" t="s">
        <v>2334</v>
      </c>
      <c r="C307" s="857" t="s">
        <v>1992</v>
      </c>
      <c r="D307" s="863"/>
      <c r="E307" s="1183">
        <v>1200</v>
      </c>
      <c r="F307" s="857">
        <v>2</v>
      </c>
      <c r="G307" s="1183">
        <f>E307*F307</f>
        <v>2400</v>
      </c>
      <c r="H307" s="867" t="s">
        <v>2335</v>
      </c>
    </row>
    <row r="308" spans="1:8" ht="72.75">
      <c r="A308" s="1163">
        <v>5</v>
      </c>
      <c r="B308" s="867" t="s">
        <v>2336</v>
      </c>
      <c r="C308" s="857" t="s">
        <v>1922</v>
      </c>
      <c r="D308" s="863" t="s">
        <v>3288</v>
      </c>
      <c r="E308" s="1183">
        <v>12000</v>
      </c>
      <c r="F308" s="857">
        <v>2</v>
      </c>
      <c r="G308" s="1183">
        <f>E308*F308</f>
        <v>24000</v>
      </c>
      <c r="H308" s="867" t="s">
        <v>2337</v>
      </c>
    </row>
    <row r="309" spans="1:8">
      <c r="A309" s="1164"/>
      <c r="B309" s="1156" t="s">
        <v>1900</v>
      </c>
      <c r="C309" s="853"/>
      <c r="D309" s="866"/>
      <c r="E309" s="1184"/>
      <c r="F309" s="853"/>
      <c r="G309" s="1184">
        <f>SUM(G304:G308)</f>
        <v>47900</v>
      </c>
      <c r="H309" s="865"/>
    </row>
    <row r="310" spans="1:8" ht="24">
      <c r="A310" s="853" t="s">
        <v>1948</v>
      </c>
      <c r="B310" s="923" t="s">
        <v>2338</v>
      </c>
      <c r="C310" s="873"/>
      <c r="D310" s="919"/>
      <c r="E310" s="1184"/>
      <c r="F310" s="853"/>
      <c r="G310" s="1184"/>
      <c r="H310" s="669" t="s">
        <v>2339</v>
      </c>
    </row>
    <row r="311" spans="1:8" ht="36">
      <c r="A311" s="857">
        <v>1</v>
      </c>
      <c r="B311" s="867" t="s">
        <v>2340</v>
      </c>
      <c r="C311" s="857" t="s">
        <v>1893</v>
      </c>
      <c r="D311" s="669" t="s">
        <v>2341</v>
      </c>
      <c r="E311" s="1183">
        <v>350000</v>
      </c>
      <c r="F311" s="857">
        <v>1</v>
      </c>
      <c r="G311" s="1183">
        <f>E311*F311</f>
        <v>350000</v>
      </c>
      <c r="H311" s="861"/>
    </row>
    <row r="312" spans="1:8" ht="24">
      <c r="A312" s="879">
        <v>2</v>
      </c>
      <c r="B312" s="867" t="s">
        <v>2342</v>
      </c>
      <c r="C312" s="857" t="s">
        <v>1893</v>
      </c>
      <c r="D312" s="863" t="s">
        <v>2343</v>
      </c>
      <c r="E312" s="1183">
        <v>20000</v>
      </c>
      <c r="F312" s="857">
        <v>1</v>
      </c>
      <c r="G312" s="1183">
        <f t="shared" ref="G312:G314" si="59">E312*F312</f>
        <v>20000</v>
      </c>
      <c r="H312" s="861"/>
    </row>
    <row r="313" spans="1:8">
      <c r="A313" s="879">
        <v>3</v>
      </c>
      <c r="B313" s="924" t="s">
        <v>2344</v>
      </c>
      <c r="C313" s="857" t="s">
        <v>1910</v>
      </c>
      <c r="D313" s="669" t="s">
        <v>2345</v>
      </c>
      <c r="E313" s="1183">
        <v>13000</v>
      </c>
      <c r="F313" s="925">
        <v>1</v>
      </c>
      <c r="G313" s="1183">
        <f t="shared" si="59"/>
        <v>13000</v>
      </c>
      <c r="H313" s="861"/>
    </row>
    <row r="314" spans="1:8" ht="36">
      <c r="A314" s="879">
        <v>4</v>
      </c>
      <c r="B314" s="924" t="s">
        <v>2346</v>
      </c>
      <c r="C314" s="857" t="s">
        <v>1893</v>
      </c>
      <c r="D314" s="1168" t="s">
        <v>2347</v>
      </c>
      <c r="E314" s="1187">
        <v>20000</v>
      </c>
      <c r="F314" s="925">
        <v>1</v>
      </c>
      <c r="G314" s="1183">
        <f t="shared" si="59"/>
        <v>20000</v>
      </c>
      <c r="H314" s="861"/>
    </row>
    <row r="315" spans="1:8">
      <c r="A315" s="853"/>
      <c r="B315" s="1156" t="s">
        <v>1900</v>
      </c>
      <c r="C315" s="873"/>
      <c r="D315" s="854"/>
      <c r="E315" s="1184"/>
      <c r="F315" s="853"/>
      <c r="G315" s="1184">
        <f>SUM(G311:G314)</f>
        <v>403000</v>
      </c>
      <c r="H315" s="851"/>
    </row>
    <row r="316" spans="1:8" ht="36">
      <c r="A316" s="1164" t="s">
        <v>1954</v>
      </c>
      <c r="B316" s="865" t="s">
        <v>1955</v>
      </c>
      <c r="C316" s="853"/>
      <c r="D316" s="866"/>
      <c r="E316" s="1184"/>
      <c r="F316" s="853"/>
      <c r="G316" s="1184"/>
      <c r="H316" s="851"/>
    </row>
    <row r="317" spans="1:8" ht="96">
      <c r="A317" s="1163">
        <v>1</v>
      </c>
      <c r="B317" s="867" t="s">
        <v>2349</v>
      </c>
      <c r="C317" s="857" t="s">
        <v>1916</v>
      </c>
      <c r="D317" s="863" t="s">
        <v>2350</v>
      </c>
      <c r="E317" s="1183">
        <v>100000</v>
      </c>
      <c r="F317" s="857">
        <v>4</v>
      </c>
      <c r="G317" s="1183">
        <f>E317*F317</f>
        <v>400000</v>
      </c>
      <c r="H317" s="669" t="s">
        <v>2351</v>
      </c>
    </row>
    <row r="318" spans="1:8" ht="36">
      <c r="A318" s="1163">
        <v>2</v>
      </c>
      <c r="B318" s="1165" t="s">
        <v>1921</v>
      </c>
      <c r="C318" s="870" t="s">
        <v>1922</v>
      </c>
      <c r="D318" s="669" t="s">
        <v>2309</v>
      </c>
      <c r="E318" s="1183">
        <v>15000</v>
      </c>
      <c r="F318" s="857">
        <v>3</v>
      </c>
      <c r="G318" s="1183">
        <f t="shared" ref="G318:G319" si="60">E318*F318</f>
        <v>45000</v>
      </c>
      <c r="H318" s="669" t="s">
        <v>2352</v>
      </c>
    </row>
    <row r="319" spans="1:8" ht="25.5">
      <c r="A319" s="857">
        <v>3</v>
      </c>
      <c r="B319" s="880" t="s">
        <v>2353</v>
      </c>
      <c r="C319" s="857" t="s">
        <v>1893</v>
      </c>
      <c r="D319" s="1168" t="s">
        <v>1959</v>
      </c>
      <c r="E319" s="1183">
        <v>1920</v>
      </c>
      <c r="F319" s="857">
        <v>5</v>
      </c>
      <c r="G319" s="1183">
        <f t="shared" si="60"/>
        <v>9600</v>
      </c>
      <c r="H319" s="880"/>
    </row>
    <row r="320" spans="1:8">
      <c r="A320" s="1164"/>
      <c r="B320" s="1156" t="s">
        <v>1900</v>
      </c>
      <c r="C320" s="853"/>
      <c r="D320" s="866"/>
      <c r="E320" s="1184"/>
      <c r="F320" s="853"/>
      <c r="G320" s="1184">
        <f>SUM(G317:G319)</f>
        <v>454600</v>
      </c>
      <c r="H320" s="851"/>
    </row>
    <row r="321" spans="1:8" ht="36">
      <c r="A321" s="1164" t="s">
        <v>2355</v>
      </c>
      <c r="B321" s="919" t="s">
        <v>2356</v>
      </c>
      <c r="C321" s="853"/>
      <c r="D321" s="866"/>
      <c r="E321" s="1184"/>
      <c r="F321" s="853"/>
      <c r="G321" s="1184"/>
      <c r="H321" s="851"/>
    </row>
    <row r="322" spans="1:8" ht="36">
      <c r="A322" s="1164" t="s">
        <v>1903</v>
      </c>
      <c r="B322" s="882" t="s">
        <v>2357</v>
      </c>
      <c r="C322" s="853"/>
      <c r="D322" s="866"/>
      <c r="E322" s="1184"/>
      <c r="F322" s="853"/>
      <c r="G322" s="1184"/>
      <c r="H322" s="851"/>
    </row>
    <row r="323" spans="1:8" ht="36">
      <c r="A323" s="853" t="s">
        <v>1905</v>
      </c>
      <c r="B323" s="882" t="s">
        <v>2358</v>
      </c>
      <c r="C323" s="853"/>
      <c r="D323" s="854"/>
      <c r="E323" s="1184"/>
      <c r="F323" s="853"/>
      <c r="G323" s="1184"/>
      <c r="H323" s="851"/>
    </row>
    <row r="324" spans="1:8" ht="24">
      <c r="A324" s="879">
        <v>1</v>
      </c>
      <c r="B324" s="871" t="s">
        <v>1962</v>
      </c>
      <c r="C324" s="857" t="s">
        <v>1916</v>
      </c>
      <c r="D324" s="883"/>
      <c r="E324" s="1183">
        <v>2500</v>
      </c>
      <c r="F324" s="857">
        <v>1</v>
      </c>
      <c r="G324" s="1183">
        <f>E324*F324</f>
        <v>2500</v>
      </c>
      <c r="H324" s="669"/>
    </row>
    <row r="325" spans="1:8" ht="24">
      <c r="A325" s="879">
        <v>2</v>
      </c>
      <c r="B325" s="871" t="s">
        <v>2359</v>
      </c>
      <c r="C325" s="857" t="s">
        <v>1908</v>
      </c>
      <c r="D325" s="883"/>
      <c r="E325" s="1183">
        <v>1500</v>
      </c>
      <c r="F325" s="857">
        <v>1</v>
      </c>
      <c r="G325" s="1183">
        <f t="shared" ref="G325:G328" si="61">E325*F325</f>
        <v>1500</v>
      </c>
      <c r="H325" s="669"/>
    </row>
    <row r="326" spans="1:8">
      <c r="A326" s="879">
        <v>3</v>
      </c>
      <c r="B326" s="867" t="s">
        <v>1963</v>
      </c>
      <c r="C326" s="857" t="s">
        <v>1916</v>
      </c>
      <c r="D326" s="863" t="s">
        <v>2360</v>
      </c>
      <c r="E326" s="1183">
        <v>2000</v>
      </c>
      <c r="F326" s="857">
        <v>1</v>
      </c>
      <c r="G326" s="1183">
        <f t="shared" si="61"/>
        <v>2000</v>
      </c>
      <c r="H326" s="669"/>
    </row>
    <row r="327" spans="1:8" ht="24">
      <c r="A327" s="879">
        <v>4</v>
      </c>
      <c r="B327" s="871" t="s">
        <v>2361</v>
      </c>
      <c r="C327" s="857" t="s">
        <v>1965</v>
      </c>
      <c r="D327" s="863" t="s">
        <v>2821</v>
      </c>
      <c r="E327" s="1183">
        <v>5000</v>
      </c>
      <c r="F327" s="857">
        <v>1</v>
      </c>
      <c r="G327" s="1183">
        <f t="shared" si="61"/>
        <v>5000</v>
      </c>
      <c r="H327" s="669"/>
    </row>
    <row r="328" spans="1:8" ht="24">
      <c r="A328" s="879">
        <v>5</v>
      </c>
      <c r="B328" s="867" t="s">
        <v>2362</v>
      </c>
      <c r="C328" s="857" t="s">
        <v>1922</v>
      </c>
      <c r="D328" s="863"/>
      <c r="E328" s="1183">
        <v>3000</v>
      </c>
      <c r="F328" s="857">
        <v>1</v>
      </c>
      <c r="G328" s="1183">
        <f t="shared" si="61"/>
        <v>3000</v>
      </c>
      <c r="H328" s="669"/>
    </row>
    <row r="329" spans="1:8">
      <c r="A329" s="884"/>
      <c r="B329" s="1156" t="s">
        <v>1900</v>
      </c>
      <c r="C329" s="853"/>
      <c r="D329" s="905"/>
      <c r="E329" s="1184"/>
      <c r="F329" s="853"/>
      <c r="G329" s="1184">
        <f t="shared" ref="G329" si="62">SUM(G324:G328)</f>
        <v>14000</v>
      </c>
      <c r="H329" s="854"/>
    </row>
    <row r="330" spans="1:8" ht="36">
      <c r="A330" s="884" t="s">
        <v>1931</v>
      </c>
      <c r="B330" s="882" t="s">
        <v>2357</v>
      </c>
      <c r="C330" s="853"/>
      <c r="D330" s="905"/>
      <c r="E330" s="1184"/>
      <c r="F330" s="853"/>
      <c r="G330" s="1184"/>
      <c r="H330" s="854"/>
    </row>
    <row r="331" spans="1:8" ht="96">
      <c r="A331" s="879">
        <v>1</v>
      </c>
      <c r="B331" s="867" t="s">
        <v>2363</v>
      </c>
      <c r="C331" s="857" t="s">
        <v>1916</v>
      </c>
      <c r="D331" s="883" t="s">
        <v>1966</v>
      </c>
      <c r="E331" s="1183">
        <v>1600</v>
      </c>
      <c r="F331" s="857">
        <v>18</v>
      </c>
      <c r="G331" s="1183">
        <f t="shared" ref="G331:G337" si="63">E331*F331</f>
        <v>28800</v>
      </c>
      <c r="H331" s="871" t="s">
        <v>2364</v>
      </c>
    </row>
    <row r="332" spans="1:8" ht="96">
      <c r="A332" s="879">
        <v>2</v>
      </c>
      <c r="B332" s="867" t="s">
        <v>2365</v>
      </c>
      <c r="C332" s="857" t="s">
        <v>1908</v>
      </c>
      <c r="D332" s="863"/>
      <c r="E332" s="1183">
        <v>700</v>
      </c>
      <c r="F332" s="857">
        <v>17</v>
      </c>
      <c r="G332" s="1183">
        <f t="shared" si="63"/>
        <v>11900</v>
      </c>
      <c r="H332" s="871" t="s">
        <v>2364</v>
      </c>
    </row>
    <row r="333" spans="1:8" ht="49.5">
      <c r="A333" s="879">
        <v>4</v>
      </c>
      <c r="B333" s="867" t="s">
        <v>2366</v>
      </c>
      <c r="C333" s="857" t="s">
        <v>1916</v>
      </c>
      <c r="D333" s="863"/>
      <c r="E333" s="1183">
        <v>5000</v>
      </c>
      <c r="F333" s="857">
        <v>10</v>
      </c>
      <c r="G333" s="1183">
        <f t="shared" si="63"/>
        <v>50000</v>
      </c>
      <c r="H333" s="669" t="s">
        <v>3293</v>
      </c>
    </row>
    <row r="334" spans="1:8" ht="72">
      <c r="A334" s="879">
        <v>5</v>
      </c>
      <c r="B334" s="867" t="s">
        <v>2368</v>
      </c>
      <c r="C334" s="857" t="s">
        <v>1916</v>
      </c>
      <c r="D334" s="863" t="s">
        <v>1967</v>
      </c>
      <c r="E334" s="1183">
        <v>5000</v>
      </c>
      <c r="F334" s="857">
        <v>6</v>
      </c>
      <c r="G334" s="1183">
        <f t="shared" si="63"/>
        <v>30000</v>
      </c>
      <c r="H334" s="871" t="s">
        <v>2369</v>
      </c>
    </row>
    <row r="335" spans="1:8" ht="24.75">
      <c r="A335" s="879">
        <v>6</v>
      </c>
      <c r="B335" s="867" t="s">
        <v>2370</v>
      </c>
      <c r="C335" s="857" t="s">
        <v>1922</v>
      </c>
      <c r="D335" s="863" t="s">
        <v>2371</v>
      </c>
      <c r="E335" s="1183">
        <v>1200</v>
      </c>
      <c r="F335" s="857">
        <v>3</v>
      </c>
      <c r="G335" s="1183">
        <f t="shared" si="63"/>
        <v>3600</v>
      </c>
      <c r="H335" s="669" t="s">
        <v>2372</v>
      </c>
    </row>
    <row r="336" spans="1:8" ht="24">
      <c r="A336" s="879">
        <v>7</v>
      </c>
      <c r="B336" s="867" t="s">
        <v>2373</v>
      </c>
      <c r="C336" s="857" t="s">
        <v>1922</v>
      </c>
      <c r="D336" s="863" t="s">
        <v>2822</v>
      </c>
      <c r="E336" s="1183">
        <v>5000</v>
      </c>
      <c r="F336" s="857">
        <v>1</v>
      </c>
      <c r="G336" s="1183">
        <f t="shared" si="63"/>
        <v>5000</v>
      </c>
      <c r="H336" s="669"/>
    </row>
    <row r="337" spans="1:8" ht="36">
      <c r="A337" s="879">
        <v>9</v>
      </c>
      <c r="B337" s="867" t="s">
        <v>1968</v>
      </c>
      <c r="C337" s="857" t="s">
        <v>1922</v>
      </c>
      <c r="D337" s="1168" t="s">
        <v>2823</v>
      </c>
      <c r="E337" s="1183">
        <v>6000</v>
      </c>
      <c r="F337" s="857">
        <v>3</v>
      </c>
      <c r="G337" s="1183">
        <f t="shared" si="63"/>
        <v>18000</v>
      </c>
      <c r="H337" s="669" t="s">
        <v>3294</v>
      </c>
    </row>
    <row r="338" spans="1:8">
      <c r="A338" s="884"/>
      <c r="B338" s="1156" t="s">
        <v>1900</v>
      </c>
      <c r="C338" s="926"/>
      <c r="D338" s="1169"/>
      <c r="E338" s="1186"/>
      <c r="F338" s="926"/>
      <c r="G338" s="1186">
        <f>SUM(G331:G337)</f>
        <v>147300</v>
      </c>
      <c r="H338" s="919"/>
    </row>
    <row r="339" spans="1:8">
      <c r="A339" s="884" t="s">
        <v>1934</v>
      </c>
      <c r="B339" s="919" t="s">
        <v>2375</v>
      </c>
      <c r="C339" s="926"/>
      <c r="D339" s="1169"/>
      <c r="E339" s="1186"/>
      <c r="F339" s="926"/>
      <c r="G339" s="1186"/>
      <c r="H339" s="919"/>
    </row>
    <row r="340" spans="1:8" ht="24">
      <c r="A340" s="879">
        <v>1</v>
      </c>
      <c r="B340" s="1170" t="s">
        <v>2376</v>
      </c>
      <c r="C340" s="925" t="s">
        <v>1922</v>
      </c>
      <c r="D340" s="1168" t="s">
        <v>2377</v>
      </c>
      <c r="E340" s="1183">
        <v>5000</v>
      </c>
      <c r="F340" s="857">
        <v>1</v>
      </c>
      <c r="G340" s="1183">
        <f t="shared" ref="G340:G343" si="64">E340*F340</f>
        <v>5000</v>
      </c>
      <c r="H340" s="920"/>
    </row>
    <row r="341" spans="1:8" ht="24">
      <c r="A341" s="879">
        <v>2</v>
      </c>
      <c r="B341" s="1170" t="s">
        <v>1970</v>
      </c>
      <c r="C341" s="925" t="s">
        <v>1922</v>
      </c>
      <c r="D341" s="1168" t="s">
        <v>2377</v>
      </c>
      <c r="E341" s="1187">
        <v>1500</v>
      </c>
      <c r="F341" s="925">
        <v>1</v>
      </c>
      <c r="G341" s="1187">
        <f t="shared" si="64"/>
        <v>1500</v>
      </c>
      <c r="H341" s="920"/>
    </row>
    <row r="342" spans="1:8">
      <c r="A342" s="879">
        <v>3</v>
      </c>
      <c r="B342" s="871" t="s">
        <v>1971</v>
      </c>
      <c r="C342" s="925" t="s">
        <v>1922</v>
      </c>
      <c r="D342" s="1168" t="s">
        <v>2377</v>
      </c>
      <c r="E342" s="1187">
        <v>3000</v>
      </c>
      <c r="F342" s="925">
        <v>1</v>
      </c>
      <c r="G342" s="1187">
        <f t="shared" si="64"/>
        <v>3000</v>
      </c>
      <c r="H342" s="920"/>
    </row>
    <row r="343" spans="1:8">
      <c r="A343" s="879">
        <v>4</v>
      </c>
      <c r="B343" s="867" t="s">
        <v>2378</v>
      </c>
      <c r="C343" s="857" t="s">
        <v>1908</v>
      </c>
      <c r="D343" s="863"/>
      <c r="E343" s="1183">
        <v>2000</v>
      </c>
      <c r="F343" s="857">
        <v>1</v>
      </c>
      <c r="G343" s="1187">
        <f t="shared" si="64"/>
        <v>2000</v>
      </c>
      <c r="H343" s="920"/>
    </row>
    <row r="344" spans="1:8">
      <c r="A344" s="884"/>
      <c r="B344" s="1156" t="s">
        <v>1900</v>
      </c>
      <c r="C344" s="853"/>
      <c r="D344" s="1169"/>
      <c r="E344" s="1184"/>
      <c r="F344" s="926"/>
      <c r="G344" s="1186">
        <f>SUM(G340:G343)</f>
        <v>11500</v>
      </c>
      <c r="H344" s="919"/>
    </row>
    <row r="345" spans="1:8">
      <c r="A345" s="884" t="s">
        <v>1937</v>
      </c>
      <c r="B345" s="865" t="s">
        <v>2379</v>
      </c>
      <c r="C345" s="853"/>
      <c r="D345" s="1169"/>
      <c r="E345" s="1184"/>
      <c r="F345" s="926"/>
      <c r="G345" s="1186"/>
      <c r="H345" s="919"/>
    </row>
    <row r="346" spans="1:8">
      <c r="A346" s="879">
        <v>1</v>
      </c>
      <c r="B346" s="867" t="s">
        <v>1972</v>
      </c>
      <c r="C346" s="857" t="s">
        <v>1908</v>
      </c>
      <c r="D346" s="1168"/>
      <c r="E346" s="1183">
        <v>700</v>
      </c>
      <c r="F346" s="925">
        <v>3</v>
      </c>
      <c r="G346" s="1183">
        <f>E346*F346</f>
        <v>2100</v>
      </c>
      <c r="H346" s="920"/>
    </row>
    <row r="347" spans="1:8">
      <c r="A347" s="879">
        <v>2</v>
      </c>
      <c r="B347" s="867" t="s">
        <v>1973</v>
      </c>
      <c r="C347" s="857" t="s">
        <v>1908</v>
      </c>
      <c r="D347" s="863"/>
      <c r="E347" s="1183">
        <v>700</v>
      </c>
      <c r="F347" s="857">
        <v>4</v>
      </c>
      <c r="G347" s="1183">
        <f>E347*F347</f>
        <v>2800</v>
      </c>
      <c r="H347" s="920"/>
    </row>
    <row r="348" spans="1:8">
      <c r="A348" s="879">
        <v>3</v>
      </c>
      <c r="B348" s="867" t="s">
        <v>2380</v>
      </c>
      <c r="C348" s="857" t="s">
        <v>1922</v>
      </c>
      <c r="D348" s="863"/>
      <c r="E348" s="1183">
        <v>2000</v>
      </c>
      <c r="F348" s="857">
        <v>1</v>
      </c>
      <c r="G348" s="1183">
        <f>E348*F348</f>
        <v>2000</v>
      </c>
      <c r="H348" s="920"/>
    </row>
    <row r="349" spans="1:8">
      <c r="A349" s="879">
        <v>4</v>
      </c>
      <c r="B349" s="867" t="s">
        <v>2381</v>
      </c>
      <c r="C349" s="857" t="s">
        <v>1922</v>
      </c>
      <c r="D349" s="863"/>
      <c r="E349" s="1183">
        <v>1000</v>
      </c>
      <c r="F349" s="857">
        <v>1</v>
      </c>
      <c r="G349" s="1183">
        <f>E349*F349</f>
        <v>1000</v>
      </c>
      <c r="H349" s="920"/>
    </row>
    <row r="350" spans="1:8" ht="24">
      <c r="A350" s="879">
        <v>5</v>
      </c>
      <c r="B350" s="867" t="s">
        <v>2382</v>
      </c>
      <c r="C350" s="857" t="s">
        <v>1916</v>
      </c>
      <c r="D350" s="1168" t="s">
        <v>2383</v>
      </c>
      <c r="E350" s="1183">
        <v>1000</v>
      </c>
      <c r="F350" s="857">
        <v>1</v>
      </c>
      <c r="G350" s="1183">
        <f>E350*F350</f>
        <v>1000</v>
      </c>
      <c r="H350" s="920"/>
    </row>
    <row r="351" spans="1:8">
      <c r="A351" s="884"/>
      <c r="B351" s="1156" t="s">
        <v>1900</v>
      </c>
      <c r="C351" s="853"/>
      <c r="D351" s="866"/>
      <c r="E351" s="1184"/>
      <c r="F351" s="853"/>
      <c r="G351" s="1184">
        <f t="shared" ref="G351" si="65">SUM(G346:G350)</f>
        <v>8900</v>
      </c>
      <c r="H351" s="919"/>
    </row>
    <row r="352" spans="1:8" ht="48">
      <c r="A352" s="884" t="s">
        <v>1939</v>
      </c>
      <c r="B352" s="865" t="s">
        <v>2384</v>
      </c>
      <c r="C352" s="853"/>
      <c r="D352" s="866"/>
      <c r="E352" s="1184"/>
      <c r="F352" s="853"/>
      <c r="G352" s="1184"/>
      <c r="H352" s="919"/>
    </row>
    <row r="353" spans="1:8" ht="24">
      <c r="A353" s="879">
        <v>1</v>
      </c>
      <c r="B353" s="867" t="s">
        <v>2362</v>
      </c>
      <c r="C353" s="857" t="s">
        <v>1922</v>
      </c>
      <c r="D353" s="863"/>
      <c r="E353" s="1183">
        <v>3000</v>
      </c>
      <c r="F353" s="857">
        <v>1</v>
      </c>
      <c r="G353" s="1183">
        <f>E353*F353</f>
        <v>3000</v>
      </c>
      <c r="H353" s="669"/>
    </row>
    <row r="354" spans="1:8">
      <c r="A354" s="879">
        <v>2</v>
      </c>
      <c r="B354" s="867" t="s">
        <v>2385</v>
      </c>
      <c r="C354" s="857" t="s">
        <v>1922</v>
      </c>
      <c r="D354" s="863"/>
      <c r="E354" s="1183">
        <v>15000</v>
      </c>
      <c r="F354" s="857">
        <v>1</v>
      </c>
      <c r="G354" s="1183">
        <f>E354*F354</f>
        <v>15000</v>
      </c>
      <c r="H354" s="669"/>
    </row>
    <row r="355" spans="1:8" ht="24">
      <c r="A355" s="879">
        <v>3</v>
      </c>
      <c r="B355" s="867" t="s">
        <v>2386</v>
      </c>
      <c r="C355" s="857" t="s">
        <v>1922</v>
      </c>
      <c r="D355" s="863"/>
      <c r="E355" s="1188">
        <v>25000</v>
      </c>
      <c r="F355" s="857">
        <v>1</v>
      </c>
      <c r="G355" s="1183">
        <f>E355*F355</f>
        <v>25000</v>
      </c>
      <c r="H355" s="669"/>
    </row>
    <row r="356" spans="1:8" ht="24">
      <c r="A356" s="879">
        <v>4</v>
      </c>
      <c r="B356" s="871" t="s">
        <v>1974</v>
      </c>
      <c r="C356" s="857" t="s">
        <v>1922</v>
      </c>
      <c r="D356" s="863" t="s">
        <v>1975</v>
      </c>
      <c r="E356" s="1183">
        <v>20000</v>
      </c>
      <c r="F356" s="857">
        <v>1</v>
      </c>
      <c r="G356" s="1183">
        <f>E356*F356</f>
        <v>20000</v>
      </c>
      <c r="H356" s="669"/>
    </row>
    <row r="357" spans="1:8" ht="24">
      <c r="A357" s="879">
        <v>5</v>
      </c>
      <c r="B357" s="871" t="s">
        <v>2387</v>
      </c>
      <c r="C357" s="857" t="s">
        <v>1922</v>
      </c>
      <c r="D357" s="928"/>
      <c r="E357" s="1183">
        <v>25000</v>
      </c>
      <c r="F357" s="857">
        <v>1</v>
      </c>
      <c r="G357" s="1183">
        <f>E357*F357</f>
        <v>25000</v>
      </c>
      <c r="H357" s="669"/>
    </row>
    <row r="358" spans="1:8">
      <c r="A358" s="884"/>
      <c r="B358" s="1156" t="s">
        <v>1900</v>
      </c>
      <c r="C358" s="853"/>
      <c r="D358" s="866"/>
      <c r="E358" s="1184"/>
      <c r="F358" s="853"/>
      <c r="G358" s="1184">
        <f>SUM(G353:G357)</f>
        <v>88000</v>
      </c>
      <c r="H358" s="851"/>
    </row>
    <row r="359" spans="1:8" ht="24">
      <c r="A359" s="884" t="s">
        <v>1948</v>
      </c>
      <c r="B359" s="865" t="s">
        <v>2388</v>
      </c>
      <c r="C359" s="853"/>
      <c r="D359" s="866"/>
      <c r="E359" s="1184"/>
      <c r="F359" s="853"/>
      <c r="G359" s="1184"/>
      <c r="H359" s="851"/>
    </row>
    <row r="360" spans="1:8">
      <c r="A360" s="879">
        <v>1</v>
      </c>
      <c r="B360" s="867" t="s">
        <v>1976</v>
      </c>
      <c r="C360" s="857" t="s">
        <v>1908</v>
      </c>
      <c r="D360" s="863"/>
      <c r="E360" s="1183">
        <v>6000</v>
      </c>
      <c r="F360" s="857">
        <v>1</v>
      </c>
      <c r="G360" s="1183">
        <f>E360*F360</f>
        <v>6000</v>
      </c>
      <c r="H360" s="861"/>
    </row>
    <row r="361" spans="1:8">
      <c r="A361" s="879">
        <v>2</v>
      </c>
      <c r="B361" s="867" t="s">
        <v>1977</v>
      </c>
      <c r="C361" s="857" t="s">
        <v>1908</v>
      </c>
      <c r="D361" s="863"/>
      <c r="E361" s="1183">
        <v>380</v>
      </c>
      <c r="F361" s="857">
        <v>25</v>
      </c>
      <c r="G361" s="1183">
        <f>E361*F361</f>
        <v>9500</v>
      </c>
      <c r="H361" s="861"/>
    </row>
    <row r="362" spans="1:8">
      <c r="A362" s="879">
        <v>3</v>
      </c>
      <c r="B362" s="1165" t="s">
        <v>1978</v>
      </c>
      <c r="C362" s="870" t="s">
        <v>1922</v>
      </c>
      <c r="D362" s="669" t="s">
        <v>2389</v>
      </c>
      <c r="E362" s="1183">
        <v>22000</v>
      </c>
      <c r="F362" s="857">
        <v>1</v>
      </c>
      <c r="G362" s="1183">
        <f>E362*F362</f>
        <v>22000</v>
      </c>
      <c r="H362" s="861"/>
    </row>
    <row r="363" spans="1:8">
      <c r="A363" s="1172"/>
      <c r="B363" s="1156" t="s">
        <v>1900</v>
      </c>
      <c r="C363" s="926"/>
      <c r="D363" s="1169"/>
      <c r="E363" s="1184"/>
      <c r="F363" s="853"/>
      <c r="G363" s="1184">
        <f>SUM(G360:G362)</f>
        <v>37500</v>
      </c>
      <c r="H363" s="1156"/>
    </row>
    <row r="364" spans="1:8" ht="36">
      <c r="A364" s="1172" t="s">
        <v>1954</v>
      </c>
      <c r="B364" s="919" t="s">
        <v>2390</v>
      </c>
      <c r="C364" s="1173"/>
      <c r="D364" s="1169"/>
      <c r="E364" s="1184"/>
      <c r="F364" s="853"/>
      <c r="G364" s="1184"/>
      <c r="H364" s="1156"/>
    </row>
    <row r="365" spans="1:8">
      <c r="A365" s="857">
        <v>1</v>
      </c>
      <c r="B365" s="867" t="s">
        <v>2391</v>
      </c>
      <c r="C365" s="1174" t="s">
        <v>1916</v>
      </c>
      <c r="D365" s="1168" t="s">
        <v>2392</v>
      </c>
      <c r="E365" s="1183">
        <v>1800</v>
      </c>
      <c r="F365" s="857">
        <v>2</v>
      </c>
      <c r="G365" s="1183">
        <f>E365*F365</f>
        <v>3600</v>
      </c>
      <c r="H365" s="929"/>
    </row>
    <row r="366" spans="1:8">
      <c r="A366" s="857">
        <v>3</v>
      </c>
      <c r="B366" s="867" t="s">
        <v>1980</v>
      </c>
      <c r="C366" s="1174" t="s">
        <v>2393</v>
      </c>
      <c r="D366" s="1168"/>
      <c r="E366" s="1183">
        <v>1000</v>
      </c>
      <c r="F366" s="857">
        <v>3</v>
      </c>
      <c r="G366" s="1183">
        <f>E366*F366</f>
        <v>3000</v>
      </c>
      <c r="H366" s="929"/>
    </row>
    <row r="367" spans="1:8" ht="24">
      <c r="A367" s="857">
        <v>4</v>
      </c>
      <c r="B367" s="867" t="s">
        <v>2394</v>
      </c>
      <c r="C367" s="857" t="s">
        <v>1893</v>
      </c>
      <c r="D367" s="669"/>
      <c r="E367" s="1183">
        <v>10000</v>
      </c>
      <c r="F367" s="857">
        <v>1</v>
      </c>
      <c r="G367" s="1183">
        <f>E367*F367</f>
        <v>10000</v>
      </c>
      <c r="H367" s="669"/>
    </row>
    <row r="368" spans="1:8">
      <c r="A368" s="1172"/>
      <c r="B368" s="1156" t="s">
        <v>1900</v>
      </c>
      <c r="C368" s="1173"/>
      <c r="D368" s="1169"/>
      <c r="E368" s="1184"/>
      <c r="F368" s="853"/>
      <c r="G368" s="1184">
        <f>SUM(G365:G367)</f>
        <v>16600</v>
      </c>
      <c r="H368" s="1156"/>
    </row>
    <row r="369" spans="1:8" ht="36">
      <c r="A369" s="1172" t="s">
        <v>1981</v>
      </c>
      <c r="B369" s="895" t="s">
        <v>2395</v>
      </c>
      <c r="C369" s="1173"/>
      <c r="D369" s="1169"/>
      <c r="E369" s="1184"/>
      <c r="F369" s="853"/>
      <c r="G369" s="1184"/>
      <c r="H369" s="1156"/>
    </row>
    <row r="370" spans="1:8" ht="36">
      <c r="A370" s="1175">
        <v>1</v>
      </c>
      <c r="B370" s="880" t="s">
        <v>2396</v>
      </c>
      <c r="C370" s="1174" t="s">
        <v>1919</v>
      </c>
      <c r="D370" s="1168" t="s">
        <v>1984</v>
      </c>
      <c r="E370" s="1183">
        <v>7500</v>
      </c>
      <c r="F370" s="857">
        <v>1</v>
      </c>
      <c r="G370" s="1183">
        <f>E370*F370</f>
        <v>7500</v>
      </c>
      <c r="H370" s="897" t="s">
        <v>1985</v>
      </c>
    </row>
    <row r="371" spans="1:8">
      <c r="A371" s="1172"/>
      <c r="B371" s="1156" t="s">
        <v>1900</v>
      </c>
      <c r="C371" s="1173"/>
      <c r="D371" s="1169"/>
      <c r="E371" s="1184"/>
      <c r="F371" s="853"/>
      <c r="G371" s="1184">
        <f t="shared" ref="G371" si="66">SUM(G370:G370)</f>
        <v>7500</v>
      </c>
      <c r="H371" s="1156"/>
    </row>
    <row r="372" spans="1:8" ht="24">
      <c r="A372" s="853" t="s">
        <v>1986</v>
      </c>
      <c r="B372" s="895" t="s">
        <v>2397</v>
      </c>
      <c r="C372" s="1173"/>
      <c r="D372" s="1169"/>
      <c r="E372" s="1184"/>
      <c r="F372" s="853"/>
      <c r="G372" s="1184"/>
      <c r="H372" s="1156"/>
    </row>
    <row r="373" spans="1:8">
      <c r="A373" s="857">
        <v>1</v>
      </c>
      <c r="B373" s="867" t="s">
        <v>2398</v>
      </c>
      <c r="C373" s="857" t="s">
        <v>2393</v>
      </c>
      <c r="D373" s="863" t="s">
        <v>2399</v>
      </c>
      <c r="E373" s="1183">
        <v>1500</v>
      </c>
      <c r="F373" s="857">
        <v>3</v>
      </c>
      <c r="G373" s="1183">
        <f>E373*F373</f>
        <v>4500</v>
      </c>
      <c r="H373" s="669" t="s">
        <v>2400</v>
      </c>
    </row>
    <row r="374" spans="1:8">
      <c r="A374" s="857">
        <v>2</v>
      </c>
      <c r="B374" s="867" t="s">
        <v>2401</v>
      </c>
      <c r="C374" s="857" t="s">
        <v>2393</v>
      </c>
      <c r="D374" s="863" t="s">
        <v>2399</v>
      </c>
      <c r="E374" s="1183">
        <v>1000</v>
      </c>
      <c r="F374" s="857">
        <v>3</v>
      </c>
      <c r="G374" s="1183">
        <f>E374*F374</f>
        <v>3000</v>
      </c>
      <c r="H374" s="669" t="s">
        <v>2400</v>
      </c>
    </row>
    <row r="375" spans="1:8">
      <c r="A375" s="1172"/>
      <c r="B375" s="1156" t="s">
        <v>1900</v>
      </c>
      <c r="C375" s="1173"/>
      <c r="D375" s="1169"/>
      <c r="E375" s="1184"/>
      <c r="F375" s="853"/>
      <c r="G375" s="1184">
        <f t="shared" ref="G375" si="67">SUM(G373:G374)</f>
        <v>7500</v>
      </c>
      <c r="H375" s="1156"/>
    </row>
    <row r="376" spans="1:8" ht="24">
      <c r="A376" s="1172" t="s">
        <v>1988</v>
      </c>
      <c r="B376" s="895" t="s">
        <v>2402</v>
      </c>
      <c r="C376" s="1173"/>
      <c r="D376" s="1169"/>
      <c r="E376" s="1184"/>
      <c r="F376" s="853"/>
      <c r="G376" s="1184"/>
      <c r="H376" s="1156"/>
    </row>
    <row r="377" spans="1:8">
      <c r="A377" s="1175">
        <v>1</v>
      </c>
      <c r="B377" s="867" t="s">
        <v>2307</v>
      </c>
      <c r="C377" s="870" t="s">
        <v>1916</v>
      </c>
      <c r="D377" s="669" t="s">
        <v>1917</v>
      </c>
      <c r="E377" s="1183">
        <v>650</v>
      </c>
      <c r="F377" s="857">
        <v>1</v>
      </c>
      <c r="G377" s="1183">
        <f>E377*F377</f>
        <v>650</v>
      </c>
      <c r="H377" s="920" t="s">
        <v>2403</v>
      </c>
    </row>
    <row r="378" spans="1:8" ht="24">
      <c r="A378" s="1175">
        <v>2</v>
      </c>
      <c r="B378" s="871" t="s">
        <v>2404</v>
      </c>
      <c r="C378" s="857" t="s">
        <v>1916</v>
      </c>
      <c r="D378" s="1170" t="s">
        <v>2010</v>
      </c>
      <c r="E378" s="1183">
        <v>20000</v>
      </c>
      <c r="F378" s="857">
        <v>1</v>
      </c>
      <c r="G378" s="1183">
        <f>E378*F378</f>
        <v>20000</v>
      </c>
      <c r="H378" s="920"/>
    </row>
    <row r="379" spans="1:8" ht="24">
      <c r="A379" s="1163">
        <v>3</v>
      </c>
      <c r="B379" s="871" t="s">
        <v>2405</v>
      </c>
      <c r="C379" s="857" t="s">
        <v>1916</v>
      </c>
      <c r="D379" s="1176"/>
      <c r="E379" s="1183">
        <v>18000</v>
      </c>
      <c r="F379" s="857">
        <v>1</v>
      </c>
      <c r="G379" s="1183">
        <f>E379*F379</f>
        <v>18000</v>
      </c>
      <c r="H379" s="861"/>
    </row>
    <row r="380" spans="1:8">
      <c r="A380" s="1172"/>
      <c r="B380" s="1156" t="s">
        <v>1900</v>
      </c>
      <c r="C380" s="1173"/>
      <c r="D380" s="1169"/>
      <c r="E380" s="1184"/>
      <c r="F380" s="853"/>
      <c r="G380" s="1184">
        <f t="shared" ref="G380" si="68">SUM(G377:G379)</f>
        <v>38650</v>
      </c>
      <c r="H380" s="1156"/>
    </row>
    <row r="381" spans="1:8" ht="36">
      <c r="A381" s="853" t="s">
        <v>1990</v>
      </c>
      <c r="B381" s="865" t="s">
        <v>2406</v>
      </c>
      <c r="C381" s="873"/>
      <c r="D381" s="854"/>
      <c r="E381" s="1184"/>
      <c r="F381" s="853"/>
      <c r="G381" s="1184"/>
      <c r="H381" s="851"/>
    </row>
    <row r="382" spans="1:8" ht="24">
      <c r="A382" s="857">
        <v>2</v>
      </c>
      <c r="B382" s="867" t="s">
        <v>1991</v>
      </c>
      <c r="C382" s="870" t="s">
        <v>1908</v>
      </c>
      <c r="D382" s="863"/>
      <c r="E382" s="1183">
        <v>700</v>
      </c>
      <c r="F382" s="857">
        <v>1</v>
      </c>
      <c r="G382" s="1183">
        <f t="shared" ref="G382:G387" si="69">E382*F382</f>
        <v>700</v>
      </c>
      <c r="H382" s="861"/>
    </row>
    <row r="383" spans="1:8">
      <c r="A383" s="857">
        <v>3</v>
      </c>
      <c r="B383" s="867" t="s">
        <v>2401</v>
      </c>
      <c r="C383" s="857" t="s">
        <v>1908</v>
      </c>
      <c r="D383" s="669"/>
      <c r="E383" s="1183">
        <v>1200</v>
      </c>
      <c r="F383" s="857">
        <v>1</v>
      </c>
      <c r="G383" s="1183">
        <f t="shared" si="69"/>
        <v>1200</v>
      </c>
      <c r="H383" s="861"/>
    </row>
    <row r="384" spans="1:8">
      <c r="A384" s="857">
        <v>4</v>
      </c>
      <c r="B384" s="867" t="s">
        <v>2407</v>
      </c>
      <c r="C384" s="870" t="s">
        <v>2393</v>
      </c>
      <c r="D384" s="669"/>
      <c r="E384" s="1183">
        <v>900</v>
      </c>
      <c r="F384" s="857">
        <v>1</v>
      </c>
      <c r="G384" s="1183">
        <f t="shared" si="69"/>
        <v>900</v>
      </c>
      <c r="H384" s="861"/>
    </row>
    <row r="385" spans="1:8">
      <c r="A385" s="857">
        <v>5</v>
      </c>
      <c r="B385" s="867" t="s">
        <v>2307</v>
      </c>
      <c r="C385" s="870" t="s">
        <v>1916</v>
      </c>
      <c r="D385" s="669" t="s">
        <v>1917</v>
      </c>
      <c r="E385" s="1183">
        <v>650</v>
      </c>
      <c r="F385" s="857">
        <v>1</v>
      </c>
      <c r="G385" s="1183">
        <f t="shared" si="69"/>
        <v>650</v>
      </c>
      <c r="H385" s="861"/>
    </row>
    <row r="386" spans="1:8">
      <c r="A386" s="857">
        <v>6</v>
      </c>
      <c r="B386" s="867" t="s">
        <v>2320</v>
      </c>
      <c r="C386" s="857" t="s">
        <v>1992</v>
      </c>
      <c r="D386" s="669" t="s">
        <v>1993</v>
      </c>
      <c r="E386" s="1183">
        <v>380</v>
      </c>
      <c r="F386" s="857">
        <v>1</v>
      </c>
      <c r="G386" s="1183">
        <f t="shared" si="69"/>
        <v>380</v>
      </c>
      <c r="H386" s="861"/>
    </row>
    <row r="387" spans="1:8" ht="24">
      <c r="A387" s="857">
        <v>8</v>
      </c>
      <c r="B387" s="867" t="s">
        <v>1994</v>
      </c>
      <c r="C387" s="857" t="s">
        <v>1916</v>
      </c>
      <c r="D387" s="669" t="s">
        <v>1995</v>
      </c>
      <c r="E387" s="1161">
        <v>20000</v>
      </c>
      <c r="F387" s="857">
        <v>1</v>
      </c>
      <c r="G387" s="1183">
        <f t="shared" si="69"/>
        <v>20000</v>
      </c>
      <c r="H387" s="861"/>
    </row>
    <row r="388" spans="1:8">
      <c r="A388" s="853"/>
      <c r="B388" s="1156" t="s">
        <v>1900</v>
      </c>
      <c r="C388" s="853"/>
      <c r="D388" s="854"/>
      <c r="E388" s="1184"/>
      <c r="F388" s="853"/>
      <c r="G388" s="1184">
        <f>SUM(G382:G387)</f>
        <v>23830</v>
      </c>
      <c r="H388" s="851"/>
    </row>
    <row r="389" spans="1:8" ht="24">
      <c r="A389" s="1172" t="s">
        <v>1996</v>
      </c>
      <c r="B389" s="895" t="s">
        <v>2408</v>
      </c>
      <c r="C389" s="1173"/>
      <c r="D389" s="1169"/>
      <c r="E389" s="1184"/>
      <c r="F389" s="853"/>
      <c r="G389" s="1184"/>
      <c r="H389" s="1156"/>
    </row>
    <row r="390" spans="1:8" ht="48.75">
      <c r="A390" s="1163">
        <v>1</v>
      </c>
      <c r="B390" s="899" t="s">
        <v>1998</v>
      </c>
      <c r="C390" s="900" t="s">
        <v>1922</v>
      </c>
      <c r="D390" s="998" t="s">
        <v>2409</v>
      </c>
      <c r="E390" s="1183">
        <v>300000</v>
      </c>
      <c r="F390" s="900">
        <v>1</v>
      </c>
      <c r="G390" s="1183">
        <f>E390*F390</f>
        <v>300000</v>
      </c>
      <c r="H390" s="861" t="s">
        <v>2410</v>
      </c>
    </row>
    <row r="391" spans="1:8">
      <c r="A391" s="1172"/>
      <c r="B391" s="1156" t="s">
        <v>1900</v>
      </c>
      <c r="C391" s="1173"/>
      <c r="D391" s="1169"/>
      <c r="E391" s="1184"/>
      <c r="F391" s="853"/>
      <c r="G391" s="1184">
        <f t="shared" ref="G391" si="70">SUM(G390:G390)</f>
        <v>300000</v>
      </c>
      <c r="H391" s="1156"/>
    </row>
    <row r="392" spans="1:8" ht="24">
      <c r="A392" s="1172" t="s">
        <v>1999</v>
      </c>
      <c r="B392" s="902" t="s">
        <v>2411</v>
      </c>
      <c r="C392" s="1173"/>
      <c r="D392" s="1169"/>
      <c r="E392" s="1184"/>
      <c r="F392" s="853"/>
      <c r="G392" s="1184"/>
      <c r="H392" s="1156"/>
    </row>
    <row r="393" spans="1:8" ht="24">
      <c r="A393" s="1163">
        <v>1</v>
      </c>
      <c r="B393" s="867" t="s">
        <v>2412</v>
      </c>
      <c r="C393" s="857" t="s">
        <v>1916</v>
      </c>
      <c r="D393" s="863"/>
      <c r="E393" s="1183">
        <v>0</v>
      </c>
      <c r="F393" s="857">
        <v>0</v>
      </c>
      <c r="G393" s="1183">
        <f>E393*F393</f>
        <v>0</v>
      </c>
      <c r="H393" s="669" t="s">
        <v>2824</v>
      </c>
    </row>
    <row r="394" spans="1:8">
      <c r="A394" s="1172"/>
      <c r="B394" s="1156" t="s">
        <v>1900</v>
      </c>
      <c r="C394" s="1173"/>
      <c r="D394" s="1169"/>
      <c r="E394" s="1184"/>
      <c r="F394" s="853"/>
      <c r="G394" s="1184">
        <f t="shared" ref="G394" si="71">SUM(G393:G393)</f>
        <v>0</v>
      </c>
      <c r="H394" s="1156"/>
    </row>
    <row r="395" spans="1:8" ht="36">
      <c r="A395" s="1172" t="s">
        <v>2000</v>
      </c>
      <c r="B395" s="895" t="s">
        <v>2414</v>
      </c>
      <c r="C395" s="1173"/>
      <c r="D395" s="1169"/>
      <c r="E395" s="1184"/>
      <c r="F395" s="853"/>
      <c r="G395" s="1184"/>
      <c r="H395" s="1156"/>
    </row>
    <row r="396" spans="1:8">
      <c r="A396" s="1175">
        <v>1</v>
      </c>
      <c r="B396" s="880" t="s">
        <v>2415</v>
      </c>
      <c r="C396" s="1174" t="s">
        <v>2393</v>
      </c>
      <c r="D396" s="863" t="s">
        <v>2399</v>
      </c>
      <c r="E396" s="1183">
        <v>1500</v>
      </c>
      <c r="F396" s="857">
        <v>6</v>
      </c>
      <c r="G396" s="1183">
        <f>E396*F396</f>
        <v>9000</v>
      </c>
      <c r="H396" s="929"/>
    </row>
    <row r="397" spans="1:8">
      <c r="A397" s="1172"/>
      <c r="B397" s="1156" t="s">
        <v>1900</v>
      </c>
      <c r="C397" s="1173"/>
      <c r="D397" s="1169"/>
      <c r="E397" s="1184"/>
      <c r="F397" s="853"/>
      <c r="G397" s="1184">
        <f t="shared" ref="G397" si="72">SUM(G396:G396)</f>
        <v>9000</v>
      </c>
      <c r="H397" s="1156"/>
    </row>
    <row r="398" spans="1:8" ht="24">
      <c r="A398" s="1172" t="s">
        <v>2003</v>
      </c>
      <c r="B398" s="895" t="s">
        <v>2416</v>
      </c>
      <c r="C398" s="1173"/>
      <c r="D398" s="1169"/>
      <c r="E398" s="1184"/>
      <c r="F398" s="853"/>
      <c r="G398" s="1184"/>
      <c r="H398" s="1156"/>
    </row>
    <row r="399" spans="1:8">
      <c r="A399" s="1175">
        <v>1</v>
      </c>
      <c r="B399" s="880" t="s">
        <v>2417</v>
      </c>
      <c r="C399" s="870" t="s">
        <v>2393</v>
      </c>
      <c r="D399" s="1168"/>
      <c r="E399" s="1183">
        <v>900</v>
      </c>
      <c r="F399" s="857">
        <v>3</v>
      </c>
      <c r="G399" s="1183">
        <f>E399*F399</f>
        <v>2700</v>
      </c>
      <c r="H399" s="929"/>
    </row>
    <row r="400" spans="1:8">
      <c r="A400" s="1172"/>
      <c r="B400" s="1156" t="s">
        <v>1900</v>
      </c>
      <c r="C400" s="1173"/>
      <c r="D400" s="1169"/>
      <c r="E400" s="1184"/>
      <c r="F400" s="853"/>
      <c r="G400" s="1184">
        <f t="shared" ref="G400" si="73">SUM(G399:G399)</f>
        <v>2700</v>
      </c>
      <c r="H400" s="1156"/>
    </row>
    <row r="401" spans="1:8" ht="24">
      <c r="A401" s="1172" t="s">
        <v>2006</v>
      </c>
      <c r="B401" s="895" t="s">
        <v>2418</v>
      </c>
      <c r="C401" s="1173"/>
      <c r="D401" s="1169"/>
      <c r="E401" s="1184"/>
      <c r="F401" s="853"/>
      <c r="G401" s="1184"/>
      <c r="H401" s="1156"/>
    </row>
    <row r="402" spans="1:8">
      <c r="A402" s="1175">
        <v>1</v>
      </c>
      <c r="B402" s="880" t="s">
        <v>2417</v>
      </c>
      <c r="C402" s="870" t="s">
        <v>2393</v>
      </c>
      <c r="D402" s="1168"/>
      <c r="E402" s="1183">
        <v>900</v>
      </c>
      <c r="F402" s="857">
        <v>1</v>
      </c>
      <c r="G402" s="1183">
        <f>E402*F402</f>
        <v>900</v>
      </c>
      <c r="H402" s="929"/>
    </row>
    <row r="403" spans="1:8" ht="24">
      <c r="A403" s="1163">
        <v>3</v>
      </c>
      <c r="B403" s="867" t="s">
        <v>2007</v>
      </c>
      <c r="C403" s="857" t="s">
        <v>1916</v>
      </c>
      <c r="D403" s="863" t="s">
        <v>2419</v>
      </c>
      <c r="E403" s="1183">
        <v>5000</v>
      </c>
      <c r="F403" s="857">
        <v>1</v>
      </c>
      <c r="G403" s="1183">
        <f>E403*F403</f>
        <v>5000</v>
      </c>
      <c r="H403" s="861"/>
    </row>
    <row r="404" spans="1:8">
      <c r="A404" s="1163">
        <v>4</v>
      </c>
      <c r="B404" s="903" t="s">
        <v>2009</v>
      </c>
      <c r="C404" s="904" t="s">
        <v>1916</v>
      </c>
      <c r="D404" s="1176" t="s">
        <v>2010</v>
      </c>
      <c r="E404" s="1183">
        <v>14000</v>
      </c>
      <c r="F404" s="857">
        <v>1</v>
      </c>
      <c r="G404" s="1183">
        <f>E404*F404</f>
        <v>14000</v>
      </c>
      <c r="H404" s="861"/>
    </row>
    <row r="405" spans="1:8">
      <c r="A405" s="1172"/>
      <c r="B405" s="1156" t="s">
        <v>1900</v>
      </c>
      <c r="C405" s="1173"/>
      <c r="D405" s="1169"/>
      <c r="E405" s="1184"/>
      <c r="F405" s="853"/>
      <c r="G405" s="1184">
        <f t="shared" ref="G405" si="74">SUM(G402:G404)</f>
        <v>19900</v>
      </c>
      <c r="H405" s="1156"/>
    </row>
    <row r="406" spans="1:8" ht="24">
      <c r="A406" s="1172" t="s">
        <v>2420</v>
      </c>
      <c r="B406" s="895" t="s">
        <v>2421</v>
      </c>
      <c r="C406" s="1173"/>
      <c r="D406" s="1169"/>
      <c r="E406" s="1184"/>
      <c r="F406" s="853"/>
      <c r="G406" s="1184"/>
      <c r="H406" s="1156"/>
    </row>
    <row r="407" spans="1:8" ht="24">
      <c r="A407" s="1163">
        <v>1</v>
      </c>
      <c r="B407" s="867" t="s">
        <v>2011</v>
      </c>
      <c r="C407" s="857" t="s">
        <v>1916</v>
      </c>
      <c r="D407" s="863" t="s">
        <v>2422</v>
      </c>
      <c r="E407" s="1183">
        <v>300000</v>
      </c>
      <c r="F407" s="857">
        <v>1</v>
      </c>
      <c r="G407" s="1183">
        <f t="shared" ref="G407:G412" si="75">E407*F407</f>
        <v>300000</v>
      </c>
      <c r="H407" s="861"/>
    </row>
    <row r="408" spans="1:8" ht="24">
      <c r="A408" s="1163">
        <v>2</v>
      </c>
      <c r="B408" s="867" t="s">
        <v>2423</v>
      </c>
      <c r="C408" s="870" t="s">
        <v>1893</v>
      </c>
      <c r="D408" s="863"/>
      <c r="E408" s="1183">
        <v>5000</v>
      </c>
      <c r="F408" s="857">
        <v>1</v>
      </c>
      <c r="G408" s="1183">
        <f t="shared" si="75"/>
        <v>5000</v>
      </c>
      <c r="H408" s="861"/>
    </row>
    <row r="409" spans="1:8" ht="24">
      <c r="A409" s="1163">
        <v>4</v>
      </c>
      <c r="B409" s="899" t="s">
        <v>2820</v>
      </c>
      <c r="C409" s="857" t="s">
        <v>1916</v>
      </c>
      <c r="D409" s="863"/>
      <c r="E409" s="1183">
        <v>20000</v>
      </c>
      <c r="F409" s="857">
        <v>1</v>
      </c>
      <c r="G409" s="1183">
        <f t="shared" si="75"/>
        <v>20000</v>
      </c>
      <c r="H409" s="861"/>
    </row>
    <row r="410" spans="1:8" ht="24">
      <c r="A410" s="1163">
        <v>5</v>
      </c>
      <c r="B410" s="924" t="s">
        <v>2825</v>
      </c>
      <c r="C410" s="870" t="s">
        <v>1916</v>
      </c>
      <c r="D410" s="883"/>
      <c r="E410" s="1183">
        <v>30000</v>
      </c>
      <c r="F410" s="857">
        <v>1</v>
      </c>
      <c r="G410" s="1183">
        <f t="shared" si="75"/>
        <v>30000</v>
      </c>
      <c r="H410" s="861"/>
    </row>
    <row r="411" spans="1:8">
      <c r="A411" s="1163">
        <v>6</v>
      </c>
      <c r="B411" s="924" t="s">
        <v>2012</v>
      </c>
      <c r="C411" s="870"/>
      <c r="D411" s="883"/>
      <c r="E411" s="1183">
        <v>16000</v>
      </c>
      <c r="F411" s="857">
        <v>1</v>
      </c>
      <c r="G411" s="1183">
        <f t="shared" si="75"/>
        <v>16000</v>
      </c>
      <c r="H411" s="897"/>
    </row>
    <row r="412" spans="1:8" ht="24">
      <c r="A412" s="1163">
        <v>7</v>
      </c>
      <c r="B412" s="924" t="s">
        <v>2013</v>
      </c>
      <c r="C412" s="870"/>
      <c r="D412" s="883"/>
      <c r="E412" s="1183">
        <v>5000</v>
      </c>
      <c r="F412" s="857">
        <v>1</v>
      </c>
      <c r="G412" s="1183">
        <f t="shared" si="75"/>
        <v>5000</v>
      </c>
      <c r="H412" s="897"/>
    </row>
    <row r="413" spans="1:8">
      <c r="A413" s="1164"/>
      <c r="B413" s="1156" t="s">
        <v>1900</v>
      </c>
      <c r="C413" s="873"/>
      <c r="D413" s="905"/>
      <c r="E413" s="1184"/>
      <c r="F413" s="853"/>
      <c r="G413" s="1184">
        <f>SUM(G407:G412)</f>
        <v>376000</v>
      </c>
      <c r="H413" s="851"/>
    </row>
    <row r="414" spans="1:8" ht="36">
      <c r="A414" s="1164" t="s">
        <v>2424</v>
      </c>
      <c r="B414" s="865" t="s">
        <v>2014</v>
      </c>
      <c r="C414" s="853"/>
      <c r="D414" s="905"/>
      <c r="E414" s="1184"/>
      <c r="F414" s="853"/>
      <c r="G414" s="1184"/>
      <c r="H414" s="851"/>
    </row>
    <row r="415" spans="1:8">
      <c r="A415" s="1163">
        <v>2</v>
      </c>
      <c r="B415" s="899" t="s">
        <v>2016</v>
      </c>
      <c r="C415" s="900" t="s">
        <v>1916</v>
      </c>
      <c r="D415" s="906" t="s">
        <v>2017</v>
      </c>
      <c r="E415" s="1183">
        <v>30000</v>
      </c>
      <c r="F415" s="900">
        <v>1</v>
      </c>
      <c r="G415" s="1183">
        <f t="shared" ref="G415:G418" si="76">E415*F415</f>
        <v>30000</v>
      </c>
      <c r="H415" s="861"/>
    </row>
    <row r="416" spans="1:8" ht="24">
      <c r="A416" s="1163">
        <v>4</v>
      </c>
      <c r="B416" s="871" t="s">
        <v>2427</v>
      </c>
      <c r="C416" s="857" t="s">
        <v>1893</v>
      </c>
      <c r="D416" s="1179" t="s">
        <v>2428</v>
      </c>
      <c r="E416" s="1183">
        <v>10000</v>
      </c>
      <c r="F416" s="857">
        <v>1</v>
      </c>
      <c r="G416" s="1183">
        <f t="shared" si="76"/>
        <v>10000</v>
      </c>
      <c r="H416" s="861"/>
    </row>
    <row r="417" spans="1:8">
      <c r="A417" s="1163">
        <v>5</v>
      </c>
      <c r="B417" s="867" t="s">
        <v>2020</v>
      </c>
      <c r="C417" s="857" t="s">
        <v>1893</v>
      </c>
      <c r="D417" s="863" t="s">
        <v>2429</v>
      </c>
      <c r="E417" s="1183">
        <v>138620</v>
      </c>
      <c r="F417" s="857">
        <v>1</v>
      </c>
      <c r="G417" s="1183">
        <f t="shared" si="76"/>
        <v>138620</v>
      </c>
      <c r="H417" s="861"/>
    </row>
    <row r="418" spans="1:8" ht="36">
      <c r="A418" s="1163">
        <v>6</v>
      </c>
      <c r="B418" s="903" t="s">
        <v>2430</v>
      </c>
      <c r="C418" s="904" t="s">
        <v>2022</v>
      </c>
      <c r="D418" s="897" t="s">
        <v>2023</v>
      </c>
      <c r="E418" s="1183">
        <v>90000</v>
      </c>
      <c r="F418" s="857">
        <v>1</v>
      </c>
      <c r="G418" s="1183">
        <f t="shared" si="76"/>
        <v>90000</v>
      </c>
      <c r="H418" s="861"/>
    </row>
    <row r="419" spans="1:8">
      <c r="A419" s="1163">
        <v>7</v>
      </c>
      <c r="B419" s="903" t="s">
        <v>2431</v>
      </c>
      <c r="C419" s="904" t="s">
        <v>2432</v>
      </c>
      <c r="D419" s="897"/>
      <c r="E419" s="1183">
        <v>150000</v>
      </c>
      <c r="F419" s="900">
        <v>1</v>
      </c>
      <c r="G419" s="1185">
        <v>0</v>
      </c>
      <c r="H419" s="861"/>
    </row>
    <row r="420" spans="1:8">
      <c r="A420" s="853"/>
      <c r="B420" s="851" t="s">
        <v>1900</v>
      </c>
      <c r="C420" s="853"/>
      <c r="D420" s="854"/>
      <c r="E420" s="1184"/>
      <c r="F420" s="853"/>
      <c r="G420" s="1184">
        <f>SUM(G415:G419)</f>
        <v>268620</v>
      </c>
      <c r="H420" s="851"/>
    </row>
    <row r="421" spans="1:8">
      <c r="A421" s="857"/>
      <c r="B421" s="851" t="s">
        <v>2025</v>
      </c>
      <c r="C421" s="857"/>
      <c r="D421" s="669"/>
      <c r="E421" s="1183"/>
      <c r="F421" s="853"/>
      <c r="G421" s="1184">
        <f>SUM(G420,G413,G405,G400,G397,G394,G391,G388,G380,G375,G371,G368,G363,G358,G351,G344,G338,G329,G320,G315,G309,G302,G299,G296,G293,G278)</f>
        <v>3120000</v>
      </c>
      <c r="H421" s="910"/>
    </row>
    <row r="422" spans="1:8" ht="24.75">
      <c r="A422" s="910"/>
      <c r="B422" s="910"/>
      <c r="C422" s="910"/>
      <c r="D422" s="910"/>
      <c r="E422" s="932"/>
      <c r="F422" s="910"/>
      <c r="G422" s="1184">
        <f>G421*0.9</f>
        <v>2808000</v>
      </c>
      <c r="H422" s="1158" t="s">
        <v>1884</v>
      </c>
    </row>
  </sheetData>
  <autoFilter ref="A2:O94"/>
  <mergeCells count="29">
    <mergeCell ref="A268:B268"/>
    <mergeCell ref="A270:H270"/>
    <mergeCell ref="A271:A272"/>
    <mergeCell ref="B271:B272"/>
    <mergeCell ref="C271:C272"/>
    <mergeCell ref="D271:D272"/>
    <mergeCell ref="E271:E272"/>
    <mergeCell ref="F271:G271"/>
    <mergeCell ref="H271:H272"/>
    <mergeCell ref="A111:H111"/>
    <mergeCell ref="A112:A113"/>
    <mergeCell ref="B112:B113"/>
    <mergeCell ref="C112:C113"/>
    <mergeCell ref="D112:D113"/>
    <mergeCell ref="E112:E113"/>
    <mergeCell ref="F112:G112"/>
    <mergeCell ref="A1:O1"/>
    <mergeCell ref="A96:K96"/>
    <mergeCell ref="A97:A98"/>
    <mergeCell ref="B97:B98"/>
    <mergeCell ref="C97:C98"/>
    <mergeCell ref="D97:D98"/>
    <mergeCell ref="E97:E98"/>
    <mergeCell ref="F97:F98"/>
    <mergeCell ref="G97:G98"/>
    <mergeCell ref="H97:H98"/>
    <mergeCell ref="I97:I98"/>
    <mergeCell ref="J97:J98"/>
    <mergeCell ref="K97:K98"/>
  </mergeCells>
  <phoneticPr fontId="1" type="noConversion"/>
  <printOptions horizontalCentered="1"/>
  <pageMargins left="0.51181102362204722" right="0.51181102362204722" top="0.74803149606299213" bottom="0.74803149606299213" header="0.31496062992125984" footer="0.31496062992125984"/>
  <pageSetup paperSize="9" scale="80" orientation="landscape" r:id="rId1"/>
  <headerFooter>
    <oddFooter>第 &amp;P 页，共 &amp;N 页</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4"/>
  <sheetViews>
    <sheetView topLeftCell="A22" workbookViewId="0">
      <selection activeCell="L43" sqref="L43:M43"/>
    </sheetView>
  </sheetViews>
  <sheetFormatPr defaultColWidth="9" defaultRowHeight="13.5"/>
  <cols>
    <col min="1" max="1" width="4.75" style="996" customWidth="1"/>
    <col min="2" max="3" width="6.5" style="996" customWidth="1"/>
    <col min="4" max="4" width="21" style="1000" customWidth="1"/>
    <col min="5" max="5" width="13.5" style="997" customWidth="1"/>
    <col min="6" max="6" width="18.75" style="997" customWidth="1"/>
    <col min="7" max="7" width="17.75" style="997" customWidth="1"/>
    <col min="8" max="8" width="6.875" style="997" customWidth="1"/>
    <col min="9" max="9" width="8" style="995" customWidth="1"/>
    <col min="10" max="10" width="7" style="996" customWidth="1"/>
    <col min="11" max="11" width="10.75" style="995" customWidth="1"/>
    <col min="12" max="12" width="12.25" style="996" customWidth="1"/>
    <col min="13" max="13" width="11.875" style="996" customWidth="1"/>
    <col min="14" max="14" width="11.75" style="997" customWidth="1"/>
    <col min="15" max="16384" width="9" style="996"/>
  </cols>
  <sheetData>
    <row r="1" spans="1:14" s="933" customFormat="1" ht="30" customHeight="1">
      <c r="A1" s="1516" t="s">
        <v>2722</v>
      </c>
      <c r="B1" s="1516"/>
      <c r="C1" s="1516"/>
      <c r="D1" s="1516"/>
      <c r="E1" s="1516"/>
      <c r="F1" s="1516"/>
      <c r="G1" s="1516"/>
      <c r="H1" s="1516"/>
      <c r="I1" s="1516"/>
      <c r="J1" s="1516"/>
      <c r="K1" s="1516"/>
      <c r="L1" s="1481"/>
      <c r="M1" s="1481"/>
      <c r="N1" s="1481"/>
    </row>
    <row r="2" spans="1:14" s="933" customFormat="1" ht="36">
      <c r="A2" s="934" t="s">
        <v>2559</v>
      </c>
      <c r="B2" s="559" t="s">
        <v>2784</v>
      </c>
      <c r="C2" s="559" t="s">
        <v>2785</v>
      </c>
      <c r="D2" s="935" t="s">
        <v>2560</v>
      </c>
      <c r="E2" s="936" t="s">
        <v>180</v>
      </c>
      <c r="F2" s="936" t="s">
        <v>575</v>
      </c>
      <c r="G2" s="935" t="s">
        <v>576</v>
      </c>
      <c r="H2" s="935" t="s">
        <v>577</v>
      </c>
      <c r="I2" s="936" t="s">
        <v>579</v>
      </c>
      <c r="J2" s="936" t="s">
        <v>578</v>
      </c>
      <c r="K2" s="936" t="s">
        <v>580</v>
      </c>
      <c r="L2" s="937" t="s">
        <v>2579</v>
      </c>
      <c r="M2" s="562" t="s">
        <v>2783</v>
      </c>
      <c r="N2" s="936" t="s">
        <v>1889</v>
      </c>
    </row>
    <row r="3" spans="1:14" s="943" customFormat="1" ht="20.100000000000001" customHeight="1">
      <c r="A3" s="697">
        <v>1</v>
      </c>
      <c r="B3" s="697" t="s">
        <v>2732</v>
      </c>
      <c r="C3" s="697" t="s">
        <v>2733</v>
      </c>
      <c r="D3" s="698" t="s">
        <v>2734</v>
      </c>
      <c r="E3" s="938" t="s">
        <v>2536</v>
      </c>
      <c r="F3" s="939" t="s">
        <v>2735</v>
      </c>
      <c r="G3" s="939" t="s">
        <v>2736</v>
      </c>
      <c r="H3" s="938"/>
      <c r="I3" s="940">
        <v>7600</v>
      </c>
      <c r="J3" s="697">
        <v>62</v>
      </c>
      <c r="K3" s="700">
        <f>I3*J3</f>
        <v>471200</v>
      </c>
      <c r="L3" s="941">
        <f>K3</f>
        <v>471200</v>
      </c>
      <c r="M3" s="941"/>
      <c r="N3" s="942"/>
    </row>
    <row r="4" spans="1:14" s="943" customFormat="1" ht="20.100000000000001" customHeight="1">
      <c r="A4" s="697"/>
      <c r="C4" s="697"/>
      <c r="D4" s="944" t="s">
        <v>2737</v>
      </c>
      <c r="E4" s="938"/>
      <c r="F4" s="698"/>
      <c r="G4" s="698"/>
      <c r="H4" s="698"/>
      <c r="I4" s="700"/>
      <c r="J4" s="697"/>
      <c r="K4" s="945">
        <f>SUM(K3:K3)</f>
        <v>471200</v>
      </c>
      <c r="L4" s="946">
        <f t="shared" ref="L4:M4" si="0">SUM(L3:L3)</f>
        <v>471200</v>
      </c>
      <c r="M4" s="946">
        <f t="shared" si="0"/>
        <v>0</v>
      </c>
      <c r="N4" s="947"/>
    </row>
    <row r="5" spans="1:14" s="943" customFormat="1" ht="20.100000000000001" customHeight="1">
      <c r="A5" s="697">
        <v>2</v>
      </c>
      <c r="B5" s="697" t="s">
        <v>2284</v>
      </c>
      <c r="C5" s="697" t="s">
        <v>1330</v>
      </c>
      <c r="D5" s="698" t="s">
        <v>2285</v>
      </c>
      <c r="E5" s="938" t="s">
        <v>2536</v>
      </c>
      <c r="F5" s="939" t="s">
        <v>2735</v>
      </c>
      <c r="G5" s="939" t="s">
        <v>2736</v>
      </c>
      <c r="H5" s="938"/>
      <c r="I5" s="940">
        <v>7600</v>
      </c>
      <c r="J5" s="697">
        <v>49</v>
      </c>
      <c r="K5" s="700">
        <f>I5*J5</f>
        <v>372400</v>
      </c>
      <c r="L5" s="941">
        <f>K5</f>
        <v>372400</v>
      </c>
      <c r="M5" s="941"/>
      <c r="N5" s="942"/>
    </row>
    <row r="6" spans="1:14" s="943" customFormat="1" ht="20.100000000000001" customHeight="1">
      <c r="A6" s="697">
        <v>2</v>
      </c>
      <c r="B6" s="697" t="s">
        <v>2284</v>
      </c>
      <c r="C6" s="697" t="s">
        <v>1330</v>
      </c>
      <c r="D6" s="698" t="s">
        <v>2285</v>
      </c>
      <c r="E6" s="938" t="s">
        <v>2536</v>
      </c>
      <c r="F6" s="948" t="s">
        <v>2738</v>
      </c>
      <c r="G6" s="948" t="s">
        <v>2738</v>
      </c>
      <c r="H6" s="938"/>
      <c r="I6" s="940">
        <v>140000</v>
      </c>
      <c r="J6" s="949">
        <v>1</v>
      </c>
      <c r="K6" s="950">
        <f>I6*J6</f>
        <v>140000</v>
      </c>
      <c r="L6" s="941">
        <f>K6</f>
        <v>140000</v>
      </c>
      <c r="M6" s="941"/>
      <c r="N6" s="942"/>
    </row>
    <row r="7" spans="1:14" s="943" customFormat="1" ht="20.100000000000001" customHeight="1">
      <c r="A7" s="697"/>
      <c r="B7" s="944" t="s">
        <v>2036</v>
      </c>
      <c r="C7" s="697"/>
      <c r="D7" s="944" t="s">
        <v>2737</v>
      </c>
      <c r="E7" s="938"/>
      <c r="F7" s="698"/>
      <c r="G7" s="698"/>
      <c r="H7" s="698"/>
      <c r="I7" s="700"/>
      <c r="J7" s="697"/>
      <c r="K7" s="945">
        <f>SUM(K5:K6)</f>
        <v>512400</v>
      </c>
      <c r="L7" s="946">
        <f t="shared" ref="L7:M7" si="1">SUM(L5:L6)</f>
        <v>512400</v>
      </c>
      <c r="M7" s="946">
        <f t="shared" si="1"/>
        <v>0</v>
      </c>
      <c r="N7" s="947"/>
    </row>
    <row r="8" spans="1:14" s="943" customFormat="1" ht="20.100000000000001" customHeight="1">
      <c r="A8" s="697">
        <v>3</v>
      </c>
      <c r="B8" s="697" t="s">
        <v>2284</v>
      </c>
      <c r="C8" s="697" t="s">
        <v>1330</v>
      </c>
      <c r="D8" s="698" t="s">
        <v>2739</v>
      </c>
      <c r="E8" s="938" t="s">
        <v>2536</v>
      </c>
      <c r="F8" s="939" t="s">
        <v>2735</v>
      </c>
      <c r="G8" s="939" t="s">
        <v>2736</v>
      </c>
      <c r="H8" s="938"/>
      <c r="I8" s="940">
        <v>7600</v>
      </c>
      <c r="J8" s="697">
        <v>50</v>
      </c>
      <c r="K8" s="700">
        <f>I8*J8</f>
        <v>380000</v>
      </c>
      <c r="L8" s="941">
        <f>K8</f>
        <v>380000</v>
      </c>
      <c r="M8" s="941">
        <f>K8-L8</f>
        <v>0</v>
      </c>
      <c r="N8" s="942"/>
    </row>
    <row r="9" spans="1:14" s="943" customFormat="1" ht="20.100000000000001" customHeight="1">
      <c r="A9" s="697"/>
      <c r="B9" s="944" t="s">
        <v>2036</v>
      </c>
      <c r="C9" s="697"/>
      <c r="D9" s="944" t="s">
        <v>2737</v>
      </c>
      <c r="E9" s="938"/>
      <c r="F9" s="698"/>
      <c r="G9" s="698"/>
      <c r="H9" s="698"/>
      <c r="I9" s="700"/>
      <c r="J9" s="697"/>
      <c r="K9" s="945">
        <f>SUM(K8:K8)</f>
        <v>380000</v>
      </c>
      <c r="L9" s="946">
        <f t="shared" ref="L9:M9" si="2">SUM(L8:L8)</f>
        <v>380000</v>
      </c>
      <c r="M9" s="946">
        <f t="shared" si="2"/>
        <v>0</v>
      </c>
      <c r="N9" s="947"/>
    </row>
    <row r="10" spans="1:14" s="943" customFormat="1" ht="20.100000000000001" customHeight="1">
      <c r="A10" s="697">
        <v>4</v>
      </c>
      <c r="B10" s="697" t="s">
        <v>2732</v>
      </c>
      <c r="C10" s="697" t="s">
        <v>2733</v>
      </c>
      <c r="D10" s="698" t="s">
        <v>2740</v>
      </c>
      <c r="E10" s="938" t="s">
        <v>2536</v>
      </c>
      <c r="F10" s="939" t="s">
        <v>2735</v>
      </c>
      <c r="G10" s="939" t="s">
        <v>2736</v>
      </c>
      <c r="H10" s="698"/>
      <c r="I10" s="700">
        <v>7600</v>
      </c>
      <c r="J10" s="697">
        <v>28</v>
      </c>
      <c r="K10" s="700">
        <f>I10*J10</f>
        <v>212800</v>
      </c>
      <c r="L10" s="941">
        <f>K10</f>
        <v>212800</v>
      </c>
      <c r="M10" s="941"/>
      <c r="N10" s="942"/>
    </row>
    <row r="11" spans="1:14" s="943" customFormat="1" ht="20.100000000000001" customHeight="1">
      <c r="A11" s="697"/>
      <c r="B11" s="944" t="s">
        <v>2036</v>
      </c>
      <c r="C11" s="697"/>
      <c r="D11" s="944" t="s">
        <v>2737</v>
      </c>
      <c r="E11" s="938"/>
      <c r="F11" s="698"/>
      <c r="G11" s="698"/>
      <c r="H11" s="698"/>
      <c r="I11" s="700"/>
      <c r="J11" s="697"/>
      <c r="K11" s="945">
        <f>SUM(K10:K10)</f>
        <v>212800</v>
      </c>
      <c r="L11" s="946">
        <f t="shared" ref="L11:M11" si="3">SUM(L10:L10)</f>
        <v>212800</v>
      </c>
      <c r="M11" s="946">
        <f t="shared" si="3"/>
        <v>0</v>
      </c>
      <c r="N11" s="947"/>
    </row>
    <row r="12" spans="1:14" s="943" customFormat="1" ht="18.75" customHeight="1">
      <c r="A12" s="697">
        <v>5</v>
      </c>
      <c r="B12" s="697" t="s">
        <v>2732</v>
      </c>
      <c r="C12" s="697" t="s">
        <v>2733</v>
      </c>
      <c r="D12" s="698" t="s">
        <v>2741</v>
      </c>
      <c r="E12" s="938" t="s">
        <v>2536</v>
      </c>
      <c r="F12" s="939" t="s">
        <v>2735</v>
      </c>
      <c r="G12" s="939" t="s">
        <v>2736</v>
      </c>
      <c r="H12" s="698"/>
      <c r="I12" s="700">
        <v>7600</v>
      </c>
      <c r="J12" s="697">
        <v>22</v>
      </c>
      <c r="K12" s="700">
        <f>I12*J12</f>
        <v>167200</v>
      </c>
      <c r="L12" s="941">
        <f>K12</f>
        <v>167200</v>
      </c>
      <c r="M12" s="941"/>
      <c r="N12" s="942"/>
    </row>
    <row r="13" spans="1:14" s="943" customFormat="1" ht="20.100000000000001" customHeight="1">
      <c r="A13" s="697"/>
      <c r="B13" s="944" t="s">
        <v>2036</v>
      </c>
      <c r="C13" s="697"/>
      <c r="D13" s="944" t="s">
        <v>2737</v>
      </c>
      <c r="E13" s="938"/>
      <c r="F13" s="698"/>
      <c r="G13" s="698"/>
      <c r="H13" s="698"/>
      <c r="I13" s="700"/>
      <c r="J13" s="697"/>
      <c r="K13" s="945">
        <f>SUM(K12:K12)</f>
        <v>167200</v>
      </c>
      <c r="L13" s="946">
        <f t="shared" ref="L13:M13" si="4">SUM(L12:L12)</f>
        <v>167200</v>
      </c>
      <c r="M13" s="946">
        <f t="shared" si="4"/>
        <v>0</v>
      </c>
      <c r="N13" s="947"/>
    </row>
    <row r="14" spans="1:14" s="943" customFormat="1" ht="20.100000000000001" customHeight="1">
      <c r="A14" s="697">
        <v>6</v>
      </c>
      <c r="B14" s="697" t="s">
        <v>2732</v>
      </c>
      <c r="C14" s="697" t="s">
        <v>2742</v>
      </c>
      <c r="D14" s="698" t="s">
        <v>2743</v>
      </c>
      <c r="E14" s="938" t="s">
        <v>2536</v>
      </c>
      <c r="F14" s="698" t="s">
        <v>2744</v>
      </c>
      <c r="G14" s="698" t="s">
        <v>2744</v>
      </c>
      <c r="H14" s="698" t="s">
        <v>2038</v>
      </c>
      <c r="I14" s="700">
        <v>200000</v>
      </c>
      <c r="J14" s="697">
        <v>1</v>
      </c>
      <c r="K14" s="700">
        <f>J14*I14</f>
        <v>200000</v>
      </c>
      <c r="L14" s="941">
        <f t="shared" ref="L14:L19" si="5">K14</f>
        <v>200000</v>
      </c>
      <c r="M14" s="941"/>
      <c r="N14" s="951"/>
    </row>
    <row r="15" spans="1:14" s="952" customFormat="1" ht="20.100000000000001" customHeight="1">
      <c r="A15" s="697">
        <v>6</v>
      </c>
      <c r="B15" s="697" t="s">
        <v>2732</v>
      </c>
      <c r="C15" s="697" t="s">
        <v>2742</v>
      </c>
      <c r="D15" s="698" t="s">
        <v>2743</v>
      </c>
      <c r="E15" s="938" t="s">
        <v>2536</v>
      </c>
      <c r="F15" s="698" t="s">
        <v>2028</v>
      </c>
      <c r="G15" s="698" t="s">
        <v>2028</v>
      </c>
      <c r="H15" s="698"/>
      <c r="I15" s="700">
        <v>102550</v>
      </c>
      <c r="J15" s="697">
        <v>1</v>
      </c>
      <c r="K15" s="700">
        <f t="shared" ref="K15:K19" si="6">I15*J15</f>
        <v>102550</v>
      </c>
      <c r="L15" s="701">
        <f t="shared" si="5"/>
        <v>102550</v>
      </c>
      <c r="M15" s="701"/>
      <c r="N15" s="942"/>
    </row>
    <row r="16" spans="1:14" s="952" customFormat="1" ht="20.100000000000001" customHeight="1">
      <c r="A16" s="697">
        <v>6</v>
      </c>
      <c r="B16" s="697" t="s">
        <v>2732</v>
      </c>
      <c r="C16" s="697" t="s">
        <v>2742</v>
      </c>
      <c r="D16" s="698" t="s">
        <v>2743</v>
      </c>
      <c r="E16" s="938" t="s">
        <v>2536</v>
      </c>
      <c r="F16" s="698" t="s">
        <v>2029</v>
      </c>
      <c r="G16" s="698" t="s">
        <v>2029</v>
      </c>
      <c r="H16" s="698"/>
      <c r="I16" s="700">
        <v>135050</v>
      </c>
      <c r="J16" s="697">
        <v>1</v>
      </c>
      <c r="K16" s="700">
        <f t="shared" si="6"/>
        <v>135050</v>
      </c>
      <c r="L16" s="701">
        <f t="shared" si="5"/>
        <v>135050</v>
      </c>
      <c r="M16" s="701"/>
      <c r="N16" s="942"/>
    </row>
    <row r="17" spans="1:14" s="952" customFormat="1" ht="20.100000000000001" customHeight="1">
      <c r="A17" s="697">
        <v>6</v>
      </c>
      <c r="B17" s="697" t="s">
        <v>2732</v>
      </c>
      <c r="C17" s="697" t="s">
        <v>2742</v>
      </c>
      <c r="D17" s="698" t="s">
        <v>2743</v>
      </c>
      <c r="E17" s="938" t="s">
        <v>2536</v>
      </c>
      <c r="F17" s="698" t="s">
        <v>2745</v>
      </c>
      <c r="G17" s="698" t="s">
        <v>2745</v>
      </c>
      <c r="H17" s="698"/>
      <c r="I17" s="700">
        <v>757598</v>
      </c>
      <c r="J17" s="697">
        <v>1</v>
      </c>
      <c r="K17" s="700">
        <f t="shared" si="6"/>
        <v>757598</v>
      </c>
      <c r="L17" s="701">
        <f t="shared" si="5"/>
        <v>757598</v>
      </c>
      <c r="M17" s="701"/>
      <c r="N17" s="942" t="s">
        <v>2780</v>
      </c>
    </row>
    <row r="18" spans="1:14" s="943" customFormat="1" ht="20.100000000000001" customHeight="1">
      <c r="A18" s="697">
        <v>6</v>
      </c>
      <c r="B18" s="697" t="s">
        <v>2732</v>
      </c>
      <c r="C18" s="697" t="s">
        <v>2742</v>
      </c>
      <c r="D18" s="698" t="s">
        <v>2743</v>
      </c>
      <c r="E18" s="938" t="s">
        <v>2536</v>
      </c>
      <c r="F18" s="698" t="s">
        <v>2735</v>
      </c>
      <c r="G18" s="698" t="s">
        <v>2736</v>
      </c>
      <c r="H18" s="698"/>
      <c r="I18" s="700">
        <v>7600</v>
      </c>
      <c r="J18" s="697">
        <v>19</v>
      </c>
      <c r="K18" s="700">
        <f>I18*J18</f>
        <v>144400</v>
      </c>
      <c r="L18" s="941">
        <f t="shared" si="5"/>
        <v>144400</v>
      </c>
      <c r="M18" s="941"/>
      <c r="N18" s="942"/>
    </row>
    <row r="19" spans="1:14" s="943" customFormat="1" ht="20.100000000000001" customHeight="1">
      <c r="A19" s="697">
        <v>6</v>
      </c>
      <c r="B19" s="697" t="s">
        <v>2732</v>
      </c>
      <c r="C19" s="697" t="s">
        <v>2742</v>
      </c>
      <c r="D19" s="698" t="s">
        <v>2743</v>
      </c>
      <c r="E19" s="938" t="s">
        <v>2536</v>
      </c>
      <c r="F19" s="948" t="s">
        <v>2738</v>
      </c>
      <c r="G19" s="948" t="s">
        <v>2738</v>
      </c>
      <c r="H19" s="938"/>
      <c r="I19" s="940">
        <v>140000</v>
      </c>
      <c r="J19" s="949">
        <v>1</v>
      </c>
      <c r="K19" s="950">
        <f t="shared" si="6"/>
        <v>140000</v>
      </c>
      <c r="L19" s="941">
        <f t="shared" si="5"/>
        <v>140000</v>
      </c>
      <c r="M19" s="941"/>
      <c r="N19" s="942"/>
    </row>
    <row r="20" spans="1:14" s="943" customFormat="1" ht="20.100000000000001" customHeight="1">
      <c r="A20" s="697"/>
      <c r="B20" s="944" t="s">
        <v>2036</v>
      </c>
      <c r="C20" s="697"/>
      <c r="D20" s="944" t="s">
        <v>2737</v>
      </c>
      <c r="E20" s="938"/>
      <c r="F20" s="698"/>
      <c r="G20" s="698"/>
      <c r="H20" s="698"/>
      <c r="I20" s="700"/>
      <c r="J20" s="697"/>
      <c r="K20" s="945">
        <f>SUM(K14:K19)</f>
        <v>1479598</v>
      </c>
      <c r="L20" s="946">
        <f t="shared" ref="L20:M20" si="7">SUM(L14:L19)</f>
        <v>1479598</v>
      </c>
      <c r="M20" s="946">
        <f t="shared" si="7"/>
        <v>0</v>
      </c>
      <c r="N20" s="947"/>
    </row>
    <row r="21" spans="1:14" s="943" customFormat="1" ht="20.100000000000001" customHeight="1">
      <c r="A21" s="697">
        <v>7</v>
      </c>
      <c r="B21" s="697" t="s">
        <v>2284</v>
      </c>
      <c r="C21" s="697" t="s">
        <v>2260</v>
      </c>
      <c r="D21" s="698" t="s">
        <v>2746</v>
      </c>
      <c r="E21" s="938" t="s">
        <v>2536</v>
      </c>
      <c r="F21" s="948" t="s">
        <v>2738</v>
      </c>
      <c r="G21" s="948" t="s">
        <v>2738</v>
      </c>
      <c r="H21" s="938"/>
      <c r="I21" s="940">
        <v>140000</v>
      </c>
      <c r="J21" s="949">
        <v>1</v>
      </c>
      <c r="K21" s="950">
        <f>I21*J21</f>
        <v>140000</v>
      </c>
      <c r="L21" s="941">
        <f>K21</f>
        <v>140000</v>
      </c>
      <c r="M21" s="941"/>
      <c r="N21" s="942"/>
    </row>
    <row r="22" spans="1:14" s="943" customFormat="1" ht="20.100000000000001" customHeight="1">
      <c r="A22" s="953">
        <v>7</v>
      </c>
      <c r="B22" s="953" t="s">
        <v>2732</v>
      </c>
      <c r="C22" s="953" t="s">
        <v>2742</v>
      </c>
      <c r="D22" s="954" t="s">
        <v>2746</v>
      </c>
      <c r="E22" s="938" t="s">
        <v>2536</v>
      </c>
      <c r="F22" s="704" t="s">
        <v>2258</v>
      </c>
      <c r="G22" s="705" t="s">
        <v>2258</v>
      </c>
      <c r="H22" s="706" t="s">
        <v>2155</v>
      </c>
      <c r="I22" s="955">
        <v>438448</v>
      </c>
      <c r="J22" s="956">
        <v>1</v>
      </c>
      <c r="K22" s="940">
        <f>I22*J22</f>
        <v>438448</v>
      </c>
      <c r="L22" s="941">
        <f>K22</f>
        <v>438448</v>
      </c>
      <c r="M22" s="941"/>
      <c r="N22" s="942" t="s">
        <v>2780</v>
      </c>
    </row>
    <row r="23" spans="1:14" s="943" customFormat="1" ht="20.100000000000001" customHeight="1">
      <c r="A23" s="953">
        <v>7</v>
      </c>
      <c r="B23" s="953" t="s">
        <v>2732</v>
      </c>
      <c r="C23" s="953" t="s">
        <v>2742</v>
      </c>
      <c r="D23" s="954" t="s">
        <v>2746</v>
      </c>
      <c r="E23" s="938" t="s">
        <v>2536</v>
      </c>
      <c r="F23" s="954" t="s">
        <v>2747</v>
      </c>
      <c r="G23" s="954" t="s">
        <v>2748</v>
      </c>
      <c r="H23" s="954"/>
      <c r="I23" s="955">
        <v>12000</v>
      </c>
      <c r="J23" s="956">
        <v>10</v>
      </c>
      <c r="K23" s="940">
        <f>J23*I23</f>
        <v>120000</v>
      </c>
      <c r="L23" s="941">
        <f>K23</f>
        <v>120000</v>
      </c>
      <c r="M23" s="941"/>
      <c r="N23" s="957"/>
    </row>
    <row r="24" spans="1:14" s="943" customFormat="1" ht="20.100000000000001" customHeight="1">
      <c r="A24" s="697"/>
      <c r="B24" s="944" t="s">
        <v>2036</v>
      </c>
      <c r="C24" s="697"/>
      <c r="D24" s="944" t="s">
        <v>2737</v>
      </c>
      <c r="E24" s="938"/>
      <c r="F24" s="698"/>
      <c r="G24" s="698"/>
      <c r="H24" s="698"/>
      <c r="I24" s="700"/>
      <c r="J24" s="697"/>
      <c r="K24" s="945">
        <f>SUM(K21:K23)</f>
        <v>698448</v>
      </c>
      <c r="L24" s="946">
        <f t="shared" ref="L24:M24" si="8">SUM(L21:L23)</f>
        <v>698448</v>
      </c>
      <c r="M24" s="946">
        <f t="shared" si="8"/>
        <v>0</v>
      </c>
      <c r="N24" s="947"/>
    </row>
    <row r="25" spans="1:14" s="952" customFormat="1" ht="20.100000000000001" customHeight="1">
      <c r="A25" s="697">
        <v>8</v>
      </c>
      <c r="B25" s="697" t="s">
        <v>2732</v>
      </c>
      <c r="C25" s="697" t="s">
        <v>2742</v>
      </c>
      <c r="D25" s="698" t="s">
        <v>2749</v>
      </c>
      <c r="E25" s="938" t="s">
        <v>2536</v>
      </c>
      <c r="F25" s="698" t="s">
        <v>2745</v>
      </c>
      <c r="G25" s="698" t="s">
        <v>2745</v>
      </c>
      <c r="H25" s="698"/>
      <c r="I25" s="700">
        <v>757598</v>
      </c>
      <c r="J25" s="697">
        <v>1</v>
      </c>
      <c r="K25" s="700">
        <f>I25*J25</f>
        <v>757598</v>
      </c>
      <c r="L25" s="701">
        <f>K25</f>
        <v>757598</v>
      </c>
      <c r="M25" s="701"/>
      <c r="N25" s="942" t="s">
        <v>2780</v>
      </c>
    </row>
    <row r="26" spans="1:14" s="943" customFormat="1" ht="20.100000000000001" customHeight="1">
      <c r="A26" s="949"/>
      <c r="B26" s="958"/>
      <c r="C26" s="949"/>
      <c r="D26" s="958" t="s">
        <v>2737</v>
      </c>
      <c r="E26" s="938"/>
      <c r="F26" s="938"/>
      <c r="G26" s="938"/>
      <c r="H26" s="938"/>
      <c r="I26" s="940"/>
      <c r="J26" s="949"/>
      <c r="K26" s="946">
        <f>SUM(K25:K25)</f>
        <v>757598</v>
      </c>
      <c r="L26" s="946">
        <f t="shared" ref="L26:M26" si="9">SUM(L25:L25)</f>
        <v>757598</v>
      </c>
      <c r="M26" s="946">
        <f t="shared" si="9"/>
        <v>0</v>
      </c>
      <c r="N26" s="959"/>
    </row>
    <row r="27" spans="1:14" s="943" customFormat="1" ht="20.100000000000001" customHeight="1">
      <c r="A27" s="960">
        <v>9</v>
      </c>
      <c r="B27" s="961" t="s">
        <v>2732</v>
      </c>
      <c r="C27" s="960" t="s">
        <v>2750</v>
      </c>
      <c r="D27" s="962" t="s">
        <v>2751</v>
      </c>
      <c r="E27" s="938" t="s">
        <v>2536</v>
      </c>
      <c r="F27" s="963" t="s">
        <v>2723</v>
      </c>
      <c r="G27" s="963" t="s">
        <v>2752</v>
      </c>
      <c r="H27" s="964"/>
      <c r="I27" s="965">
        <v>281000</v>
      </c>
      <c r="J27" s="966">
        <v>1</v>
      </c>
      <c r="K27" s="965">
        <f>J27*I27</f>
        <v>281000</v>
      </c>
      <c r="L27" s="941">
        <f>K27</f>
        <v>281000</v>
      </c>
      <c r="M27" s="941"/>
      <c r="N27" s="967" t="s">
        <v>2753</v>
      </c>
    </row>
    <row r="28" spans="1:14" s="943" customFormat="1" ht="20.100000000000001" customHeight="1">
      <c r="A28" s="968">
        <v>9</v>
      </c>
      <c r="B28" s="969" t="s">
        <v>2732</v>
      </c>
      <c r="C28" s="968" t="s">
        <v>2750</v>
      </c>
      <c r="D28" s="970" t="s">
        <v>2751</v>
      </c>
      <c r="E28" s="938" t="s">
        <v>2536</v>
      </c>
      <c r="F28" s="938" t="s">
        <v>2754</v>
      </c>
      <c r="G28" s="938" t="s">
        <v>2754</v>
      </c>
      <c r="H28" s="698" t="s">
        <v>2038</v>
      </c>
      <c r="I28" s="971">
        <v>15000</v>
      </c>
      <c r="J28" s="972">
        <v>10</v>
      </c>
      <c r="K28" s="971">
        <f>J28*I28</f>
        <v>150000</v>
      </c>
      <c r="L28" s="941">
        <f t="shared" ref="L28:L29" si="10">K28</f>
        <v>150000</v>
      </c>
      <c r="M28" s="941"/>
      <c r="N28" s="973"/>
    </row>
    <row r="29" spans="1:14" s="943" customFormat="1" ht="20.100000000000001" customHeight="1">
      <c r="A29" s="968">
        <v>9</v>
      </c>
      <c r="B29" s="969" t="s">
        <v>2732</v>
      </c>
      <c r="C29" s="968" t="s">
        <v>2750</v>
      </c>
      <c r="D29" s="970" t="s">
        <v>2751</v>
      </c>
      <c r="E29" s="938" t="s">
        <v>2536</v>
      </c>
      <c r="F29" s="699" t="s">
        <v>2755</v>
      </c>
      <c r="G29" s="699" t="s">
        <v>2755</v>
      </c>
      <c r="H29" s="698"/>
      <c r="I29" s="971">
        <v>100000</v>
      </c>
      <c r="J29" s="972">
        <v>1</v>
      </c>
      <c r="K29" s="971">
        <f>I29*J29</f>
        <v>100000</v>
      </c>
      <c r="L29" s="941">
        <f t="shared" si="10"/>
        <v>100000</v>
      </c>
      <c r="M29" s="941"/>
      <c r="N29" s="973"/>
    </row>
    <row r="30" spans="1:14" s="943" customFormat="1" ht="20.100000000000001" customHeight="1">
      <c r="A30" s="974"/>
      <c r="B30" s="975"/>
      <c r="C30" s="968"/>
      <c r="D30" s="944" t="s">
        <v>2737</v>
      </c>
      <c r="E30" s="938"/>
      <c r="F30" s="976"/>
      <c r="G30" s="977"/>
      <c r="H30" s="977"/>
      <c r="I30" s="978"/>
      <c r="J30" s="979"/>
      <c r="K30" s="978">
        <f>SUM(K27:K29)</f>
        <v>531000</v>
      </c>
      <c r="L30" s="980">
        <f t="shared" ref="L30:M30" si="11">SUM(L27:L29)</f>
        <v>531000</v>
      </c>
      <c r="M30" s="980">
        <f t="shared" si="11"/>
        <v>0</v>
      </c>
      <c r="N30" s="981"/>
    </row>
    <row r="31" spans="1:14" s="943" customFormat="1" ht="20.100000000000001" customHeight="1">
      <c r="A31" s="968">
        <v>10</v>
      </c>
      <c r="B31" s="969" t="s">
        <v>2732</v>
      </c>
      <c r="C31" s="968" t="s">
        <v>2750</v>
      </c>
      <c r="D31" s="970" t="s">
        <v>2756</v>
      </c>
      <c r="E31" s="938" t="s">
        <v>2536</v>
      </c>
      <c r="F31" s="938" t="s">
        <v>2754</v>
      </c>
      <c r="G31" s="938" t="s">
        <v>2754</v>
      </c>
      <c r="H31" s="698"/>
      <c r="I31" s="971">
        <v>15000</v>
      </c>
      <c r="J31" s="972">
        <v>16</v>
      </c>
      <c r="K31" s="971">
        <f>J31*I31</f>
        <v>240000</v>
      </c>
      <c r="L31" s="941">
        <v>29756</v>
      </c>
      <c r="M31" s="941">
        <f>K31-L31</f>
        <v>210244</v>
      </c>
      <c r="N31" s="973"/>
    </row>
    <row r="32" spans="1:14" s="943" customFormat="1" ht="20.100000000000001" customHeight="1">
      <c r="A32" s="974"/>
      <c r="B32" s="975"/>
      <c r="C32" s="968"/>
      <c r="D32" s="944" t="s">
        <v>2737</v>
      </c>
      <c r="E32" s="938"/>
      <c r="F32" s="976"/>
      <c r="G32" s="977"/>
      <c r="H32" s="977"/>
      <c r="I32" s="978"/>
      <c r="J32" s="979"/>
      <c r="K32" s="978">
        <f>SUM(K31:K31)</f>
        <v>240000</v>
      </c>
      <c r="L32" s="980">
        <f t="shared" ref="L32:M32" si="12">SUM(L31:L31)</f>
        <v>29756</v>
      </c>
      <c r="M32" s="980">
        <f t="shared" si="12"/>
        <v>210244</v>
      </c>
      <c r="N32" s="981"/>
    </row>
    <row r="33" spans="1:14" s="943" customFormat="1" ht="20.100000000000001" customHeight="1">
      <c r="A33" s="968">
        <v>11</v>
      </c>
      <c r="B33" s="969" t="s">
        <v>2732</v>
      </c>
      <c r="C33" s="968" t="s">
        <v>2750</v>
      </c>
      <c r="D33" s="970" t="s">
        <v>2757</v>
      </c>
      <c r="E33" s="938" t="s">
        <v>2536</v>
      </c>
      <c r="F33" s="699" t="s">
        <v>2755</v>
      </c>
      <c r="G33" s="699" t="s">
        <v>2755</v>
      </c>
      <c r="H33" s="698" t="s">
        <v>2038</v>
      </c>
      <c r="I33" s="971">
        <v>100000</v>
      </c>
      <c r="J33" s="972">
        <v>1</v>
      </c>
      <c r="K33" s="971">
        <f>I33*J33</f>
        <v>100000</v>
      </c>
      <c r="L33" s="941"/>
      <c r="M33" s="941">
        <f>K33</f>
        <v>100000</v>
      </c>
      <c r="N33" s="973"/>
    </row>
    <row r="34" spans="1:14" s="943" customFormat="1" ht="20.100000000000001" customHeight="1">
      <c r="A34" s="974"/>
      <c r="B34" s="975"/>
      <c r="C34" s="968"/>
      <c r="D34" s="944" t="s">
        <v>2737</v>
      </c>
      <c r="E34" s="938"/>
      <c r="F34" s="976"/>
      <c r="G34" s="977"/>
      <c r="H34" s="977"/>
      <c r="I34" s="978"/>
      <c r="J34" s="979"/>
      <c r="K34" s="978">
        <f>SUM(K33:K33)</f>
        <v>100000</v>
      </c>
      <c r="L34" s="980">
        <f t="shared" ref="L34:M34" si="13">SUM(L33:L33)</f>
        <v>0</v>
      </c>
      <c r="M34" s="980">
        <f t="shared" si="13"/>
        <v>100000</v>
      </c>
      <c r="N34" s="981"/>
    </row>
    <row r="35" spans="1:14" s="943" customFormat="1" ht="20.100000000000001" customHeight="1">
      <c r="A35" s="982">
        <v>12</v>
      </c>
      <c r="B35" s="983" t="s">
        <v>2732</v>
      </c>
      <c r="C35" s="968" t="s">
        <v>2750</v>
      </c>
      <c r="D35" s="984" t="s">
        <v>2758</v>
      </c>
      <c r="E35" s="938" t="s">
        <v>2536</v>
      </c>
      <c r="F35" s="699" t="s">
        <v>2759</v>
      </c>
      <c r="G35" s="699" t="s">
        <v>2759</v>
      </c>
      <c r="H35" s="954"/>
      <c r="I35" s="985">
        <v>250000</v>
      </c>
      <c r="J35" s="986">
        <v>1</v>
      </c>
      <c r="K35" s="985">
        <f>I35*J35</f>
        <v>250000</v>
      </c>
      <c r="L35" s="941"/>
      <c r="M35" s="941">
        <f>K35</f>
        <v>250000</v>
      </c>
      <c r="N35" s="987"/>
    </row>
    <row r="36" spans="1:14" s="943" customFormat="1" ht="20.100000000000001" customHeight="1">
      <c r="A36" s="974"/>
      <c r="B36" s="975"/>
      <c r="C36" s="968"/>
      <c r="D36" s="944" t="s">
        <v>2737</v>
      </c>
      <c r="E36" s="938"/>
      <c r="F36" s="988"/>
      <c r="G36" s="989"/>
      <c r="H36" s="989"/>
      <c r="I36" s="980"/>
      <c r="J36" s="974"/>
      <c r="K36" s="980">
        <f>SUM(K35:K35)</f>
        <v>250000</v>
      </c>
      <c r="L36" s="980">
        <f t="shared" ref="L36:M36" si="14">SUM(L35:L35)</f>
        <v>0</v>
      </c>
      <c r="M36" s="980">
        <f t="shared" si="14"/>
        <v>250000</v>
      </c>
      <c r="N36" s="990"/>
    </row>
    <row r="37" spans="1:14" s="943" customFormat="1" ht="20.100000000000001" customHeight="1">
      <c r="A37" s="949">
        <v>13</v>
      </c>
      <c r="B37" s="949" t="s">
        <v>2284</v>
      </c>
      <c r="C37" s="949" t="s">
        <v>2760</v>
      </c>
      <c r="D37" s="938" t="s">
        <v>2761</v>
      </c>
      <c r="E37" s="938" t="s">
        <v>2536</v>
      </c>
      <c r="F37" s="939" t="s">
        <v>2736</v>
      </c>
      <c r="G37" s="939" t="s">
        <v>2736</v>
      </c>
      <c r="H37" s="939"/>
      <c r="I37" s="991">
        <v>7600</v>
      </c>
      <c r="J37" s="968">
        <v>29</v>
      </c>
      <c r="K37" s="700">
        <f>I37*J37</f>
        <v>220400</v>
      </c>
      <c r="L37" s="941"/>
      <c r="M37" s="941">
        <f>K37</f>
        <v>220400</v>
      </c>
      <c r="N37" s="942"/>
    </row>
    <row r="38" spans="1:14" s="943" customFormat="1" ht="20.100000000000001" customHeight="1">
      <c r="A38" s="974"/>
      <c r="B38" s="975"/>
      <c r="C38" s="974"/>
      <c r="D38" s="944" t="s">
        <v>2737</v>
      </c>
      <c r="E38" s="938"/>
      <c r="F38" s="989"/>
      <c r="G38" s="989"/>
      <c r="H38" s="989"/>
      <c r="I38" s="980"/>
      <c r="J38" s="974"/>
      <c r="K38" s="980">
        <f>SUM(K37:K37)</f>
        <v>220400</v>
      </c>
      <c r="L38" s="980">
        <f t="shared" ref="L38:M38" si="15">SUM(L37:L37)</f>
        <v>0</v>
      </c>
      <c r="M38" s="980">
        <f t="shared" si="15"/>
        <v>220400</v>
      </c>
      <c r="N38" s="990"/>
    </row>
    <row r="39" spans="1:14" s="943" customFormat="1" ht="20.100000000000001" customHeight="1">
      <c r="A39" s="949">
        <v>14</v>
      </c>
      <c r="B39" s="949" t="s">
        <v>2284</v>
      </c>
      <c r="C39" s="949" t="s">
        <v>2728</v>
      </c>
      <c r="D39" s="938" t="s">
        <v>2729</v>
      </c>
      <c r="E39" s="938" t="s">
        <v>2536</v>
      </c>
      <c r="F39" s="939" t="s">
        <v>2657</v>
      </c>
      <c r="G39" s="939" t="s">
        <v>2657</v>
      </c>
      <c r="H39" s="939"/>
      <c r="I39" s="991">
        <v>7600</v>
      </c>
      <c r="J39" s="968">
        <v>50</v>
      </c>
      <c r="K39" s="700">
        <f>I39*J39</f>
        <v>380000</v>
      </c>
      <c r="L39" s="941"/>
      <c r="M39" s="941">
        <f>K39</f>
        <v>380000</v>
      </c>
      <c r="N39" s="942"/>
    </row>
    <row r="40" spans="1:14" s="943" customFormat="1" ht="20.100000000000001" customHeight="1">
      <c r="A40" s="949"/>
      <c r="B40" s="958" t="s">
        <v>2036</v>
      </c>
      <c r="C40" s="949"/>
      <c r="D40" s="944" t="s">
        <v>2659</v>
      </c>
      <c r="E40" s="938"/>
      <c r="F40" s="938"/>
      <c r="G40" s="938"/>
      <c r="H40" s="938"/>
      <c r="I40" s="940"/>
      <c r="J40" s="949"/>
      <c r="K40" s="946">
        <f>SUM(K39:K39)</f>
        <v>380000</v>
      </c>
      <c r="L40" s="946">
        <f t="shared" ref="L40:M40" si="16">SUM(L39:L39)</f>
        <v>0</v>
      </c>
      <c r="M40" s="946">
        <f t="shared" si="16"/>
        <v>380000</v>
      </c>
      <c r="N40" s="959"/>
    </row>
    <row r="41" spans="1:14" s="943" customFormat="1" ht="20.100000000000001" customHeight="1">
      <c r="A41" s="949">
        <v>15</v>
      </c>
      <c r="B41" s="949" t="s">
        <v>2284</v>
      </c>
      <c r="C41" s="949" t="s">
        <v>2728</v>
      </c>
      <c r="D41" s="938" t="s">
        <v>2288</v>
      </c>
      <c r="E41" s="992" t="s">
        <v>2730</v>
      </c>
      <c r="F41" s="993" t="s">
        <v>2730</v>
      </c>
      <c r="G41" s="993" t="s">
        <v>2730</v>
      </c>
      <c r="H41" s="948" t="s">
        <v>2289</v>
      </c>
      <c r="I41" s="991">
        <v>3249000</v>
      </c>
      <c r="J41" s="968">
        <v>1</v>
      </c>
      <c r="K41" s="991">
        <f>I41*J41</f>
        <v>3249000</v>
      </c>
      <c r="L41" s="941"/>
      <c r="M41" s="941">
        <f>K41-L41</f>
        <v>3249000</v>
      </c>
      <c r="N41" s="942" t="s">
        <v>2658</v>
      </c>
    </row>
    <row r="42" spans="1:14" s="943" customFormat="1" ht="20.100000000000001" customHeight="1">
      <c r="A42" s="974"/>
      <c r="B42" s="975"/>
      <c r="C42" s="974"/>
      <c r="D42" s="944" t="s">
        <v>2659</v>
      </c>
      <c r="E42" s="988"/>
      <c r="F42" s="988"/>
      <c r="G42" s="989"/>
      <c r="H42" s="989"/>
      <c r="I42" s="980"/>
      <c r="J42" s="974"/>
      <c r="K42" s="980">
        <f>SUM(K41:K41)</f>
        <v>3249000</v>
      </c>
      <c r="L42" s="980">
        <f t="shared" ref="L42:M42" si="17">SUM(L41:L41)</f>
        <v>0</v>
      </c>
      <c r="M42" s="980">
        <f t="shared" si="17"/>
        <v>3249000</v>
      </c>
      <c r="N42" s="990"/>
    </row>
    <row r="43" spans="1:14" s="943" customFormat="1" ht="20.100000000000001" customHeight="1">
      <c r="A43" s="941"/>
      <c r="B43" s="941"/>
      <c r="C43" s="941"/>
      <c r="D43" s="958" t="s">
        <v>2731</v>
      </c>
      <c r="E43" s="993"/>
      <c r="F43" s="993"/>
      <c r="G43" s="993"/>
      <c r="H43" s="993"/>
      <c r="I43" s="994"/>
      <c r="J43" s="941"/>
      <c r="K43" s="946">
        <f>SUM(K42,K40,K38,K36,K34,K32,K30,K26,K24,K20,K13,K11,K9,K7,K4)</f>
        <v>9649644</v>
      </c>
      <c r="L43" s="946">
        <f t="shared" ref="L43:M43" si="18">SUM(L42,L40,L38,L36,L34,L32,L30,L26,L24,L20,L13,L11,L9,L7,L4)</f>
        <v>5240000</v>
      </c>
      <c r="M43" s="946">
        <f t="shared" si="18"/>
        <v>4409644</v>
      </c>
      <c r="N43" s="959"/>
    </row>
    <row r="45" spans="1:14" ht="18.75">
      <c r="A45" s="1503" t="s">
        <v>2290</v>
      </c>
      <c r="B45" s="1503"/>
      <c r="C45" s="1503"/>
      <c r="D45" s="1503"/>
      <c r="E45" s="1503"/>
      <c r="F45" s="1503"/>
      <c r="G45" s="1503"/>
      <c r="H45" s="1503"/>
    </row>
    <row r="46" spans="1:14">
      <c r="A46" s="1504" t="s">
        <v>1878</v>
      </c>
      <c r="B46" s="1504" t="s">
        <v>1885</v>
      </c>
      <c r="C46" s="1504" t="s">
        <v>1886</v>
      </c>
      <c r="D46" s="1504" t="s">
        <v>1887</v>
      </c>
      <c r="E46" s="1504" t="s">
        <v>1888</v>
      </c>
      <c r="F46" s="1517" t="s">
        <v>2291</v>
      </c>
      <c r="G46" s="1509"/>
      <c r="H46" s="1514" t="s">
        <v>1889</v>
      </c>
    </row>
    <row r="47" spans="1:14">
      <c r="A47" s="1511"/>
      <c r="B47" s="1511"/>
      <c r="C47" s="1511"/>
      <c r="D47" s="1505"/>
      <c r="E47" s="1505"/>
      <c r="F47" s="913" t="s">
        <v>2292</v>
      </c>
      <c r="G47" s="913" t="s">
        <v>2293</v>
      </c>
      <c r="H47" s="1515"/>
    </row>
    <row r="48" spans="1:14" ht="48">
      <c r="A48" s="853" t="s">
        <v>1890</v>
      </c>
      <c r="B48" s="854" t="s">
        <v>2294</v>
      </c>
      <c r="C48" s="855"/>
      <c r="D48" s="856"/>
      <c r="E48" s="914"/>
      <c r="F48" s="913"/>
      <c r="G48" s="915"/>
      <c r="H48" s="916"/>
    </row>
    <row r="49" spans="1:8" ht="84">
      <c r="A49" s="857">
        <v>1</v>
      </c>
      <c r="B49" s="669" t="s">
        <v>2295</v>
      </c>
      <c r="C49" s="857" t="s">
        <v>1893</v>
      </c>
      <c r="D49" s="854"/>
      <c r="E49" s="917">
        <v>250000</v>
      </c>
      <c r="F49" s="857">
        <v>1</v>
      </c>
      <c r="G49" s="917">
        <f>E49*F49</f>
        <v>250000</v>
      </c>
      <c r="H49" s="880" t="s">
        <v>2296</v>
      </c>
    </row>
    <row r="50" spans="1:8" ht="84">
      <c r="A50" s="857">
        <v>2</v>
      </c>
      <c r="B50" s="669" t="s">
        <v>2297</v>
      </c>
      <c r="C50" s="857" t="s">
        <v>1893</v>
      </c>
      <c r="D50" s="669"/>
      <c r="E50" s="917">
        <v>100000</v>
      </c>
      <c r="F50" s="857">
        <v>1</v>
      </c>
      <c r="G50" s="917">
        <f t="shared" ref="G50:G52" si="19">E50*F50</f>
        <v>100000</v>
      </c>
      <c r="H50" s="880" t="s">
        <v>2296</v>
      </c>
    </row>
    <row r="51" spans="1:8" ht="84">
      <c r="A51" s="859">
        <v>3</v>
      </c>
      <c r="B51" s="669" t="s">
        <v>2298</v>
      </c>
      <c r="C51" s="857" t="s">
        <v>1893</v>
      </c>
      <c r="D51" s="669" t="s">
        <v>2299</v>
      </c>
      <c r="E51" s="917">
        <v>70000</v>
      </c>
      <c r="F51" s="857">
        <v>1</v>
      </c>
      <c r="G51" s="917">
        <f t="shared" si="19"/>
        <v>70000</v>
      </c>
      <c r="H51" s="880" t="s">
        <v>2296</v>
      </c>
    </row>
    <row r="52" spans="1:8" ht="36">
      <c r="A52" s="857">
        <v>4</v>
      </c>
      <c r="B52" s="669" t="s">
        <v>2300</v>
      </c>
      <c r="C52" s="857" t="s">
        <v>1893</v>
      </c>
      <c r="D52" s="857"/>
      <c r="E52" s="917">
        <v>15000</v>
      </c>
      <c r="F52" s="857">
        <v>1</v>
      </c>
      <c r="G52" s="917">
        <f t="shared" si="19"/>
        <v>15000</v>
      </c>
      <c r="H52" s="880" t="s">
        <v>2301</v>
      </c>
    </row>
    <row r="53" spans="1:8">
      <c r="A53" s="857"/>
      <c r="B53" s="913" t="s">
        <v>1900</v>
      </c>
      <c r="C53" s="857"/>
      <c r="D53" s="669"/>
      <c r="E53" s="917"/>
      <c r="F53" s="853"/>
      <c r="G53" s="918">
        <f t="shared" ref="G53" si="20">SUM(G49:G52)</f>
        <v>435000</v>
      </c>
      <c r="H53" s="861"/>
    </row>
    <row r="54" spans="1:8" ht="36">
      <c r="A54" s="862" t="s">
        <v>2302</v>
      </c>
      <c r="B54" s="919" t="s">
        <v>2303</v>
      </c>
      <c r="C54" s="857"/>
      <c r="D54" s="863"/>
      <c r="E54" s="917"/>
      <c r="F54" s="853"/>
      <c r="G54" s="918"/>
      <c r="H54" s="861"/>
    </row>
    <row r="55" spans="1:8" ht="36">
      <c r="A55" s="864" t="s">
        <v>1903</v>
      </c>
      <c r="B55" s="865" t="s">
        <v>2304</v>
      </c>
      <c r="C55" s="853"/>
      <c r="D55" s="866"/>
      <c r="E55" s="918"/>
      <c r="F55" s="853"/>
      <c r="G55" s="918"/>
      <c r="H55" s="851"/>
    </row>
    <row r="56" spans="1:8" ht="60">
      <c r="A56" s="864" t="s">
        <v>1905</v>
      </c>
      <c r="B56" s="865" t="s">
        <v>2305</v>
      </c>
      <c r="C56" s="853"/>
      <c r="D56" s="866"/>
      <c r="E56" s="918"/>
      <c r="F56" s="853"/>
      <c r="G56" s="918"/>
      <c r="H56" s="851"/>
    </row>
    <row r="57" spans="1:8">
      <c r="A57" s="857">
        <v>1</v>
      </c>
      <c r="B57" s="867" t="s">
        <v>1907</v>
      </c>
      <c r="C57" s="857" t="s">
        <v>1908</v>
      </c>
      <c r="D57" s="863"/>
      <c r="E57" s="917">
        <v>80</v>
      </c>
      <c r="F57" s="857">
        <v>4</v>
      </c>
      <c r="G57" s="917">
        <f t="shared" ref="G57:G68" si="21">E57*F57</f>
        <v>320</v>
      </c>
      <c r="H57" s="669"/>
    </row>
    <row r="58" spans="1:8">
      <c r="A58" s="862">
        <v>2</v>
      </c>
      <c r="B58" s="867" t="s">
        <v>1909</v>
      </c>
      <c r="C58" s="857" t="s">
        <v>1910</v>
      </c>
      <c r="D58" s="669" t="s">
        <v>2306</v>
      </c>
      <c r="E58" s="917">
        <v>13000</v>
      </c>
      <c r="F58" s="857">
        <v>4</v>
      </c>
      <c r="G58" s="917">
        <f t="shared" si="21"/>
        <v>52000</v>
      </c>
      <c r="H58" s="669"/>
    </row>
    <row r="59" spans="1:8">
      <c r="A59" s="857">
        <v>3</v>
      </c>
      <c r="B59" s="867" t="s">
        <v>1912</v>
      </c>
      <c r="C59" s="857" t="s">
        <v>1913</v>
      </c>
      <c r="D59" s="868" t="s">
        <v>1914</v>
      </c>
      <c r="E59" s="917">
        <v>320</v>
      </c>
      <c r="F59" s="857">
        <v>4</v>
      </c>
      <c r="G59" s="917">
        <f t="shared" si="21"/>
        <v>1280</v>
      </c>
      <c r="H59" s="669"/>
    </row>
    <row r="60" spans="1:8" ht="24">
      <c r="A60" s="862">
        <v>4</v>
      </c>
      <c r="B60" s="867" t="s">
        <v>2307</v>
      </c>
      <c r="C60" s="857" t="s">
        <v>1916</v>
      </c>
      <c r="D60" s="669" t="s">
        <v>1917</v>
      </c>
      <c r="E60" s="917">
        <v>650</v>
      </c>
      <c r="F60" s="857">
        <v>20</v>
      </c>
      <c r="G60" s="917">
        <f t="shared" si="21"/>
        <v>13000</v>
      </c>
      <c r="H60" s="669"/>
    </row>
    <row r="61" spans="1:8" ht="24">
      <c r="A61" s="857">
        <v>5</v>
      </c>
      <c r="B61" s="920" t="s">
        <v>1918</v>
      </c>
      <c r="C61" s="857" t="s">
        <v>1919</v>
      </c>
      <c r="D61" s="669" t="s">
        <v>2308</v>
      </c>
      <c r="E61" s="917">
        <v>6000</v>
      </c>
      <c r="F61" s="857">
        <v>4</v>
      </c>
      <c r="G61" s="917">
        <f t="shared" si="21"/>
        <v>24000</v>
      </c>
      <c r="H61" s="669"/>
    </row>
    <row r="62" spans="1:8">
      <c r="A62" s="862">
        <v>6</v>
      </c>
      <c r="B62" s="869" t="s">
        <v>1921</v>
      </c>
      <c r="C62" s="870" t="s">
        <v>1922</v>
      </c>
      <c r="D62" s="669" t="s">
        <v>2309</v>
      </c>
      <c r="E62" s="917">
        <v>15000</v>
      </c>
      <c r="F62" s="857">
        <v>4</v>
      </c>
      <c r="G62" s="917">
        <f t="shared" si="21"/>
        <v>60000</v>
      </c>
      <c r="H62" s="669"/>
    </row>
    <row r="63" spans="1:8">
      <c r="A63" s="857">
        <v>7</v>
      </c>
      <c r="B63" s="622" t="s">
        <v>1924</v>
      </c>
      <c r="C63" s="870" t="s">
        <v>1922</v>
      </c>
      <c r="D63" s="860" t="s">
        <v>1925</v>
      </c>
      <c r="E63" s="917">
        <v>500</v>
      </c>
      <c r="F63" s="857">
        <v>4</v>
      </c>
      <c r="G63" s="917">
        <f t="shared" si="21"/>
        <v>2000</v>
      </c>
      <c r="H63" s="669"/>
    </row>
    <row r="64" spans="1:8" ht="24">
      <c r="A64" s="862">
        <v>8</v>
      </c>
      <c r="B64" s="867" t="s">
        <v>2310</v>
      </c>
      <c r="C64" s="870" t="s">
        <v>1916</v>
      </c>
      <c r="D64" s="863" t="s">
        <v>2311</v>
      </c>
      <c r="E64" s="917">
        <v>20000</v>
      </c>
      <c r="F64" s="857">
        <v>4</v>
      </c>
      <c r="G64" s="917">
        <f t="shared" si="21"/>
        <v>80000</v>
      </c>
      <c r="H64" s="669"/>
    </row>
    <row r="65" spans="1:8" ht="36">
      <c r="A65" s="857">
        <v>9</v>
      </c>
      <c r="B65" s="871" t="s">
        <v>2312</v>
      </c>
      <c r="C65" s="857" t="s">
        <v>1922</v>
      </c>
      <c r="D65" s="669"/>
      <c r="E65" s="917">
        <v>2500</v>
      </c>
      <c r="F65" s="857">
        <v>4</v>
      </c>
      <c r="G65" s="917">
        <f t="shared" si="21"/>
        <v>10000</v>
      </c>
      <c r="H65" s="669"/>
    </row>
    <row r="66" spans="1:8" ht="36.75">
      <c r="A66" s="862">
        <v>10</v>
      </c>
      <c r="B66" s="867" t="s">
        <v>2313</v>
      </c>
      <c r="C66" s="857" t="s">
        <v>1922</v>
      </c>
      <c r="D66" s="669" t="s">
        <v>2314</v>
      </c>
      <c r="E66" s="917">
        <v>12000</v>
      </c>
      <c r="F66" s="857">
        <v>4</v>
      </c>
      <c r="G66" s="917">
        <f t="shared" si="21"/>
        <v>48000</v>
      </c>
      <c r="H66" s="669" t="s">
        <v>2315</v>
      </c>
    </row>
    <row r="67" spans="1:8" ht="24">
      <c r="A67" s="857">
        <v>11</v>
      </c>
      <c r="B67" s="669" t="s">
        <v>2316</v>
      </c>
      <c r="C67" s="857" t="s">
        <v>1916</v>
      </c>
      <c r="D67" s="863" t="s">
        <v>2317</v>
      </c>
      <c r="E67" s="917">
        <v>700</v>
      </c>
      <c r="F67" s="857">
        <v>4</v>
      </c>
      <c r="G67" s="917">
        <f t="shared" si="21"/>
        <v>2800</v>
      </c>
      <c r="H67" s="669"/>
    </row>
    <row r="68" spans="1:8" ht="24">
      <c r="A68" s="862">
        <v>12</v>
      </c>
      <c r="B68" s="669" t="s">
        <v>2318</v>
      </c>
      <c r="C68" s="857" t="s">
        <v>1916</v>
      </c>
      <c r="D68" s="669" t="s">
        <v>1917</v>
      </c>
      <c r="E68" s="917">
        <v>650</v>
      </c>
      <c r="F68" s="857">
        <v>20</v>
      </c>
      <c r="G68" s="917">
        <f t="shared" si="21"/>
        <v>13000</v>
      </c>
      <c r="H68" s="669"/>
    </row>
    <row r="69" spans="1:8">
      <c r="A69" s="864"/>
      <c r="B69" s="913" t="s">
        <v>1900</v>
      </c>
      <c r="C69" s="853"/>
      <c r="D69" s="866"/>
      <c r="E69" s="918"/>
      <c r="F69" s="853"/>
      <c r="G69" s="918">
        <f>SUM(G57:G68)</f>
        <v>306400</v>
      </c>
      <c r="H69" s="854"/>
    </row>
    <row r="70" spans="1:8" ht="36">
      <c r="A70" s="864" t="s">
        <v>1931</v>
      </c>
      <c r="B70" s="919" t="s">
        <v>2319</v>
      </c>
      <c r="C70" s="853"/>
      <c r="D70" s="866"/>
      <c r="E70" s="918"/>
      <c r="F70" s="853"/>
      <c r="G70" s="918"/>
      <c r="H70" s="854"/>
    </row>
    <row r="71" spans="1:8">
      <c r="A71" s="857">
        <v>1</v>
      </c>
      <c r="B71" s="867" t="s">
        <v>2320</v>
      </c>
      <c r="C71" s="857" t="s">
        <v>1908</v>
      </c>
      <c r="D71" s="863" t="s">
        <v>2321</v>
      </c>
      <c r="E71" s="917">
        <v>380</v>
      </c>
      <c r="F71" s="857">
        <v>120</v>
      </c>
      <c r="G71" s="917">
        <f>E71*F71</f>
        <v>45600</v>
      </c>
      <c r="H71" s="669"/>
    </row>
    <row r="72" spans="1:8" ht="36.75">
      <c r="A72" s="862">
        <v>2</v>
      </c>
      <c r="B72" s="867" t="s">
        <v>2322</v>
      </c>
      <c r="C72" s="857" t="s">
        <v>1922</v>
      </c>
      <c r="D72" s="669" t="s">
        <v>2323</v>
      </c>
      <c r="E72" s="917">
        <v>7500</v>
      </c>
      <c r="F72" s="857">
        <v>4</v>
      </c>
      <c r="G72" s="917">
        <f>E72*F72</f>
        <v>30000</v>
      </c>
      <c r="H72" s="669" t="s">
        <v>2315</v>
      </c>
    </row>
    <row r="73" spans="1:8">
      <c r="A73" s="864"/>
      <c r="B73" s="913" t="s">
        <v>1900</v>
      </c>
      <c r="C73" s="873"/>
      <c r="D73" s="866"/>
      <c r="E73" s="918"/>
      <c r="F73" s="853"/>
      <c r="G73" s="918">
        <f t="shared" ref="G73" si="22">SUM(G71:G72)</f>
        <v>75600</v>
      </c>
      <c r="H73" s="854"/>
    </row>
    <row r="74" spans="1:8" ht="48">
      <c r="A74" s="864" t="s">
        <v>1934</v>
      </c>
      <c r="B74" s="919" t="s">
        <v>2324</v>
      </c>
      <c r="C74" s="873"/>
      <c r="D74" s="866"/>
      <c r="E74" s="918"/>
      <c r="F74" s="853"/>
      <c r="G74" s="918"/>
      <c r="H74" s="854"/>
    </row>
    <row r="75" spans="1:8" ht="48">
      <c r="A75" s="857">
        <v>1</v>
      </c>
      <c r="B75" s="867" t="s">
        <v>1935</v>
      </c>
      <c r="C75" s="870" t="s">
        <v>1908</v>
      </c>
      <c r="D75" s="863" t="s">
        <v>2325</v>
      </c>
      <c r="E75" s="917">
        <v>2000</v>
      </c>
      <c r="F75" s="857">
        <v>1</v>
      </c>
      <c r="G75" s="917">
        <f>E75*F75</f>
        <v>2000</v>
      </c>
      <c r="H75" s="669" t="s">
        <v>2326</v>
      </c>
    </row>
    <row r="76" spans="1:8">
      <c r="A76" s="864"/>
      <c r="B76" s="913" t="s">
        <v>1900</v>
      </c>
      <c r="C76" s="873"/>
      <c r="D76" s="866"/>
      <c r="E76" s="918"/>
      <c r="F76" s="853"/>
      <c r="G76" s="918">
        <f t="shared" ref="G76" si="23">SUM(G75:G75)</f>
        <v>2000</v>
      </c>
      <c r="H76" s="854"/>
    </row>
    <row r="77" spans="1:8" ht="48">
      <c r="A77" s="864" t="s">
        <v>1937</v>
      </c>
      <c r="B77" s="865" t="s">
        <v>2327</v>
      </c>
      <c r="C77" s="873"/>
      <c r="D77" s="866"/>
      <c r="E77" s="918"/>
      <c r="F77" s="853"/>
      <c r="G77" s="918"/>
      <c r="H77" s="854"/>
    </row>
    <row r="78" spans="1:8" ht="24">
      <c r="A78" s="862">
        <v>1</v>
      </c>
      <c r="B78" s="867" t="s">
        <v>2328</v>
      </c>
      <c r="C78" s="857" t="s">
        <v>1919</v>
      </c>
      <c r="D78" s="863" t="s">
        <v>2329</v>
      </c>
      <c r="E78" s="917">
        <v>2400</v>
      </c>
      <c r="F78" s="857">
        <v>4</v>
      </c>
      <c r="G78" s="917">
        <f>E78*F78</f>
        <v>9600</v>
      </c>
      <c r="H78" s="669"/>
    </row>
    <row r="79" spans="1:8">
      <c r="A79" s="864"/>
      <c r="B79" s="913" t="s">
        <v>1900</v>
      </c>
      <c r="C79" s="853"/>
      <c r="D79" s="866"/>
      <c r="E79" s="918"/>
      <c r="F79" s="853"/>
      <c r="G79" s="918">
        <f t="shared" ref="G79" si="24">SUM(G78:G78)</f>
        <v>9600</v>
      </c>
      <c r="H79" s="851"/>
    </row>
    <row r="80" spans="1:8" ht="60.75">
      <c r="A80" s="864" t="s">
        <v>1939</v>
      </c>
      <c r="B80" s="919" t="s">
        <v>2330</v>
      </c>
      <c r="C80" s="853"/>
      <c r="D80" s="866"/>
      <c r="E80" s="918"/>
      <c r="F80" s="853"/>
      <c r="G80" s="921"/>
      <c r="H80" s="669" t="s">
        <v>1940</v>
      </c>
    </row>
    <row r="81" spans="1:8" ht="24">
      <c r="A81" s="862">
        <v>1</v>
      </c>
      <c r="B81" s="867" t="s">
        <v>1941</v>
      </c>
      <c r="C81" s="857" t="s">
        <v>1922</v>
      </c>
      <c r="D81" s="863"/>
      <c r="E81" s="917">
        <v>1500</v>
      </c>
      <c r="F81" s="857">
        <v>4</v>
      </c>
      <c r="G81" s="922">
        <f>E81*F81</f>
        <v>6000</v>
      </c>
      <c r="H81" s="669" t="s">
        <v>2331</v>
      </c>
    </row>
    <row r="82" spans="1:8">
      <c r="A82" s="862">
        <v>2</v>
      </c>
      <c r="B82" s="867" t="s">
        <v>1943</v>
      </c>
      <c r="C82" s="857" t="s">
        <v>1922</v>
      </c>
      <c r="D82" s="863"/>
      <c r="E82" s="917">
        <v>2000</v>
      </c>
      <c r="F82" s="857">
        <v>2</v>
      </c>
      <c r="G82" s="917">
        <f>E82*F82</f>
        <v>4000</v>
      </c>
      <c r="H82" s="861"/>
    </row>
    <row r="83" spans="1:8" ht="24">
      <c r="A83" s="862">
        <v>3</v>
      </c>
      <c r="B83" s="867" t="s">
        <v>2332</v>
      </c>
      <c r="C83" s="857" t="s">
        <v>1908</v>
      </c>
      <c r="D83" s="863" t="s">
        <v>2333</v>
      </c>
      <c r="E83" s="917">
        <v>2000</v>
      </c>
      <c r="F83" s="857">
        <v>4</v>
      </c>
      <c r="G83" s="917">
        <f>E83*F83</f>
        <v>8000</v>
      </c>
      <c r="H83" s="669" t="s">
        <v>2331</v>
      </c>
    </row>
    <row r="84" spans="1:8" ht="24">
      <c r="A84" s="862">
        <v>4</v>
      </c>
      <c r="B84" s="867" t="s">
        <v>2334</v>
      </c>
      <c r="C84" s="857" t="s">
        <v>1992</v>
      </c>
      <c r="D84" s="863"/>
      <c r="E84" s="917">
        <v>1200</v>
      </c>
      <c r="F84" s="857">
        <v>2</v>
      </c>
      <c r="G84" s="917">
        <f>E84*F84</f>
        <v>2400</v>
      </c>
      <c r="H84" s="867" t="s">
        <v>2335</v>
      </c>
    </row>
    <row r="85" spans="1:8" ht="84.75">
      <c r="A85" s="862">
        <v>5</v>
      </c>
      <c r="B85" s="867" t="s">
        <v>2336</v>
      </c>
      <c r="C85" s="857" t="s">
        <v>1922</v>
      </c>
      <c r="D85" s="628" t="s">
        <v>1946</v>
      </c>
      <c r="E85" s="917">
        <v>12000</v>
      </c>
      <c r="F85" s="857">
        <v>2</v>
      </c>
      <c r="G85" s="917">
        <f>E85*F85</f>
        <v>24000</v>
      </c>
      <c r="H85" s="867" t="s">
        <v>2337</v>
      </c>
    </row>
    <row r="86" spans="1:8">
      <c r="A86" s="864"/>
      <c r="B86" s="913" t="s">
        <v>1900</v>
      </c>
      <c r="C86" s="853"/>
      <c r="D86" s="866"/>
      <c r="E86" s="918"/>
      <c r="F86" s="853"/>
      <c r="G86" s="918">
        <f>SUM(G81:G85)</f>
        <v>44400</v>
      </c>
      <c r="H86" s="865"/>
    </row>
    <row r="87" spans="1:8" ht="36">
      <c r="A87" s="853" t="s">
        <v>1948</v>
      </c>
      <c r="B87" s="923" t="s">
        <v>2338</v>
      </c>
      <c r="C87" s="873"/>
      <c r="D87" s="919"/>
      <c r="E87" s="918"/>
      <c r="F87" s="853"/>
      <c r="G87" s="918"/>
      <c r="H87" s="669" t="s">
        <v>2339</v>
      </c>
    </row>
    <row r="88" spans="1:8" ht="36">
      <c r="A88" s="857">
        <v>1</v>
      </c>
      <c r="B88" s="867" t="s">
        <v>2340</v>
      </c>
      <c r="C88" s="857" t="s">
        <v>1893</v>
      </c>
      <c r="D88" s="669" t="s">
        <v>2341</v>
      </c>
      <c r="E88" s="917">
        <v>350000</v>
      </c>
      <c r="F88" s="857">
        <v>1</v>
      </c>
      <c r="G88" s="917">
        <f>E88*F88</f>
        <v>350000</v>
      </c>
      <c r="H88" s="861"/>
    </row>
    <row r="89" spans="1:8" ht="36">
      <c r="A89" s="879">
        <v>2</v>
      </c>
      <c r="B89" s="867" t="s">
        <v>2342</v>
      </c>
      <c r="C89" s="857" t="s">
        <v>1893</v>
      </c>
      <c r="D89" s="863" t="s">
        <v>2343</v>
      </c>
      <c r="E89" s="917">
        <v>20000</v>
      </c>
      <c r="F89" s="857">
        <v>1</v>
      </c>
      <c r="G89" s="917">
        <f t="shared" ref="G89:G92" si="25">E89*F89</f>
        <v>20000</v>
      </c>
      <c r="H89" s="861"/>
    </row>
    <row r="90" spans="1:8">
      <c r="A90" s="879">
        <v>3</v>
      </c>
      <c r="B90" s="924" t="s">
        <v>2344</v>
      </c>
      <c r="C90" s="857" t="s">
        <v>1910</v>
      </c>
      <c r="D90" s="669" t="s">
        <v>2345</v>
      </c>
      <c r="E90" s="917">
        <v>13000</v>
      </c>
      <c r="F90" s="925">
        <v>1</v>
      </c>
      <c r="G90" s="917">
        <f t="shared" si="25"/>
        <v>13000</v>
      </c>
      <c r="H90" s="861"/>
    </row>
    <row r="91" spans="1:8" ht="24">
      <c r="A91" s="879">
        <v>4</v>
      </c>
      <c r="B91" s="924" t="s">
        <v>2346</v>
      </c>
      <c r="C91" s="857" t="s">
        <v>1893</v>
      </c>
      <c r="D91" s="881" t="s">
        <v>2347</v>
      </c>
      <c r="E91" s="922">
        <v>20000</v>
      </c>
      <c r="F91" s="925">
        <v>1</v>
      </c>
      <c r="G91" s="917">
        <f t="shared" si="25"/>
        <v>20000</v>
      </c>
      <c r="H91" s="861"/>
    </row>
    <row r="92" spans="1:8" ht="36.75">
      <c r="A92" s="879">
        <v>5</v>
      </c>
      <c r="B92" s="867" t="s">
        <v>2348</v>
      </c>
      <c r="C92" s="857" t="s">
        <v>1922</v>
      </c>
      <c r="D92" s="863" t="s">
        <v>2314</v>
      </c>
      <c r="E92" s="917">
        <v>12000</v>
      </c>
      <c r="F92" s="857">
        <v>5</v>
      </c>
      <c r="G92" s="917">
        <f t="shared" si="25"/>
        <v>60000</v>
      </c>
      <c r="H92" s="669" t="s">
        <v>2315</v>
      </c>
    </row>
    <row r="93" spans="1:8">
      <c r="A93" s="853"/>
      <c r="B93" s="913" t="s">
        <v>1900</v>
      </c>
      <c r="C93" s="873"/>
      <c r="D93" s="854"/>
      <c r="E93" s="918"/>
      <c r="F93" s="853"/>
      <c r="G93" s="918">
        <f t="shared" ref="G93" si="26">SUM(G88:G92)</f>
        <v>463000</v>
      </c>
      <c r="H93" s="851"/>
    </row>
    <row r="94" spans="1:8" ht="36">
      <c r="A94" s="864" t="s">
        <v>1954</v>
      </c>
      <c r="B94" s="865" t="s">
        <v>1955</v>
      </c>
      <c r="C94" s="853"/>
      <c r="D94" s="866"/>
      <c r="E94" s="918"/>
      <c r="F94" s="853"/>
      <c r="G94" s="918"/>
      <c r="H94" s="851"/>
    </row>
    <row r="95" spans="1:8" ht="132">
      <c r="A95" s="862">
        <v>1</v>
      </c>
      <c r="B95" s="867" t="s">
        <v>2349</v>
      </c>
      <c r="C95" s="857" t="s">
        <v>1916</v>
      </c>
      <c r="D95" s="863" t="s">
        <v>2350</v>
      </c>
      <c r="E95" s="917">
        <v>100000</v>
      </c>
      <c r="F95" s="857">
        <v>4</v>
      </c>
      <c r="G95" s="917">
        <f>E95*F95</f>
        <v>400000</v>
      </c>
      <c r="H95" s="669" t="s">
        <v>2351</v>
      </c>
    </row>
    <row r="96" spans="1:8" ht="48">
      <c r="A96" s="862">
        <v>2</v>
      </c>
      <c r="B96" s="869" t="s">
        <v>1921</v>
      </c>
      <c r="C96" s="870" t="s">
        <v>1922</v>
      </c>
      <c r="D96" s="669" t="s">
        <v>2309</v>
      </c>
      <c r="E96" s="917">
        <v>15000</v>
      </c>
      <c r="F96" s="857">
        <v>3</v>
      </c>
      <c r="G96" s="917">
        <f t="shared" ref="G96:G98" si="27">E96*F96</f>
        <v>45000</v>
      </c>
      <c r="H96" s="669" t="s">
        <v>2352</v>
      </c>
    </row>
    <row r="97" spans="1:8" ht="24.75">
      <c r="A97" s="857">
        <v>3</v>
      </c>
      <c r="B97" s="880" t="s">
        <v>2353</v>
      </c>
      <c r="C97" s="857" t="s">
        <v>1893</v>
      </c>
      <c r="D97" s="881" t="s">
        <v>1959</v>
      </c>
      <c r="E97" s="917">
        <v>1920</v>
      </c>
      <c r="F97" s="857">
        <v>4</v>
      </c>
      <c r="G97" s="917">
        <f t="shared" si="27"/>
        <v>7680</v>
      </c>
      <c r="H97" s="880"/>
    </row>
    <row r="98" spans="1:8" ht="36.75">
      <c r="A98" s="862">
        <v>4</v>
      </c>
      <c r="B98" s="867" t="s">
        <v>2354</v>
      </c>
      <c r="C98" s="857" t="s">
        <v>1922</v>
      </c>
      <c r="D98" s="863" t="s">
        <v>2314</v>
      </c>
      <c r="E98" s="917">
        <v>12000</v>
      </c>
      <c r="F98" s="857">
        <v>4</v>
      </c>
      <c r="G98" s="917">
        <f t="shared" si="27"/>
        <v>48000</v>
      </c>
      <c r="H98" s="669" t="s">
        <v>2315</v>
      </c>
    </row>
    <row r="99" spans="1:8">
      <c r="A99" s="864"/>
      <c r="B99" s="913" t="s">
        <v>1900</v>
      </c>
      <c r="C99" s="853"/>
      <c r="D99" s="866"/>
      <c r="E99" s="918"/>
      <c r="F99" s="853"/>
      <c r="G99" s="918">
        <f>SUM(G95:G98)</f>
        <v>500680</v>
      </c>
      <c r="H99" s="851"/>
    </row>
    <row r="100" spans="1:8" ht="36">
      <c r="A100" s="864" t="s">
        <v>2355</v>
      </c>
      <c r="B100" s="919" t="s">
        <v>2356</v>
      </c>
      <c r="C100" s="853"/>
      <c r="D100" s="866"/>
      <c r="E100" s="918"/>
      <c r="F100" s="853"/>
      <c r="G100" s="918"/>
      <c r="H100" s="851"/>
    </row>
    <row r="101" spans="1:8" ht="36">
      <c r="A101" s="864" t="s">
        <v>1903</v>
      </c>
      <c r="B101" s="882" t="s">
        <v>2357</v>
      </c>
      <c r="C101" s="853"/>
      <c r="D101" s="866"/>
      <c r="E101" s="918"/>
      <c r="F101" s="853"/>
      <c r="G101" s="918"/>
      <c r="H101" s="851"/>
    </row>
    <row r="102" spans="1:8" ht="36">
      <c r="A102" s="853" t="s">
        <v>1905</v>
      </c>
      <c r="B102" s="882" t="s">
        <v>2358</v>
      </c>
      <c r="C102" s="853"/>
      <c r="D102" s="854"/>
      <c r="E102" s="918"/>
      <c r="F102" s="853"/>
      <c r="G102" s="918"/>
      <c r="H102" s="851"/>
    </row>
    <row r="103" spans="1:8" ht="24">
      <c r="A103" s="879">
        <v>1</v>
      </c>
      <c r="B103" s="871" t="s">
        <v>1962</v>
      </c>
      <c r="C103" s="857" t="s">
        <v>1916</v>
      </c>
      <c r="D103" s="883"/>
      <c r="E103" s="917">
        <v>2500</v>
      </c>
      <c r="F103" s="857">
        <v>1</v>
      </c>
      <c r="G103" s="917">
        <f>E103*F103</f>
        <v>2500</v>
      </c>
      <c r="H103" s="669"/>
    </row>
    <row r="104" spans="1:8" ht="24">
      <c r="A104" s="879">
        <v>2</v>
      </c>
      <c r="B104" s="871" t="s">
        <v>2359</v>
      </c>
      <c r="C104" s="857" t="s">
        <v>1908</v>
      </c>
      <c r="D104" s="883"/>
      <c r="E104" s="917">
        <v>1500</v>
      </c>
      <c r="F104" s="857">
        <v>1</v>
      </c>
      <c r="G104" s="917">
        <f t="shared" ref="G104:G107" si="28">E104*F104</f>
        <v>1500</v>
      </c>
      <c r="H104" s="669"/>
    </row>
    <row r="105" spans="1:8">
      <c r="A105" s="879">
        <v>3</v>
      </c>
      <c r="B105" s="867" t="s">
        <v>1963</v>
      </c>
      <c r="C105" s="857" t="s">
        <v>1916</v>
      </c>
      <c r="D105" s="863" t="s">
        <v>2360</v>
      </c>
      <c r="E105" s="917">
        <v>2000</v>
      </c>
      <c r="F105" s="857">
        <v>1</v>
      </c>
      <c r="G105" s="917">
        <f t="shared" si="28"/>
        <v>2000</v>
      </c>
      <c r="H105" s="669"/>
    </row>
    <row r="106" spans="1:8" ht="24">
      <c r="A106" s="879">
        <v>4</v>
      </c>
      <c r="B106" s="871" t="s">
        <v>2361</v>
      </c>
      <c r="C106" s="857" t="s">
        <v>1965</v>
      </c>
      <c r="D106" s="863" t="s">
        <v>1967</v>
      </c>
      <c r="E106" s="917">
        <v>5000</v>
      </c>
      <c r="F106" s="857">
        <v>1</v>
      </c>
      <c r="G106" s="917">
        <f t="shared" si="28"/>
        <v>5000</v>
      </c>
      <c r="H106" s="669"/>
    </row>
    <row r="107" spans="1:8" ht="24">
      <c r="A107" s="879">
        <v>5</v>
      </c>
      <c r="B107" s="867" t="s">
        <v>2362</v>
      </c>
      <c r="C107" s="857" t="s">
        <v>1922</v>
      </c>
      <c r="D107" s="863"/>
      <c r="E107" s="917">
        <v>3000</v>
      </c>
      <c r="F107" s="857">
        <v>1</v>
      </c>
      <c r="G107" s="917">
        <f t="shared" si="28"/>
        <v>3000</v>
      </c>
      <c r="H107" s="669"/>
    </row>
    <row r="108" spans="1:8">
      <c r="A108" s="884"/>
      <c r="B108" s="913" t="s">
        <v>1900</v>
      </c>
      <c r="C108" s="853"/>
      <c r="D108" s="905"/>
      <c r="E108" s="918"/>
      <c r="F108" s="853"/>
      <c r="G108" s="918">
        <f t="shared" ref="G108" si="29">SUM(G103:G107)</f>
        <v>14000</v>
      </c>
      <c r="H108" s="854"/>
    </row>
    <row r="109" spans="1:8" ht="36">
      <c r="A109" s="884" t="s">
        <v>1931</v>
      </c>
      <c r="B109" s="882" t="s">
        <v>2357</v>
      </c>
      <c r="C109" s="853"/>
      <c r="D109" s="905"/>
      <c r="E109" s="918"/>
      <c r="F109" s="853"/>
      <c r="G109" s="918"/>
      <c r="H109" s="854"/>
    </row>
    <row r="110" spans="1:8" ht="120">
      <c r="A110" s="879">
        <v>1</v>
      </c>
      <c r="B110" s="867" t="s">
        <v>2363</v>
      </c>
      <c r="C110" s="857" t="s">
        <v>1916</v>
      </c>
      <c r="D110" s="883" t="s">
        <v>1966</v>
      </c>
      <c r="E110" s="917">
        <v>1600</v>
      </c>
      <c r="F110" s="857">
        <v>14</v>
      </c>
      <c r="G110" s="917">
        <f t="shared" ref="G110:G116" si="30">E110*F110</f>
        <v>22400</v>
      </c>
      <c r="H110" s="871" t="s">
        <v>2364</v>
      </c>
    </row>
    <row r="111" spans="1:8" ht="120">
      <c r="A111" s="879">
        <v>2</v>
      </c>
      <c r="B111" s="867" t="s">
        <v>2365</v>
      </c>
      <c r="C111" s="857" t="s">
        <v>1908</v>
      </c>
      <c r="D111" s="863"/>
      <c r="E111" s="917">
        <v>700</v>
      </c>
      <c r="F111" s="857">
        <v>13</v>
      </c>
      <c r="G111" s="917">
        <f t="shared" si="30"/>
        <v>9100</v>
      </c>
      <c r="H111" s="871" t="s">
        <v>2364</v>
      </c>
    </row>
    <row r="112" spans="1:8" ht="24">
      <c r="A112" s="879">
        <v>3</v>
      </c>
      <c r="B112" s="867" t="s">
        <v>2366</v>
      </c>
      <c r="C112" s="857" t="s">
        <v>1916</v>
      </c>
      <c r="D112" s="669" t="s">
        <v>2367</v>
      </c>
      <c r="E112" s="917">
        <v>5000</v>
      </c>
      <c r="F112" s="857">
        <v>8</v>
      </c>
      <c r="G112" s="917">
        <f t="shared" si="30"/>
        <v>40000</v>
      </c>
      <c r="H112" s="669"/>
    </row>
    <row r="113" spans="1:8" ht="84">
      <c r="A113" s="879">
        <v>4</v>
      </c>
      <c r="B113" s="867" t="s">
        <v>2368</v>
      </c>
      <c r="C113" s="857" t="s">
        <v>1916</v>
      </c>
      <c r="D113" s="863" t="s">
        <v>1967</v>
      </c>
      <c r="E113" s="917">
        <v>5000</v>
      </c>
      <c r="F113" s="857">
        <v>6</v>
      </c>
      <c r="G113" s="917">
        <f t="shared" si="30"/>
        <v>30000</v>
      </c>
      <c r="H113" s="871" t="s">
        <v>2369</v>
      </c>
    </row>
    <row r="114" spans="1:8" ht="24.75">
      <c r="A114" s="879">
        <v>5</v>
      </c>
      <c r="B114" s="867" t="s">
        <v>2370</v>
      </c>
      <c r="C114" s="857" t="s">
        <v>1922</v>
      </c>
      <c r="D114" s="863" t="s">
        <v>2371</v>
      </c>
      <c r="E114" s="917">
        <v>1200</v>
      </c>
      <c r="F114" s="857">
        <v>3</v>
      </c>
      <c r="G114" s="917">
        <f t="shared" si="30"/>
        <v>3600</v>
      </c>
      <c r="H114" s="669" t="s">
        <v>2372</v>
      </c>
    </row>
    <row r="115" spans="1:8" ht="24">
      <c r="A115" s="879">
        <v>6</v>
      </c>
      <c r="B115" s="867" t="s">
        <v>2373</v>
      </c>
      <c r="C115" s="857" t="s">
        <v>1922</v>
      </c>
      <c r="D115" s="863" t="s">
        <v>2374</v>
      </c>
      <c r="E115" s="917">
        <v>5000</v>
      </c>
      <c r="F115" s="857">
        <v>1</v>
      </c>
      <c r="G115" s="917">
        <f t="shared" si="30"/>
        <v>5000</v>
      </c>
      <c r="H115" s="669"/>
    </row>
    <row r="116" spans="1:8" ht="120">
      <c r="A116" s="879">
        <v>8</v>
      </c>
      <c r="B116" s="867" t="s">
        <v>1968</v>
      </c>
      <c r="C116" s="857" t="s">
        <v>1922</v>
      </c>
      <c r="D116" s="863" t="s">
        <v>1969</v>
      </c>
      <c r="E116" s="917">
        <v>6000</v>
      </c>
      <c r="F116" s="857">
        <v>10</v>
      </c>
      <c r="G116" s="917">
        <f t="shared" si="30"/>
        <v>60000</v>
      </c>
      <c r="H116" s="871" t="s">
        <v>2364</v>
      </c>
    </row>
    <row r="117" spans="1:8">
      <c r="A117" s="884"/>
      <c r="B117" s="913" t="s">
        <v>1900</v>
      </c>
      <c r="C117" s="926"/>
      <c r="D117" s="887"/>
      <c r="E117" s="921"/>
      <c r="F117" s="926"/>
      <c r="G117" s="921">
        <f>SUM(G110:G116)</f>
        <v>170100</v>
      </c>
      <c r="H117" s="919"/>
    </row>
    <row r="118" spans="1:8">
      <c r="A118" s="884" t="s">
        <v>1934</v>
      </c>
      <c r="B118" s="919" t="s">
        <v>2375</v>
      </c>
      <c r="C118" s="926"/>
      <c r="D118" s="887"/>
      <c r="E118" s="921"/>
      <c r="F118" s="926"/>
      <c r="G118" s="921"/>
      <c r="H118" s="919"/>
    </row>
    <row r="119" spans="1:8" ht="36">
      <c r="A119" s="879">
        <v>1</v>
      </c>
      <c r="B119" s="889" t="s">
        <v>2376</v>
      </c>
      <c r="C119" s="925" t="s">
        <v>1922</v>
      </c>
      <c r="D119" s="881" t="s">
        <v>2377</v>
      </c>
      <c r="E119" s="917">
        <v>5000</v>
      </c>
      <c r="F119" s="857">
        <v>1</v>
      </c>
      <c r="G119" s="917">
        <f t="shared" ref="G119:G122" si="31">E119*F119</f>
        <v>5000</v>
      </c>
      <c r="H119" s="920"/>
    </row>
    <row r="120" spans="1:8" ht="36">
      <c r="A120" s="879">
        <v>2</v>
      </c>
      <c r="B120" s="889" t="s">
        <v>1970</v>
      </c>
      <c r="C120" s="925" t="s">
        <v>1922</v>
      </c>
      <c r="D120" s="881" t="s">
        <v>2377</v>
      </c>
      <c r="E120" s="922">
        <v>1500</v>
      </c>
      <c r="F120" s="925">
        <v>1</v>
      </c>
      <c r="G120" s="922">
        <f t="shared" si="31"/>
        <v>1500</v>
      </c>
      <c r="H120" s="920"/>
    </row>
    <row r="121" spans="1:8">
      <c r="A121" s="879">
        <v>3</v>
      </c>
      <c r="B121" s="871" t="s">
        <v>1971</v>
      </c>
      <c r="C121" s="925" t="s">
        <v>1922</v>
      </c>
      <c r="D121" s="881" t="s">
        <v>2377</v>
      </c>
      <c r="E121" s="922">
        <v>3000</v>
      </c>
      <c r="F121" s="925">
        <v>1</v>
      </c>
      <c r="G121" s="922">
        <f t="shared" si="31"/>
        <v>3000</v>
      </c>
      <c r="H121" s="920"/>
    </row>
    <row r="122" spans="1:8">
      <c r="A122" s="879">
        <v>4</v>
      </c>
      <c r="B122" s="867" t="s">
        <v>2378</v>
      </c>
      <c r="C122" s="857" t="s">
        <v>1908</v>
      </c>
      <c r="D122" s="863"/>
      <c r="E122" s="917">
        <v>2000</v>
      </c>
      <c r="F122" s="857">
        <v>1</v>
      </c>
      <c r="G122" s="922">
        <f t="shared" si="31"/>
        <v>2000</v>
      </c>
      <c r="H122" s="920"/>
    </row>
    <row r="123" spans="1:8">
      <c r="A123" s="884"/>
      <c r="B123" s="913" t="s">
        <v>1900</v>
      </c>
      <c r="C123" s="853"/>
      <c r="D123" s="887"/>
      <c r="E123" s="918"/>
      <c r="F123" s="926"/>
      <c r="G123" s="921">
        <f>SUM(G119:G122)</f>
        <v>11500</v>
      </c>
      <c r="H123" s="919"/>
    </row>
    <row r="124" spans="1:8">
      <c r="A124" s="884" t="s">
        <v>1937</v>
      </c>
      <c r="B124" s="865" t="s">
        <v>2379</v>
      </c>
      <c r="C124" s="853"/>
      <c r="D124" s="887"/>
      <c r="E124" s="918"/>
      <c r="F124" s="926"/>
      <c r="G124" s="921"/>
      <c r="H124" s="919"/>
    </row>
    <row r="125" spans="1:8">
      <c r="A125" s="879">
        <v>1</v>
      </c>
      <c r="B125" s="867" t="s">
        <v>1972</v>
      </c>
      <c r="C125" s="857" t="s">
        <v>1908</v>
      </c>
      <c r="D125" s="881"/>
      <c r="E125" s="917">
        <v>700</v>
      </c>
      <c r="F125" s="925">
        <v>3</v>
      </c>
      <c r="G125" s="917">
        <f>E125*F125</f>
        <v>2100</v>
      </c>
      <c r="H125" s="920"/>
    </row>
    <row r="126" spans="1:8">
      <c r="A126" s="879">
        <v>2</v>
      </c>
      <c r="B126" s="867" t="s">
        <v>1973</v>
      </c>
      <c r="C126" s="857" t="s">
        <v>1908</v>
      </c>
      <c r="D126" s="863"/>
      <c r="E126" s="917">
        <v>700</v>
      </c>
      <c r="F126" s="857">
        <v>4</v>
      </c>
      <c r="G126" s="917">
        <f>E126*F126</f>
        <v>2800</v>
      </c>
      <c r="H126" s="920"/>
    </row>
    <row r="127" spans="1:8">
      <c r="A127" s="879">
        <v>3</v>
      </c>
      <c r="B127" s="867" t="s">
        <v>2380</v>
      </c>
      <c r="C127" s="857" t="s">
        <v>1922</v>
      </c>
      <c r="D127" s="863"/>
      <c r="E127" s="917">
        <v>2000</v>
      </c>
      <c r="F127" s="857">
        <v>1</v>
      </c>
      <c r="G127" s="917">
        <f>E127*F127</f>
        <v>2000</v>
      </c>
      <c r="H127" s="920"/>
    </row>
    <row r="128" spans="1:8">
      <c r="A128" s="879">
        <v>4</v>
      </c>
      <c r="B128" s="867" t="s">
        <v>2381</v>
      </c>
      <c r="C128" s="857" t="s">
        <v>1922</v>
      </c>
      <c r="D128" s="863"/>
      <c r="E128" s="917">
        <v>1000</v>
      </c>
      <c r="F128" s="857">
        <v>1</v>
      </c>
      <c r="G128" s="917">
        <f>E128*F128</f>
        <v>1000</v>
      </c>
      <c r="H128" s="920"/>
    </row>
    <row r="129" spans="1:8" ht="24">
      <c r="A129" s="879">
        <v>5</v>
      </c>
      <c r="B129" s="867" t="s">
        <v>2382</v>
      </c>
      <c r="C129" s="857" t="s">
        <v>1916</v>
      </c>
      <c r="D129" s="881" t="s">
        <v>2383</v>
      </c>
      <c r="E129" s="917">
        <v>1000</v>
      </c>
      <c r="F129" s="857">
        <v>1</v>
      </c>
      <c r="G129" s="917">
        <f>E129*F129</f>
        <v>1000</v>
      </c>
      <c r="H129" s="920"/>
    </row>
    <row r="130" spans="1:8">
      <c r="A130" s="884"/>
      <c r="B130" s="913" t="s">
        <v>1900</v>
      </c>
      <c r="C130" s="853"/>
      <c r="D130" s="866"/>
      <c r="E130" s="918"/>
      <c r="F130" s="853"/>
      <c r="G130" s="918">
        <f t="shared" ref="G130" si="32">SUM(G125:G129)</f>
        <v>8900</v>
      </c>
      <c r="H130" s="919"/>
    </row>
    <row r="131" spans="1:8" ht="48">
      <c r="A131" s="884" t="s">
        <v>1939</v>
      </c>
      <c r="B131" s="865" t="s">
        <v>2384</v>
      </c>
      <c r="C131" s="853"/>
      <c r="D131" s="866"/>
      <c r="E131" s="918"/>
      <c r="F131" s="853"/>
      <c r="G131" s="918"/>
      <c r="H131" s="919"/>
    </row>
    <row r="132" spans="1:8" ht="24">
      <c r="A132" s="879">
        <v>1</v>
      </c>
      <c r="B132" s="867" t="s">
        <v>2362</v>
      </c>
      <c r="C132" s="857" t="s">
        <v>1922</v>
      </c>
      <c r="D132" s="863"/>
      <c r="E132" s="917">
        <v>3000</v>
      </c>
      <c r="F132" s="857">
        <v>1</v>
      </c>
      <c r="G132" s="917">
        <f>E132*F132</f>
        <v>3000</v>
      </c>
      <c r="H132" s="669"/>
    </row>
    <row r="133" spans="1:8">
      <c r="A133" s="879">
        <v>2</v>
      </c>
      <c r="B133" s="867" t="s">
        <v>2385</v>
      </c>
      <c r="C133" s="857" t="s">
        <v>1922</v>
      </c>
      <c r="D133" s="863"/>
      <c r="E133" s="917">
        <v>15000</v>
      </c>
      <c r="F133" s="857">
        <v>1</v>
      </c>
      <c r="G133" s="917">
        <f>E133*F133</f>
        <v>15000</v>
      </c>
      <c r="H133" s="669"/>
    </row>
    <row r="134" spans="1:8" ht="24">
      <c r="A134" s="879">
        <v>3</v>
      </c>
      <c r="B134" s="867" t="s">
        <v>2386</v>
      </c>
      <c r="C134" s="857" t="s">
        <v>1922</v>
      </c>
      <c r="D134" s="863"/>
      <c r="E134" s="927">
        <v>25000</v>
      </c>
      <c r="F134" s="857">
        <v>1</v>
      </c>
      <c r="G134" s="917">
        <f>E134*F134</f>
        <v>25000</v>
      </c>
      <c r="H134" s="669"/>
    </row>
    <row r="135" spans="1:8" ht="24">
      <c r="A135" s="879">
        <v>4</v>
      </c>
      <c r="B135" s="871" t="s">
        <v>1974</v>
      </c>
      <c r="C135" s="857" t="s">
        <v>1922</v>
      </c>
      <c r="D135" s="863" t="s">
        <v>1975</v>
      </c>
      <c r="E135" s="917">
        <v>20000</v>
      </c>
      <c r="F135" s="857">
        <v>1</v>
      </c>
      <c r="G135" s="917">
        <f>E135*F135</f>
        <v>20000</v>
      </c>
      <c r="H135" s="669"/>
    </row>
    <row r="136" spans="1:8" ht="24">
      <c r="A136" s="879">
        <v>5</v>
      </c>
      <c r="B136" s="871" t="s">
        <v>2387</v>
      </c>
      <c r="C136" s="857" t="s">
        <v>1922</v>
      </c>
      <c r="D136" s="928"/>
      <c r="E136" s="917">
        <v>25000</v>
      </c>
      <c r="F136" s="857">
        <v>1</v>
      </c>
      <c r="G136" s="917">
        <f>E136*F136</f>
        <v>25000</v>
      </c>
      <c r="H136" s="669"/>
    </row>
    <row r="137" spans="1:8">
      <c r="A137" s="884"/>
      <c r="B137" s="913" t="s">
        <v>1900</v>
      </c>
      <c r="C137" s="853"/>
      <c r="D137" s="866"/>
      <c r="E137" s="918"/>
      <c r="F137" s="853"/>
      <c r="G137" s="918">
        <f>SUM(G132:G136)</f>
        <v>88000</v>
      </c>
      <c r="H137" s="851"/>
    </row>
    <row r="138" spans="1:8" ht="24">
      <c r="A138" s="884" t="s">
        <v>1948</v>
      </c>
      <c r="B138" s="865" t="s">
        <v>2388</v>
      </c>
      <c r="C138" s="853"/>
      <c r="D138" s="866"/>
      <c r="E138" s="918"/>
      <c r="F138" s="853"/>
      <c r="G138" s="918"/>
      <c r="H138" s="851"/>
    </row>
    <row r="139" spans="1:8">
      <c r="A139" s="879">
        <v>1</v>
      </c>
      <c r="B139" s="867" t="s">
        <v>1976</v>
      </c>
      <c r="C139" s="857" t="s">
        <v>1908</v>
      </c>
      <c r="D139" s="863"/>
      <c r="E139" s="917">
        <v>6000</v>
      </c>
      <c r="F139" s="857">
        <v>1</v>
      </c>
      <c r="G139" s="917">
        <f>E139*F139</f>
        <v>6000</v>
      </c>
      <c r="H139" s="861"/>
    </row>
    <row r="140" spans="1:8">
      <c r="A140" s="879">
        <v>2</v>
      </c>
      <c r="B140" s="867" t="s">
        <v>1977</v>
      </c>
      <c r="C140" s="857" t="s">
        <v>1908</v>
      </c>
      <c r="D140" s="863"/>
      <c r="E140" s="917">
        <v>380</v>
      </c>
      <c r="F140" s="857">
        <v>20</v>
      </c>
      <c r="G140" s="917">
        <f>E140*F140</f>
        <v>7600</v>
      </c>
      <c r="H140" s="861"/>
    </row>
    <row r="141" spans="1:8">
      <c r="A141" s="879">
        <v>3</v>
      </c>
      <c r="B141" s="869" t="s">
        <v>1978</v>
      </c>
      <c r="C141" s="870" t="s">
        <v>1922</v>
      </c>
      <c r="D141" s="669" t="s">
        <v>2389</v>
      </c>
      <c r="E141" s="917">
        <v>22000</v>
      </c>
      <c r="F141" s="857">
        <v>1</v>
      </c>
      <c r="G141" s="917">
        <f>E141*F141</f>
        <v>22000</v>
      </c>
      <c r="H141" s="861"/>
    </row>
    <row r="142" spans="1:8" ht="36.75">
      <c r="A142" s="879">
        <v>4</v>
      </c>
      <c r="B142" s="867" t="s">
        <v>1968</v>
      </c>
      <c r="C142" s="857" t="s">
        <v>1922</v>
      </c>
      <c r="D142" s="863" t="s">
        <v>2314</v>
      </c>
      <c r="E142" s="917">
        <v>12000</v>
      </c>
      <c r="F142" s="857">
        <v>1</v>
      </c>
      <c r="G142" s="917">
        <f>E142*F142</f>
        <v>12000</v>
      </c>
      <c r="H142" s="669" t="s">
        <v>2315</v>
      </c>
    </row>
    <row r="143" spans="1:8">
      <c r="A143" s="891"/>
      <c r="B143" s="913" t="s">
        <v>1900</v>
      </c>
      <c r="C143" s="926"/>
      <c r="D143" s="887"/>
      <c r="E143" s="918"/>
      <c r="F143" s="853"/>
      <c r="G143" s="918">
        <f>SUM(G139:G142)</f>
        <v>47600</v>
      </c>
      <c r="H143" s="913"/>
    </row>
    <row r="144" spans="1:8" ht="36">
      <c r="A144" s="891" t="s">
        <v>1954</v>
      </c>
      <c r="B144" s="919" t="s">
        <v>2390</v>
      </c>
      <c r="C144" s="892"/>
      <c r="D144" s="887"/>
      <c r="E144" s="918"/>
      <c r="F144" s="853"/>
      <c r="G144" s="918"/>
      <c r="H144" s="913"/>
    </row>
    <row r="145" spans="1:8" ht="24">
      <c r="A145" s="857">
        <v>1</v>
      </c>
      <c r="B145" s="867" t="s">
        <v>2391</v>
      </c>
      <c r="C145" s="893" t="s">
        <v>1916</v>
      </c>
      <c r="D145" s="881" t="s">
        <v>2392</v>
      </c>
      <c r="E145" s="917">
        <v>1800</v>
      </c>
      <c r="F145" s="857">
        <v>2</v>
      </c>
      <c r="G145" s="917">
        <f>E145*F145</f>
        <v>3600</v>
      </c>
      <c r="H145" s="929"/>
    </row>
    <row r="146" spans="1:8">
      <c r="A146" s="857">
        <v>3</v>
      </c>
      <c r="B146" s="867" t="s">
        <v>1980</v>
      </c>
      <c r="C146" s="893" t="s">
        <v>2393</v>
      </c>
      <c r="D146" s="881"/>
      <c r="E146" s="917">
        <v>1000</v>
      </c>
      <c r="F146" s="857">
        <v>3</v>
      </c>
      <c r="G146" s="917">
        <f>E146*F146</f>
        <v>3000</v>
      </c>
      <c r="H146" s="929"/>
    </row>
    <row r="147" spans="1:8" ht="36">
      <c r="A147" s="857">
        <v>4</v>
      </c>
      <c r="B147" s="867" t="s">
        <v>2394</v>
      </c>
      <c r="C147" s="857" t="s">
        <v>1893</v>
      </c>
      <c r="D147" s="669"/>
      <c r="E147" s="917">
        <v>10000</v>
      </c>
      <c r="F147" s="857">
        <v>1</v>
      </c>
      <c r="G147" s="917">
        <f>E147*F147</f>
        <v>10000</v>
      </c>
      <c r="H147" s="669"/>
    </row>
    <row r="148" spans="1:8" ht="36.75">
      <c r="A148" s="857">
        <v>5</v>
      </c>
      <c r="B148" s="867" t="s">
        <v>1979</v>
      </c>
      <c r="C148" s="893" t="s">
        <v>1922</v>
      </c>
      <c r="D148" s="881" t="s">
        <v>2323</v>
      </c>
      <c r="E148" s="917">
        <v>7500</v>
      </c>
      <c r="F148" s="857">
        <v>1</v>
      </c>
      <c r="G148" s="917">
        <f>E148*F148</f>
        <v>7500</v>
      </c>
      <c r="H148" s="669" t="s">
        <v>2315</v>
      </c>
    </row>
    <row r="149" spans="1:8">
      <c r="A149" s="891"/>
      <c r="B149" s="913" t="s">
        <v>1900</v>
      </c>
      <c r="C149" s="892"/>
      <c r="D149" s="887"/>
      <c r="E149" s="918"/>
      <c r="F149" s="853"/>
      <c r="G149" s="918">
        <f t="shared" ref="G149" si="33">SUM(G145:G148)</f>
        <v>24100</v>
      </c>
      <c r="H149" s="913"/>
    </row>
    <row r="150" spans="1:8" ht="36">
      <c r="A150" s="891" t="s">
        <v>1981</v>
      </c>
      <c r="B150" s="895" t="s">
        <v>2395</v>
      </c>
      <c r="C150" s="892"/>
      <c r="D150" s="887"/>
      <c r="E150" s="918"/>
      <c r="F150" s="853"/>
      <c r="G150" s="918"/>
      <c r="H150" s="913"/>
    </row>
    <row r="151" spans="1:8" ht="48">
      <c r="A151" s="896">
        <v>1</v>
      </c>
      <c r="B151" s="880" t="s">
        <v>2396</v>
      </c>
      <c r="C151" s="893" t="s">
        <v>1919</v>
      </c>
      <c r="D151" s="881" t="s">
        <v>1984</v>
      </c>
      <c r="E151" s="917">
        <v>7500</v>
      </c>
      <c r="F151" s="857">
        <v>1</v>
      </c>
      <c r="G151" s="917">
        <f>E151*F151</f>
        <v>7500</v>
      </c>
      <c r="H151" s="897" t="s">
        <v>1985</v>
      </c>
    </row>
    <row r="152" spans="1:8">
      <c r="A152" s="891"/>
      <c r="B152" s="913" t="s">
        <v>1900</v>
      </c>
      <c r="C152" s="892"/>
      <c r="D152" s="887"/>
      <c r="E152" s="918"/>
      <c r="F152" s="853"/>
      <c r="G152" s="918">
        <f t="shared" ref="G152" si="34">SUM(G151:G151)</f>
        <v>7500</v>
      </c>
      <c r="H152" s="913"/>
    </row>
    <row r="153" spans="1:8" ht="24">
      <c r="A153" s="853" t="s">
        <v>1986</v>
      </c>
      <c r="B153" s="895" t="s">
        <v>2397</v>
      </c>
      <c r="C153" s="892"/>
      <c r="D153" s="887"/>
      <c r="E153" s="918"/>
      <c r="F153" s="853"/>
      <c r="G153" s="918"/>
      <c r="H153" s="913"/>
    </row>
    <row r="154" spans="1:8" ht="24">
      <c r="A154" s="857">
        <v>1</v>
      </c>
      <c r="B154" s="867" t="s">
        <v>2398</v>
      </c>
      <c r="C154" s="857" t="s">
        <v>2393</v>
      </c>
      <c r="D154" s="863" t="s">
        <v>2399</v>
      </c>
      <c r="E154" s="917">
        <v>1500</v>
      </c>
      <c r="F154" s="857">
        <v>3</v>
      </c>
      <c r="G154" s="917">
        <f>E154*F154</f>
        <v>4500</v>
      </c>
      <c r="H154" s="669" t="s">
        <v>2400</v>
      </c>
    </row>
    <row r="155" spans="1:8" ht="24">
      <c r="A155" s="857">
        <v>2</v>
      </c>
      <c r="B155" s="867" t="s">
        <v>2401</v>
      </c>
      <c r="C155" s="857" t="s">
        <v>2393</v>
      </c>
      <c r="D155" s="863" t="s">
        <v>2399</v>
      </c>
      <c r="E155" s="917">
        <v>1000</v>
      </c>
      <c r="F155" s="857">
        <v>3</v>
      </c>
      <c r="G155" s="917">
        <f>E155*F155</f>
        <v>3000</v>
      </c>
      <c r="H155" s="669" t="s">
        <v>2400</v>
      </c>
    </row>
    <row r="156" spans="1:8">
      <c r="A156" s="891"/>
      <c r="B156" s="913" t="s">
        <v>1900</v>
      </c>
      <c r="C156" s="892"/>
      <c r="D156" s="887"/>
      <c r="E156" s="918"/>
      <c r="F156" s="853"/>
      <c r="G156" s="918">
        <f t="shared" ref="G156" si="35">SUM(G154:G155)</f>
        <v>7500</v>
      </c>
      <c r="H156" s="913"/>
    </row>
    <row r="157" spans="1:8" ht="24">
      <c r="A157" s="891" t="s">
        <v>1988</v>
      </c>
      <c r="B157" s="895" t="s">
        <v>2402</v>
      </c>
      <c r="C157" s="892"/>
      <c r="D157" s="887"/>
      <c r="E157" s="918"/>
      <c r="F157" s="853"/>
      <c r="G157" s="918"/>
      <c r="H157" s="913"/>
    </row>
    <row r="158" spans="1:8" ht="24">
      <c r="A158" s="896">
        <v>1</v>
      </c>
      <c r="B158" s="867" t="s">
        <v>2307</v>
      </c>
      <c r="C158" s="870" t="s">
        <v>1916</v>
      </c>
      <c r="D158" s="669" t="s">
        <v>1917</v>
      </c>
      <c r="E158" s="917">
        <v>650</v>
      </c>
      <c r="F158" s="857">
        <v>1</v>
      </c>
      <c r="G158" s="917">
        <f>E158*F158</f>
        <v>650</v>
      </c>
      <c r="H158" s="920" t="s">
        <v>2403</v>
      </c>
    </row>
    <row r="159" spans="1:8" ht="36">
      <c r="A159" s="896">
        <v>2</v>
      </c>
      <c r="B159" s="871" t="s">
        <v>2404</v>
      </c>
      <c r="C159" s="857" t="s">
        <v>1916</v>
      </c>
      <c r="D159" s="889" t="s">
        <v>2010</v>
      </c>
      <c r="E159" s="917">
        <v>20000</v>
      </c>
      <c r="F159" s="857">
        <v>1</v>
      </c>
      <c r="G159" s="917">
        <f>E159*F159</f>
        <v>20000</v>
      </c>
      <c r="H159" s="920"/>
    </row>
    <row r="160" spans="1:8" ht="24">
      <c r="A160" s="862">
        <v>3</v>
      </c>
      <c r="B160" s="871" t="s">
        <v>2405</v>
      </c>
      <c r="C160" s="857" t="s">
        <v>1916</v>
      </c>
      <c r="D160" s="898"/>
      <c r="E160" s="917">
        <v>18000</v>
      </c>
      <c r="F160" s="857">
        <v>1</v>
      </c>
      <c r="G160" s="917">
        <f>E160*F160</f>
        <v>18000</v>
      </c>
      <c r="H160" s="861"/>
    </row>
    <row r="161" spans="1:8">
      <c r="A161" s="891"/>
      <c r="B161" s="913" t="s">
        <v>1900</v>
      </c>
      <c r="C161" s="892"/>
      <c r="D161" s="887"/>
      <c r="E161" s="918"/>
      <c r="F161" s="853"/>
      <c r="G161" s="918">
        <f t="shared" ref="G161" si="36">SUM(G158:G160)</f>
        <v>38650</v>
      </c>
      <c r="H161" s="913"/>
    </row>
    <row r="162" spans="1:8" ht="36">
      <c r="A162" s="853" t="s">
        <v>1990</v>
      </c>
      <c r="B162" s="865" t="s">
        <v>2406</v>
      </c>
      <c r="C162" s="873"/>
      <c r="D162" s="854"/>
      <c r="E162" s="918"/>
      <c r="F162" s="853"/>
      <c r="G162" s="918"/>
      <c r="H162" s="851"/>
    </row>
    <row r="163" spans="1:8" ht="24">
      <c r="A163" s="857">
        <v>2</v>
      </c>
      <c r="B163" s="867" t="s">
        <v>1991</v>
      </c>
      <c r="C163" s="870" t="s">
        <v>1908</v>
      </c>
      <c r="D163" s="863"/>
      <c r="E163" s="917">
        <v>700</v>
      </c>
      <c r="F163" s="857">
        <v>1</v>
      </c>
      <c r="G163" s="917">
        <f t="shared" ref="G163:G168" si="37">E163*F163</f>
        <v>700</v>
      </c>
      <c r="H163" s="861"/>
    </row>
    <row r="164" spans="1:8">
      <c r="A164" s="857">
        <v>3</v>
      </c>
      <c r="B164" s="867" t="s">
        <v>2401</v>
      </c>
      <c r="C164" s="857" t="s">
        <v>1908</v>
      </c>
      <c r="D164" s="669"/>
      <c r="E164" s="917">
        <v>1200</v>
      </c>
      <c r="F164" s="857">
        <v>1</v>
      </c>
      <c r="G164" s="917">
        <f t="shared" si="37"/>
        <v>1200</v>
      </c>
      <c r="H164" s="861"/>
    </row>
    <row r="165" spans="1:8">
      <c r="A165" s="857">
        <v>4</v>
      </c>
      <c r="B165" s="867" t="s">
        <v>2407</v>
      </c>
      <c r="C165" s="870" t="s">
        <v>2393</v>
      </c>
      <c r="D165" s="669"/>
      <c r="E165" s="917">
        <v>900</v>
      </c>
      <c r="F165" s="857">
        <v>1</v>
      </c>
      <c r="G165" s="917">
        <f t="shared" si="37"/>
        <v>900</v>
      </c>
      <c r="H165" s="861"/>
    </row>
    <row r="166" spans="1:8" ht="24">
      <c r="A166" s="857">
        <v>5</v>
      </c>
      <c r="B166" s="867" t="s">
        <v>2307</v>
      </c>
      <c r="C166" s="870" t="s">
        <v>1916</v>
      </c>
      <c r="D166" s="669" t="s">
        <v>1917</v>
      </c>
      <c r="E166" s="917">
        <v>650</v>
      </c>
      <c r="F166" s="857">
        <v>1</v>
      </c>
      <c r="G166" s="917">
        <f t="shared" si="37"/>
        <v>650</v>
      </c>
      <c r="H166" s="861"/>
    </row>
    <row r="167" spans="1:8">
      <c r="A167" s="857">
        <v>6</v>
      </c>
      <c r="B167" s="867" t="s">
        <v>2320</v>
      </c>
      <c r="C167" s="857" t="s">
        <v>1992</v>
      </c>
      <c r="D167" s="669" t="s">
        <v>1993</v>
      </c>
      <c r="E167" s="917">
        <v>380</v>
      </c>
      <c r="F167" s="857">
        <v>1</v>
      </c>
      <c r="G167" s="917">
        <f t="shared" si="37"/>
        <v>380</v>
      </c>
      <c r="H167" s="861"/>
    </row>
    <row r="168" spans="1:8" ht="24">
      <c r="A168" s="857">
        <v>8</v>
      </c>
      <c r="B168" s="867" t="s">
        <v>1994</v>
      </c>
      <c r="C168" s="857" t="s">
        <v>1916</v>
      </c>
      <c r="D168" s="669" t="s">
        <v>1995</v>
      </c>
      <c r="E168" s="857">
        <v>20000</v>
      </c>
      <c r="F168" s="857">
        <v>1</v>
      </c>
      <c r="G168" s="917">
        <f t="shared" si="37"/>
        <v>20000</v>
      </c>
      <c r="H168" s="861"/>
    </row>
    <row r="169" spans="1:8">
      <c r="A169" s="853"/>
      <c r="B169" s="913" t="s">
        <v>1900</v>
      </c>
      <c r="C169" s="853"/>
      <c r="D169" s="854"/>
      <c r="E169" s="918"/>
      <c r="F169" s="853"/>
      <c r="G169" s="918">
        <f>SUM(G163:G168)</f>
        <v>23830</v>
      </c>
      <c r="H169" s="851"/>
    </row>
    <row r="170" spans="1:8" ht="24">
      <c r="A170" s="891" t="s">
        <v>1996</v>
      </c>
      <c r="B170" s="895" t="s">
        <v>2408</v>
      </c>
      <c r="C170" s="892"/>
      <c r="D170" s="887"/>
      <c r="E170" s="918"/>
      <c r="F170" s="853"/>
      <c r="G170" s="918"/>
      <c r="H170" s="913"/>
    </row>
    <row r="171" spans="1:8" ht="48">
      <c r="A171" s="862">
        <v>1</v>
      </c>
      <c r="B171" s="899" t="s">
        <v>1998</v>
      </c>
      <c r="C171" s="900" t="s">
        <v>1922</v>
      </c>
      <c r="D171" s="998" t="s">
        <v>2409</v>
      </c>
      <c r="E171" s="917">
        <v>300000</v>
      </c>
      <c r="F171" s="900">
        <v>1</v>
      </c>
      <c r="G171" s="917">
        <f>E171*F171</f>
        <v>300000</v>
      </c>
      <c r="H171" s="669" t="s">
        <v>2410</v>
      </c>
    </row>
    <row r="172" spans="1:8">
      <c r="A172" s="891"/>
      <c r="B172" s="913" t="s">
        <v>1900</v>
      </c>
      <c r="C172" s="892"/>
      <c r="D172" s="887"/>
      <c r="E172" s="918"/>
      <c r="F172" s="853"/>
      <c r="G172" s="918">
        <f t="shared" ref="G172" si="38">SUM(G171:G171)</f>
        <v>300000</v>
      </c>
      <c r="H172" s="919"/>
    </row>
    <row r="173" spans="1:8" ht="24">
      <c r="A173" s="891" t="s">
        <v>1999</v>
      </c>
      <c r="B173" s="902" t="s">
        <v>2411</v>
      </c>
      <c r="C173" s="892"/>
      <c r="D173" s="887"/>
      <c r="E173" s="918"/>
      <c r="F173" s="853"/>
      <c r="G173" s="918"/>
      <c r="H173" s="919"/>
    </row>
    <row r="174" spans="1:8" ht="48">
      <c r="A174" s="862">
        <v>1</v>
      </c>
      <c r="B174" s="867" t="s">
        <v>2412</v>
      </c>
      <c r="C174" s="857" t="s">
        <v>1916</v>
      </c>
      <c r="D174" s="863"/>
      <c r="E174" s="917">
        <v>60000</v>
      </c>
      <c r="F174" s="857">
        <v>1</v>
      </c>
      <c r="G174" s="917">
        <f>E174*F174</f>
        <v>60000</v>
      </c>
      <c r="H174" s="669" t="s">
        <v>2413</v>
      </c>
    </row>
    <row r="175" spans="1:8">
      <c r="A175" s="891"/>
      <c r="B175" s="913" t="s">
        <v>1900</v>
      </c>
      <c r="C175" s="892"/>
      <c r="D175" s="887"/>
      <c r="E175" s="918"/>
      <c r="F175" s="853"/>
      <c r="G175" s="918">
        <f t="shared" ref="G175" si="39">SUM(G174:G174)</f>
        <v>60000</v>
      </c>
      <c r="H175" s="913"/>
    </row>
    <row r="176" spans="1:8" ht="36">
      <c r="A176" s="891" t="s">
        <v>2000</v>
      </c>
      <c r="B176" s="895" t="s">
        <v>2414</v>
      </c>
      <c r="C176" s="892"/>
      <c r="D176" s="887"/>
      <c r="E176" s="918"/>
      <c r="F176" s="853"/>
      <c r="G176" s="918"/>
      <c r="H176" s="913"/>
    </row>
    <row r="177" spans="1:8">
      <c r="A177" s="896">
        <v>1</v>
      </c>
      <c r="B177" s="880" t="s">
        <v>2415</v>
      </c>
      <c r="C177" s="893" t="s">
        <v>2393</v>
      </c>
      <c r="D177" s="863" t="s">
        <v>2399</v>
      </c>
      <c r="E177" s="917">
        <v>1500</v>
      </c>
      <c r="F177" s="857">
        <v>6</v>
      </c>
      <c r="G177" s="917">
        <f>E177*F177</f>
        <v>9000</v>
      </c>
      <c r="H177" s="929"/>
    </row>
    <row r="178" spans="1:8">
      <c r="A178" s="891"/>
      <c r="B178" s="913" t="s">
        <v>1900</v>
      </c>
      <c r="C178" s="892"/>
      <c r="D178" s="887"/>
      <c r="E178" s="918"/>
      <c r="F178" s="853"/>
      <c r="G178" s="918">
        <f t="shared" ref="G178" si="40">SUM(G177:G177)</f>
        <v>9000</v>
      </c>
      <c r="H178" s="913"/>
    </row>
    <row r="179" spans="1:8" ht="24">
      <c r="A179" s="891" t="s">
        <v>2003</v>
      </c>
      <c r="B179" s="895" t="s">
        <v>2416</v>
      </c>
      <c r="C179" s="892"/>
      <c r="D179" s="887"/>
      <c r="E179" s="918"/>
      <c r="F179" s="853"/>
      <c r="G179" s="918"/>
      <c r="H179" s="913"/>
    </row>
    <row r="180" spans="1:8">
      <c r="A180" s="896">
        <v>1</v>
      </c>
      <c r="B180" s="880" t="s">
        <v>2417</v>
      </c>
      <c r="C180" s="870" t="s">
        <v>2393</v>
      </c>
      <c r="D180" s="881"/>
      <c r="E180" s="917">
        <v>900</v>
      </c>
      <c r="F180" s="857">
        <v>3</v>
      </c>
      <c r="G180" s="917">
        <f>E180*F180</f>
        <v>2700</v>
      </c>
      <c r="H180" s="929"/>
    </row>
    <row r="181" spans="1:8">
      <c r="A181" s="891"/>
      <c r="B181" s="913" t="s">
        <v>1900</v>
      </c>
      <c r="C181" s="892"/>
      <c r="D181" s="887"/>
      <c r="E181" s="918"/>
      <c r="F181" s="853"/>
      <c r="G181" s="918">
        <f t="shared" ref="G181" si="41">SUM(G180:G180)</f>
        <v>2700</v>
      </c>
      <c r="H181" s="913"/>
    </row>
    <row r="182" spans="1:8" ht="24">
      <c r="A182" s="891" t="s">
        <v>2006</v>
      </c>
      <c r="B182" s="895" t="s">
        <v>2418</v>
      </c>
      <c r="C182" s="892"/>
      <c r="D182" s="887"/>
      <c r="E182" s="918"/>
      <c r="F182" s="853"/>
      <c r="G182" s="918"/>
      <c r="H182" s="913"/>
    </row>
    <row r="183" spans="1:8">
      <c r="A183" s="896">
        <v>1</v>
      </c>
      <c r="B183" s="880" t="s">
        <v>2417</v>
      </c>
      <c r="C183" s="870" t="s">
        <v>2393</v>
      </c>
      <c r="D183" s="881"/>
      <c r="E183" s="917">
        <v>900</v>
      </c>
      <c r="F183" s="857">
        <v>1</v>
      </c>
      <c r="G183" s="917">
        <f>E183*F183</f>
        <v>900</v>
      </c>
      <c r="H183" s="929"/>
    </row>
    <row r="184" spans="1:8" ht="25.5">
      <c r="A184" s="862">
        <v>3</v>
      </c>
      <c r="B184" s="867" t="s">
        <v>2007</v>
      </c>
      <c r="C184" s="857" t="s">
        <v>1916</v>
      </c>
      <c r="D184" s="863" t="s">
        <v>2419</v>
      </c>
      <c r="E184" s="917">
        <v>5000</v>
      </c>
      <c r="F184" s="857">
        <v>1</v>
      </c>
      <c r="G184" s="917">
        <f>E184*F184</f>
        <v>5000</v>
      </c>
      <c r="H184" s="861"/>
    </row>
    <row r="185" spans="1:8" ht="24">
      <c r="A185" s="862">
        <v>4</v>
      </c>
      <c r="B185" s="903" t="s">
        <v>2009</v>
      </c>
      <c r="C185" s="904" t="s">
        <v>1916</v>
      </c>
      <c r="D185" s="898" t="s">
        <v>2010</v>
      </c>
      <c r="E185" s="917">
        <v>14000</v>
      </c>
      <c r="F185" s="857">
        <v>1</v>
      </c>
      <c r="G185" s="917">
        <f>E185*F185</f>
        <v>14000</v>
      </c>
      <c r="H185" s="861"/>
    </row>
    <row r="186" spans="1:8">
      <c r="A186" s="891"/>
      <c r="B186" s="913" t="s">
        <v>1900</v>
      </c>
      <c r="C186" s="892"/>
      <c r="D186" s="887"/>
      <c r="E186" s="918"/>
      <c r="F186" s="853"/>
      <c r="G186" s="918">
        <f t="shared" ref="G186" si="42">SUM(G183:G185)</f>
        <v>19900</v>
      </c>
      <c r="H186" s="913"/>
    </row>
    <row r="187" spans="1:8" ht="24">
      <c r="A187" s="891" t="s">
        <v>2420</v>
      </c>
      <c r="B187" s="895" t="s">
        <v>2421</v>
      </c>
      <c r="C187" s="892"/>
      <c r="D187" s="887"/>
      <c r="E187" s="918"/>
      <c r="F187" s="853"/>
      <c r="G187" s="918"/>
      <c r="H187" s="913"/>
    </row>
    <row r="188" spans="1:8" ht="24">
      <c r="A188" s="862">
        <v>1</v>
      </c>
      <c r="B188" s="867" t="s">
        <v>2011</v>
      </c>
      <c r="C188" s="857" t="s">
        <v>1916</v>
      </c>
      <c r="D188" s="863" t="s">
        <v>2422</v>
      </c>
      <c r="E188" s="917">
        <v>280000</v>
      </c>
      <c r="F188" s="857">
        <v>1</v>
      </c>
      <c r="G188" s="917">
        <f>E188*F188</f>
        <v>280000</v>
      </c>
      <c r="H188" s="861"/>
    </row>
    <row r="189" spans="1:8" ht="24">
      <c r="A189" s="862">
        <v>2</v>
      </c>
      <c r="B189" s="867" t="s">
        <v>2423</v>
      </c>
      <c r="C189" s="870" t="s">
        <v>1893</v>
      </c>
      <c r="D189" s="863"/>
      <c r="E189" s="917">
        <v>5000</v>
      </c>
      <c r="F189" s="857">
        <v>1</v>
      </c>
      <c r="G189" s="917">
        <f>E189*F189</f>
        <v>5000</v>
      </c>
      <c r="H189" s="861"/>
    </row>
    <row r="190" spans="1:8">
      <c r="A190" s="862">
        <v>6</v>
      </c>
      <c r="B190" s="924" t="s">
        <v>2012</v>
      </c>
      <c r="C190" s="870"/>
      <c r="D190" s="883"/>
      <c r="E190" s="917">
        <v>16000</v>
      </c>
      <c r="F190" s="857">
        <v>1</v>
      </c>
      <c r="G190" s="917">
        <f>E190*F190</f>
        <v>16000</v>
      </c>
      <c r="H190" s="897"/>
    </row>
    <row r="191" spans="1:8" ht="24">
      <c r="A191" s="862">
        <v>7</v>
      </c>
      <c r="B191" s="924" t="s">
        <v>2013</v>
      </c>
      <c r="C191" s="870"/>
      <c r="D191" s="883"/>
      <c r="E191" s="917">
        <v>5000</v>
      </c>
      <c r="F191" s="857">
        <v>1</v>
      </c>
      <c r="G191" s="917">
        <f>E191*F191</f>
        <v>5000</v>
      </c>
      <c r="H191" s="897"/>
    </row>
    <row r="192" spans="1:8">
      <c r="A192" s="864"/>
      <c r="B192" s="913" t="s">
        <v>1900</v>
      </c>
      <c r="C192" s="873"/>
      <c r="D192" s="905"/>
      <c r="E192" s="918"/>
      <c r="F192" s="853"/>
      <c r="G192" s="918">
        <f>SUM(G188:G191)</f>
        <v>306000</v>
      </c>
      <c r="H192" s="851"/>
    </row>
    <row r="193" spans="1:8" ht="36">
      <c r="A193" s="864" t="s">
        <v>2424</v>
      </c>
      <c r="B193" s="865" t="s">
        <v>2014</v>
      </c>
      <c r="C193" s="853"/>
      <c r="D193" s="905"/>
      <c r="E193" s="918"/>
      <c r="F193" s="853"/>
      <c r="G193" s="918"/>
      <c r="H193" s="851"/>
    </row>
    <row r="194" spans="1:8" ht="36">
      <c r="A194" s="862">
        <v>1</v>
      </c>
      <c r="B194" s="903" t="s">
        <v>2425</v>
      </c>
      <c r="C194" s="904" t="s">
        <v>2015</v>
      </c>
      <c r="D194" s="897" t="s">
        <v>2426</v>
      </c>
      <c r="E194" s="917">
        <v>150000</v>
      </c>
      <c r="F194" s="857">
        <v>1</v>
      </c>
      <c r="G194" s="917">
        <f>E194*F194</f>
        <v>150000</v>
      </c>
      <c r="H194" s="669"/>
    </row>
    <row r="195" spans="1:8" ht="24">
      <c r="A195" s="862">
        <v>2</v>
      </c>
      <c r="B195" s="899" t="s">
        <v>2016</v>
      </c>
      <c r="C195" s="900" t="s">
        <v>1916</v>
      </c>
      <c r="D195" s="906" t="s">
        <v>2017</v>
      </c>
      <c r="E195" s="917">
        <v>30000</v>
      </c>
      <c r="F195" s="900">
        <v>1</v>
      </c>
      <c r="G195" s="917">
        <f t="shared" ref="G195:G198" si="43">E195*F195</f>
        <v>30000</v>
      </c>
      <c r="H195" s="861"/>
    </row>
    <row r="196" spans="1:8" ht="24">
      <c r="A196" s="862">
        <v>4</v>
      </c>
      <c r="B196" s="871" t="s">
        <v>2427</v>
      </c>
      <c r="C196" s="857" t="s">
        <v>1893</v>
      </c>
      <c r="D196" s="930" t="s">
        <v>2428</v>
      </c>
      <c r="E196" s="917">
        <v>10000</v>
      </c>
      <c r="F196" s="857">
        <v>1</v>
      </c>
      <c r="G196" s="917">
        <f t="shared" si="43"/>
        <v>10000</v>
      </c>
      <c r="H196" s="861"/>
    </row>
    <row r="197" spans="1:8">
      <c r="A197" s="862">
        <v>5</v>
      </c>
      <c r="B197" s="867" t="s">
        <v>2020</v>
      </c>
      <c r="C197" s="857" t="s">
        <v>1893</v>
      </c>
      <c r="D197" s="863" t="s">
        <v>2429</v>
      </c>
      <c r="E197" s="917">
        <v>121540</v>
      </c>
      <c r="F197" s="857">
        <v>1</v>
      </c>
      <c r="G197" s="917">
        <f t="shared" si="43"/>
        <v>121540</v>
      </c>
      <c r="H197" s="861"/>
    </row>
    <row r="198" spans="1:8" ht="48">
      <c r="A198" s="862">
        <v>6</v>
      </c>
      <c r="B198" s="903" t="s">
        <v>2430</v>
      </c>
      <c r="C198" s="904" t="s">
        <v>2022</v>
      </c>
      <c r="D198" s="897" t="s">
        <v>2023</v>
      </c>
      <c r="E198" s="917">
        <v>90000</v>
      </c>
      <c r="F198" s="857">
        <v>1</v>
      </c>
      <c r="G198" s="917">
        <f t="shared" si="43"/>
        <v>90000</v>
      </c>
      <c r="H198" s="861"/>
    </row>
    <row r="199" spans="1:8" ht="24">
      <c r="A199" s="862">
        <v>7</v>
      </c>
      <c r="B199" s="903" t="s">
        <v>2431</v>
      </c>
      <c r="C199" s="904" t="s">
        <v>2432</v>
      </c>
      <c r="D199" s="897"/>
      <c r="E199" s="917">
        <v>150000</v>
      </c>
      <c r="F199" s="900">
        <v>1</v>
      </c>
      <c r="G199" s="931">
        <v>0</v>
      </c>
      <c r="H199" s="861"/>
    </row>
    <row r="200" spans="1:8" ht="36">
      <c r="A200" s="862" t="s">
        <v>2433</v>
      </c>
      <c r="B200" s="903" t="s">
        <v>2434</v>
      </c>
      <c r="C200" s="857" t="s">
        <v>1922</v>
      </c>
      <c r="D200" s="999" t="s">
        <v>2435</v>
      </c>
      <c r="E200" s="917">
        <v>210000</v>
      </c>
      <c r="F200" s="857">
        <v>1</v>
      </c>
      <c r="G200" s="917">
        <f>E200*F200</f>
        <v>210000</v>
      </c>
      <c r="H200" s="669" t="s">
        <v>2436</v>
      </c>
    </row>
    <row r="201" spans="1:8" ht="36">
      <c r="A201" s="862" t="s">
        <v>2433</v>
      </c>
      <c r="B201" s="867" t="s">
        <v>2437</v>
      </c>
      <c r="C201" s="857" t="s">
        <v>1922</v>
      </c>
      <c r="D201" s="863"/>
      <c r="E201" s="917">
        <v>150</v>
      </c>
      <c r="F201" s="857">
        <v>150</v>
      </c>
      <c r="G201" s="917">
        <f>E201*F201</f>
        <v>22500</v>
      </c>
      <c r="H201" s="669" t="s">
        <v>2438</v>
      </c>
    </row>
    <row r="202" spans="1:8">
      <c r="A202" s="853"/>
      <c r="B202" s="851" t="s">
        <v>1900</v>
      </c>
      <c r="C202" s="853"/>
      <c r="D202" s="854"/>
      <c r="E202" s="918"/>
      <c r="F202" s="853"/>
      <c r="G202" s="918">
        <f>SUM(G194:G201)</f>
        <v>634040</v>
      </c>
      <c r="H202" s="851"/>
    </row>
    <row r="203" spans="1:8" ht="15">
      <c r="A203" s="857"/>
      <c r="B203" s="851" t="s">
        <v>2025</v>
      </c>
      <c r="C203" s="857"/>
      <c r="D203" s="669"/>
      <c r="E203" s="917"/>
      <c r="F203" s="853"/>
      <c r="G203" s="918">
        <f>SUM(G202,G192,G186,G181,G178,G175,G172,G169,G161,G156,G152,G149,G143,G137,G130,G123,G117,G108,G99,G93,G86,G79,G76,G73,G69,G53)</f>
        <v>3610000</v>
      </c>
      <c r="H203" s="910"/>
    </row>
    <row r="204" spans="1:8" ht="24.75">
      <c r="A204" s="910"/>
      <c r="B204" s="910"/>
      <c r="C204" s="910"/>
      <c r="D204" s="910"/>
      <c r="E204" s="932"/>
      <c r="F204" s="910"/>
      <c r="G204" s="918">
        <f>G203*0.9</f>
        <v>3249000</v>
      </c>
      <c r="H204" s="912" t="s">
        <v>1884</v>
      </c>
    </row>
  </sheetData>
  <autoFilter ref="A2:M43"/>
  <mergeCells count="9">
    <mergeCell ref="A1:N1"/>
    <mergeCell ref="A45:H45"/>
    <mergeCell ref="A46:A47"/>
    <mergeCell ref="B46:B47"/>
    <mergeCell ref="C46:C47"/>
    <mergeCell ref="D46:D47"/>
    <mergeCell ref="E46:E47"/>
    <mergeCell ref="F46:G46"/>
    <mergeCell ref="H46:H47"/>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4"/>
  <sheetViews>
    <sheetView topLeftCell="A19" workbookViewId="0">
      <selection activeCell="L33" sqref="L33:M33"/>
    </sheetView>
  </sheetViews>
  <sheetFormatPr defaultColWidth="8.875" defaultRowHeight="13.5"/>
  <cols>
    <col min="1" max="1" width="5.5" style="996" customWidth="1"/>
    <col min="2" max="2" width="7" style="996" customWidth="1"/>
    <col min="3" max="3" width="6.625" style="996" customWidth="1"/>
    <col min="4" max="4" width="21.875" style="997" customWidth="1"/>
    <col min="5" max="5" width="12.75" style="996" customWidth="1"/>
    <col min="6" max="6" width="22.125" style="997" customWidth="1"/>
    <col min="7" max="7" width="18.25" style="997" customWidth="1"/>
    <col min="8" max="8" width="6.75" style="997" customWidth="1"/>
    <col min="9" max="9" width="9" style="995" customWidth="1"/>
    <col min="10" max="10" width="6.125" style="996" customWidth="1"/>
    <col min="11" max="11" width="12" style="995" customWidth="1"/>
    <col min="12" max="12" width="12.875" style="996" customWidth="1"/>
    <col min="13" max="13" width="13.5" style="996" customWidth="1"/>
    <col min="14" max="14" width="10.625" style="997" customWidth="1"/>
    <col min="15" max="16384" width="8.875" style="996"/>
  </cols>
  <sheetData>
    <row r="1" spans="1:14" s="933" customFormat="1" ht="30" customHeight="1">
      <c r="A1" s="1518" t="s">
        <v>2562</v>
      </c>
      <c r="B1" s="1518"/>
      <c r="C1" s="1518"/>
      <c r="D1" s="1518"/>
      <c r="E1" s="1518"/>
      <c r="F1" s="1518"/>
      <c r="G1" s="1518"/>
      <c r="H1" s="1518"/>
      <c r="I1" s="1518"/>
      <c r="J1" s="1518"/>
      <c r="K1" s="1518"/>
      <c r="L1" s="1491"/>
      <c r="M1" s="1491"/>
      <c r="N1" s="1492"/>
    </row>
    <row r="2" spans="1:14" s="933" customFormat="1" ht="36">
      <c r="A2" s="934" t="s">
        <v>2559</v>
      </c>
      <c r="B2" s="559" t="s">
        <v>2784</v>
      </c>
      <c r="C2" s="559" t="s">
        <v>2785</v>
      </c>
      <c r="D2" s="935" t="s">
        <v>2560</v>
      </c>
      <c r="E2" s="936" t="s">
        <v>180</v>
      </c>
      <c r="F2" s="936" t="s">
        <v>575</v>
      </c>
      <c r="G2" s="935" t="s">
        <v>576</v>
      </c>
      <c r="H2" s="935" t="s">
        <v>577</v>
      </c>
      <c r="I2" s="936" t="s">
        <v>579</v>
      </c>
      <c r="J2" s="936" t="s">
        <v>578</v>
      </c>
      <c r="K2" s="936" t="s">
        <v>580</v>
      </c>
      <c r="L2" s="937" t="s">
        <v>2579</v>
      </c>
      <c r="M2" s="562" t="s">
        <v>2783</v>
      </c>
      <c r="N2" s="936" t="s">
        <v>1889</v>
      </c>
    </row>
    <row r="3" spans="1:14" s="943" customFormat="1" ht="20.100000000000001" customHeight="1">
      <c r="A3" s="697">
        <v>1</v>
      </c>
      <c r="B3" s="697" t="s">
        <v>2598</v>
      </c>
      <c r="C3" s="697" t="s">
        <v>2582</v>
      </c>
      <c r="D3" s="698" t="s">
        <v>2599</v>
      </c>
      <c r="E3" s="699" t="s">
        <v>2536</v>
      </c>
      <c r="F3" s="939" t="s">
        <v>2555</v>
      </c>
      <c r="G3" s="939" t="s">
        <v>2556</v>
      </c>
      <c r="H3" s="698" t="s">
        <v>2038</v>
      </c>
      <c r="I3" s="700">
        <v>7600</v>
      </c>
      <c r="J3" s="697">
        <v>50</v>
      </c>
      <c r="K3" s="700">
        <f>I3*J3</f>
        <v>380000</v>
      </c>
      <c r="L3" s="941">
        <f>K3</f>
        <v>380000</v>
      </c>
      <c r="M3" s="1001">
        <f>K3-L3</f>
        <v>0</v>
      </c>
      <c r="N3" s="1002"/>
    </row>
    <row r="4" spans="1:14" s="943" customFormat="1" ht="20.100000000000001" customHeight="1">
      <c r="A4" s="697"/>
      <c r="B4" s="944" t="s">
        <v>2036</v>
      </c>
      <c r="C4" s="697"/>
      <c r="D4" s="944" t="s">
        <v>2543</v>
      </c>
      <c r="E4" s="697"/>
      <c r="F4" s="698"/>
      <c r="G4" s="698"/>
      <c r="H4" s="698"/>
      <c r="I4" s="700"/>
      <c r="J4" s="697"/>
      <c r="K4" s="945">
        <f>SUM(K3:K3)</f>
        <v>380000</v>
      </c>
      <c r="L4" s="945">
        <f t="shared" ref="L4:M4" si="0">SUM(L3:L3)</f>
        <v>380000</v>
      </c>
      <c r="M4" s="1003">
        <f t="shared" si="0"/>
        <v>0</v>
      </c>
      <c r="N4" s="977"/>
    </row>
    <row r="5" spans="1:14" s="943" customFormat="1" ht="20.100000000000001" customHeight="1">
      <c r="A5" s="697">
        <v>2</v>
      </c>
      <c r="B5" s="697" t="s">
        <v>2598</v>
      </c>
      <c r="C5" s="697" t="s">
        <v>2582</v>
      </c>
      <c r="D5" s="698" t="s">
        <v>2600</v>
      </c>
      <c r="E5" s="699" t="s">
        <v>2536</v>
      </c>
      <c r="F5" s="939" t="s">
        <v>2555</v>
      </c>
      <c r="G5" s="939" t="s">
        <v>2556</v>
      </c>
      <c r="H5" s="698"/>
      <c r="I5" s="700">
        <v>7600</v>
      </c>
      <c r="J5" s="697">
        <v>6</v>
      </c>
      <c r="K5" s="700">
        <f>I5*J5</f>
        <v>45600</v>
      </c>
      <c r="L5" s="941">
        <f>K5</f>
        <v>45600</v>
      </c>
      <c r="M5" s="1001">
        <f>K5-L5</f>
        <v>0</v>
      </c>
      <c r="N5" s="1002"/>
    </row>
    <row r="6" spans="1:14" s="943" customFormat="1" ht="20.100000000000001" customHeight="1">
      <c r="A6" s="697"/>
      <c r="B6" s="944" t="s">
        <v>2036</v>
      </c>
      <c r="C6" s="697"/>
      <c r="D6" s="944" t="s">
        <v>2543</v>
      </c>
      <c r="E6" s="697"/>
      <c r="F6" s="698"/>
      <c r="G6" s="698"/>
      <c r="H6" s="698"/>
      <c r="I6" s="700"/>
      <c r="J6" s="697"/>
      <c r="K6" s="945">
        <f>SUM(K5:K5)</f>
        <v>45600</v>
      </c>
      <c r="L6" s="945">
        <f t="shared" ref="L6:M6" si="1">SUM(L5:L5)</f>
        <v>45600</v>
      </c>
      <c r="M6" s="1003">
        <f t="shared" si="1"/>
        <v>0</v>
      </c>
      <c r="N6" s="977"/>
    </row>
    <row r="7" spans="1:14" s="943" customFormat="1" ht="20.100000000000001" customHeight="1">
      <c r="A7" s="697">
        <v>3</v>
      </c>
      <c r="B7" s="697" t="s">
        <v>2598</v>
      </c>
      <c r="C7" s="697" t="s">
        <v>2582</v>
      </c>
      <c r="D7" s="698" t="s">
        <v>2601</v>
      </c>
      <c r="E7" s="699" t="s">
        <v>2536</v>
      </c>
      <c r="F7" s="939" t="s">
        <v>2555</v>
      </c>
      <c r="G7" s="939" t="s">
        <v>2556</v>
      </c>
      <c r="H7" s="698"/>
      <c r="I7" s="700">
        <v>7600</v>
      </c>
      <c r="J7" s="697">
        <v>42</v>
      </c>
      <c r="K7" s="700">
        <f>I7*J7</f>
        <v>319200</v>
      </c>
      <c r="L7" s="941">
        <f>K7</f>
        <v>319200</v>
      </c>
      <c r="M7" s="1001">
        <f>K7-L7</f>
        <v>0</v>
      </c>
      <c r="N7" s="1002"/>
    </row>
    <row r="8" spans="1:14" s="943" customFormat="1" ht="20.100000000000001" customHeight="1">
      <c r="A8" s="697"/>
      <c r="B8" s="944" t="s">
        <v>2036</v>
      </c>
      <c r="C8" s="697"/>
      <c r="D8" s="944" t="s">
        <v>2543</v>
      </c>
      <c r="E8" s="697"/>
      <c r="F8" s="698"/>
      <c r="G8" s="698"/>
      <c r="H8" s="698"/>
      <c r="I8" s="700"/>
      <c r="J8" s="697"/>
      <c r="K8" s="945">
        <f>SUM(K7:K7)</f>
        <v>319200</v>
      </c>
      <c r="L8" s="945">
        <f t="shared" ref="L8:M8" si="2">SUM(L7:L7)</f>
        <v>319200</v>
      </c>
      <c r="M8" s="1003">
        <f t="shared" si="2"/>
        <v>0</v>
      </c>
      <c r="N8" s="977"/>
    </row>
    <row r="9" spans="1:14" s="943" customFormat="1" ht="20.100000000000001" customHeight="1">
      <c r="A9" s="697">
        <v>4</v>
      </c>
      <c r="B9" s="697" t="s">
        <v>2598</v>
      </c>
      <c r="C9" s="697" t="s">
        <v>2541</v>
      </c>
      <c r="D9" s="1004" t="s">
        <v>2602</v>
      </c>
      <c r="E9" s="699" t="s">
        <v>2536</v>
      </c>
      <c r="F9" s="939" t="s">
        <v>2586</v>
      </c>
      <c r="G9" s="939" t="s">
        <v>2586</v>
      </c>
      <c r="H9" s="1005"/>
      <c r="I9" s="700">
        <v>757598</v>
      </c>
      <c r="J9" s="697">
        <v>1</v>
      </c>
      <c r="K9" s="700">
        <f>I9*J9</f>
        <v>757598</v>
      </c>
      <c r="L9" s="941">
        <v>757598</v>
      </c>
      <c r="M9" s="1001">
        <f>K9-L9</f>
        <v>0</v>
      </c>
      <c r="N9" s="698" t="s">
        <v>2781</v>
      </c>
    </row>
    <row r="10" spans="1:14" s="943" customFormat="1" ht="20.100000000000001" customHeight="1">
      <c r="A10" s="697">
        <v>4</v>
      </c>
      <c r="B10" s="697" t="s">
        <v>2598</v>
      </c>
      <c r="C10" s="697" t="s">
        <v>2541</v>
      </c>
      <c r="D10" s="1004" t="s">
        <v>69</v>
      </c>
      <c r="E10" s="699" t="s">
        <v>2536</v>
      </c>
      <c r="F10" s="948" t="s">
        <v>2603</v>
      </c>
      <c r="G10" s="948" t="s">
        <v>2603</v>
      </c>
      <c r="H10" s="938"/>
      <c r="I10" s="940">
        <v>140000</v>
      </c>
      <c r="J10" s="949">
        <v>1</v>
      </c>
      <c r="K10" s="950">
        <f>I10*J10</f>
        <v>140000</v>
      </c>
      <c r="L10" s="941">
        <v>140000</v>
      </c>
      <c r="M10" s="1001">
        <f>K10-L10</f>
        <v>0</v>
      </c>
      <c r="N10" s="1002"/>
    </row>
    <row r="11" spans="1:14" s="943" customFormat="1" ht="20.100000000000001" customHeight="1">
      <c r="A11" s="697">
        <v>4</v>
      </c>
      <c r="B11" s="697" t="s">
        <v>2598</v>
      </c>
      <c r="C11" s="697" t="s">
        <v>2541</v>
      </c>
      <c r="D11" s="1004" t="s">
        <v>69</v>
      </c>
      <c r="E11" s="699" t="s">
        <v>2536</v>
      </c>
      <c r="F11" s="939" t="s">
        <v>2555</v>
      </c>
      <c r="G11" s="939" t="s">
        <v>2556</v>
      </c>
      <c r="H11" s="698"/>
      <c r="I11" s="700">
        <v>7600</v>
      </c>
      <c r="J11" s="697">
        <v>33</v>
      </c>
      <c r="K11" s="700">
        <f>I11*J11</f>
        <v>250800</v>
      </c>
      <c r="L11" s="941">
        <f>K11</f>
        <v>250800</v>
      </c>
      <c r="M11" s="1001">
        <f>K11-L11</f>
        <v>0</v>
      </c>
      <c r="N11" s="1002"/>
    </row>
    <row r="12" spans="1:14" s="943" customFormat="1" ht="20.100000000000001" customHeight="1">
      <c r="A12" s="697"/>
      <c r="B12" s="944"/>
      <c r="C12" s="697"/>
      <c r="D12" s="944" t="s">
        <v>2543</v>
      </c>
      <c r="E12" s="697"/>
      <c r="F12" s="698"/>
      <c r="G12" s="698"/>
      <c r="H12" s="698"/>
      <c r="I12" s="700"/>
      <c r="J12" s="697"/>
      <c r="K12" s="945">
        <f>SUM(K9:K11)</f>
        <v>1148398</v>
      </c>
      <c r="L12" s="945">
        <f t="shared" ref="L12:M12" si="3">SUM(L9:L11)</f>
        <v>1148398</v>
      </c>
      <c r="M12" s="1003">
        <f t="shared" si="3"/>
        <v>0</v>
      </c>
      <c r="N12" s="977"/>
    </row>
    <row r="13" spans="1:14" s="943" customFormat="1" ht="20.100000000000001" customHeight="1">
      <c r="A13" s="697">
        <v>5</v>
      </c>
      <c r="B13" s="697" t="s">
        <v>2598</v>
      </c>
      <c r="C13" s="697" t="s">
        <v>2541</v>
      </c>
      <c r="D13" s="939" t="s">
        <v>72</v>
      </c>
      <c r="E13" s="699" t="s">
        <v>2536</v>
      </c>
      <c r="F13" s="939" t="s">
        <v>2555</v>
      </c>
      <c r="G13" s="939" t="s">
        <v>2556</v>
      </c>
      <c r="H13" s="698"/>
      <c r="I13" s="700">
        <v>7600</v>
      </c>
      <c r="J13" s="697">
        <v>49</v>
      </c>
      <c r="K13" s="700">
        <f>I13*J13</f>
        <v>372400</v>
      </c>
      <c r="L13" s="941">
        <f>K13</f>
        <v>372400</v>
      </c>
      <c r="M13" s="1001">
        <f>K13-L13</f>
        <v>0</v>
      </c>
      <c r="N13" s="1002"/>
    </row>
    <row r="14" spans="1:14" s="952" customFormat="1" ht="20.100000000000001" customHeight="1">
      <c r="A14" s="697">
        <v>5</v>
      </c>
      <c r="B14" s="697" t="s">
        <v>2598</v>
      </c>
      <c r="C14" s="697" t="s">
        <v>2541</v>
      </c>
      <c r="D14" s="939" t="s">
        <v>72</v>
      </c>
      <c r="E14" s="699" t="s">
        <v>2536</v>
      </c>
      <c r="F14" s="939" t="s">
        <v>2586</v>
      </c>
      <c r="G14" s="939" t="s">
        <v>2586</v>
      </c>
      <c r="H14" s="1005"/>
      <c r="I14" s="700">
        <v>757598</v>
      </c>
      <c r="J14" s="697">
        <v>1</v>
      </c>
      <c r="K14" s="700">
        <f>I14*J14</f>
        <v>757598</v>
      </c>
      <c r="L14" s="701">
        <v>757598</v>
      </c>
      <c r="M14" s="1001">
        <f>K14-L14</f>
        <v>0</v>
      </c>
      <c r="N14" s="698" t="s">
        <v>2781</v>
      </c>
    </row>
    <row r="15" spans="1:14" s="943" customFormat="1" ht="20.100000000000001" customHeight="1">
      <c r="A15" s="697">
        <v>5</v>
      </c>
      <c r="B15" s="697" t="s">
        <v>2598</v>
      </c>
      <c r="C15" s="697" t="s">
        <v>2541</v>
      </c>
      <c r="D15" s="939" t="s">
        <v>72</v>
      </c>
      <c r="E15" s="1006" t="s">
        <v>2536</v>
      </c>
      <c r="F15" s="704" t="s">
        <v>2258</v>
      </c>
      <c r="G15" s="705" t="s">
        <v>2258</v>
      </c>
      <c r="H15" s="706" t="s">
        <v>2155</v>
      </c>
      <c r="I15" s="940">
        <v>693482.5</v>
      </c>
      <c r="J15" s="949">
        <v>1</v>
      </c>
      <c r="K15" s="1007">
        <f>J15*I15</f>
        <v>693482.5</v>
      </c>
      <c r="L15" s="941">
        <v>693482.5</v>
      </c>
      <c r="M15" s="1001">
        <f>K15-L15</f>
        <v>0</v>
      </c>
      <c r="N15" s="698" t="s">
        <v>2781</v>
      </c>
    </row>
    <row r="16" spans="1:14" s="943" customFormat="1" ht="20.100000000000001" customHeight="1">
      <c r="A16" s="697"/>
      <c r="B16" s="944"/>
      <c r="C16" s="697"/>
      <c r="D16" s="944" t="s">
        <v>2543</v>
      </c>
      <c r="E16" s="697"/>
      <c r="F16" s="698"/>
      <c r="G16" s="698"/>
      <c r="H16" s="698"/>
      <c r="I16" s="700"/>
      <c r="J16" s="697"/>
      <c r="K16" s="945">
        <f>SUM(K13:K15)</f>
        <v>1823480.5</v>
      </c>
      <c r="L16" s="945">
        <f t="shared" ref="L16:M16" si="4">SUM(L13:L15)</f>
        <v>1823480.5</v>
      </c>
      <c r="M16" s="1003">
        <f t="shared" si="4"/>
        <v>0</v>
      </c>
      <c r="N16" s="977"/>
    </row>
    <row r="17" spans="1:14" s="943" customFormat="1" ht="18.75" customHeight="1">
      <c r="A17" s="949">
        <v>6</v>
      </c>
      <c r="B17" s="949" t="s">
        <v>2259</v>
      </c>
      <c r="C17" s="949" t="s">
        <v>2260</v>
      </c>
      <c r="D17" s="938" t="s">
        <v>176</v>
      </c>
      <c r="E17" s="938" t="s">
        <v>2536</v>
      </c>
      <c r="F17" s="948" t="s">
        <v>2603</v>
      </c>
      <c r="G17" s="948" t="s">
        <v>2603</v>
      </c>
      <c r="H17" s="938"/>
      <c r="I17" s="940">
        <v>140000</v>
      </c>
      <c r="J17" s="949">
        <v>1</v>
      </c>
      <c r="K17" s="950">
        <f>I17*J17</f>
        <v>140000</v>
      </c>
      <c r="L17" s="941">
        <v>140000</v>
      </c>
      <c r="M17" s="1001">
        <f>K17-L17</f>
        <v>0</v>
      </c>
      <c r="N17" s="1002"/>
    </row>
    <row r="18" spans="1:14" s="943" customFormat="1" ht="20.100000000000001" customHeight="1">
      <c r="A18" s="697"/>
      <c r="B18" s="944" t="s">
        <v>2036</v>
      </c>
      <c r="C18" s="697"/>
      <c r="D18" s="944" t="s">
        <v>2543</v>
      </c>
      <c r="E18" s="697"/>
      <c r="F18" s="698"/>
      <c r="G18" s="698"/>
      <c r="H18" s="698"/>
      <c r="I18" s="700"/>
      <c r="J18" s="697"/>
      <c r="K18" s="945">
        <f>SUM(K17:K17)</f>
        <v>140000</v>
      </c>
      <c r="L18" s="945">
        <f t="shared" ref="L18:M18" si="5">SUM(L17:L17)</f>
        <v>140000</v>
      </c>
      <c r="M18" s="1003">
        <f t="shared" si="5"/>
        <v>0</v>
      </c>
      <c r="N18" s="977"/>
    </row>
    <row r="19" spans="1:14" s="943" customFormat="1" ht="20.100000000000001" customHeight="1">
      <c r="A19" s="968">
        <v>7</v>
      </c>
      <c r="B19" s="969" t="s">
        <v>2598</v>
      </c>
      <c r="C19" s="968" t="s">
        <v>2544</v>
      </c>
      <c r="D19" s="1008" t="s">
        <v>2604</v>
      </c>
      <c r="E19" s="699" t="s">
        <v>2536</v>
      </c>
      <c r="F19" s="699" t="s">
        <v>2244</v>
      </c>
      <c r="G19" s="699" t="s">
        <v>2244</v>
      </c>
      <c r="H19" s="698"/>
      <c r="I19" s="971">
        <v>150000</v>
      </c>
      <c r="J19" s="972">
        <v>1</v>
      </c>
      <c r="K19" s="985">
        <f>I19*J19</f>
        <v>150000</v>
      </c>
      <c r="L19" s="941">
        <v>150000</v>
      </c>
      <c r="M19" s="1001">
        <f>K19-L19</f>
        <v>0</v>
      </c>
      <c r="N19" s="699"/>
    </row>
    <row r="20" spans="1:14" s="943" customFormat="1" ht="20.100000000000001" customHeight="1">
      <c r="A20" s="968">
        <v>7</v>
      </c>
      <c r="B20" s="969" t="s">
        <v>2598</v>
      </c>
      <c r="C20" s="968" t="s">
        <v>2544</v>
      </c>
      <c r="D20" s="1008" t="s">
        <v>2604</v>
      </c>
      <c r="E20" s="699" t="s">
        <v>2536</v>
      </c>
      <c r="F20" s="698" t="s">
        <v>2247</v>
      </c>
      <c r="G20" s="698" t="s">
        <v>2247</v>
      </c>
      <c r="H20" s="698"/>
      <c r="I20" s="971">
        <v>40000</v>
      </c>
      <c r="J20" s="972">
        <v>1</v>
      </c>
      <c r="K20" s="971">
        <f>I20*J20</f>
        <v>40000</v>
      </c>
      <c r="L20" s="941">
        <v>40000</v>
      </c>
      <c r="M20" s="1001">
        <f>K20-L20</f>
        <v>0</v>
      </c>
      <c r="N20" s="699"/>
    </row>
    <row r="21" spans="1:14" s="943" customFormat="1" ht="20.100000000000001" customHeight="1">
      <c r="A21" s="968">
        <v>7</v>
      </c>
      <c r="B21" s="969" t="s">
        <v>2598</v>
      </c>
      <c r="C21" s="968" t="s">
        <v>2544</v>
      </c>
      <c r="D21" s="1008" t="s">
        <v>2604</v>
      </c>
      <c r="E21" s="699" t="s">
        <v>2536</v>
      </c>
      <c r="F21" s="698" t="s">
        <v>2549</v>
      </c>
      <c r="G21" s="698" t="s">
        <v>2549</v>
      </c>
      <c r="H21" s="698"/>
      <c r="I21" s="971">
        <v>15000</v>
      </c>
      <c r="J21" s="972">
        <v>9</v>
      </c>
      <c r="K21" s="971">
        <f>I21*J21</f>
        <v>135000</v>
      </c>
      <c r="L21" s="941">
        <v>135000</v>
      </c>
      <c r="M21" s="1001">
        <f>K21-L21</f>
        <v>0</v>
      </c>
      <c r="N21" s="699"/>
    </row>
    <row r="22" spans="1:14" s="943" customFormat="1" ht="20.100000000000001" customHeight="1">
      <c r="A22" s="974"/>
      <c r="B22" s="975"/>
      <c r="C22" s="968"/>
      <c r="D22" s="944" t="s">
        <v>2543</v>
      </c>
      <c r="E22" s="976"/>
      <c r="F22" s="976"/>
      <c r="G22" s="977"/>
      <c r="H22" s="977"/>
      <c r="I22" s="978"/>
      <c r="J22" s="979"/>
      <c r="K22" s="978">
        <f>SUM(K19:K21)</f>
        <v>325000</v>
      </c>
      <c r="L22" s="978">
        <f t="shared" ref="L22:M22" si="6">SUM(L19:L21)</f>
        <v>325000</v>
      </c>
      <c r="M22" s="1009">
        <f t="shared" si="6"/>
        <v>0</v>
      </c>
      <c r="N22" s="976"/>
    </row>
    <row r="23" spans="1:14" s="943" customFormat="1" ht="20.100000000000001" customHeight="1">
      <c r="A23" s="968">
        <v>8</v>
      </c>
      <c r="B23" s="969" t="s">
        <v>2598</v>
      </c>
      <c r="C23" s="968" t="s">
        <v>2544</v>
      </c>
      <c r="D23" s="1008" t="s">
        <v>2605</v>
      </c>
      <c r="E23" s="699" t="s">
        <v>2536</v>
      </c>
      <c r="F23" s="699" t="s">
        <v>2244</v>
      </c>
      <c r="G23" s="699" t="s">
        <v>2244</v>
      </c>
      <c r="H23" s="698"/>
      <c r="I23" s="971">
        <v>100000</v>
      </c>
      <c r="J23" s="972">
        <v>1</v>
      </c>
      <c r="K23" s="1010">
        <f>I23*J23</f>
        <v>100000</v>
      </c>
      <c r="L23" s="941">
        <v>100000</v>
      </c>
      <c r="M23" s="1001">
        <f>K23-L23</f>
        <v>0</v>
      </c>
      <c r="N23" s="699"/>
    </row>
    <row r="24" spans="1:14" s="943" customFormat="1" ht="20.100000000000001" customHeight="1">
      <c r="A24" s="974"/>
      <c r="B24" s="975"/>
      <c r="C24" s="968"/>
      <c r="D24" s="944" t="s">
        <v>2543</v>
      </c>
      <c r="E24" s="976"/>
      <c r="F24" s="976"/>
      <c r="G24" s="977"/>
      <c r="H24" s="977"/>
      <c r="I24" s="978"/>
      <c r="J24" s="979"/>
      <c r="K24" s="978">
        <f>SUM(K23:K23)</f>
        <v>100000</v>
      </c>
      <c r="L24" s="978">
        <f t="shared" ref="L24:M24" si="7">SUM(L23:L23)</f>
        <v>100000</v>
      </c>
      <c r="M24" s="1009">
        <f t="shared" si="7"/>
        <v>0</v>
      </c>
      <c r="N24" s="976"/>
    </row>
    <row r="25" spans="1:14" s="943" customFormat="1" ht="20.100000000000001" customHeight="1">
      <c r="A25" s="968">
        <v>9</v>
      </c>
      <c r="B25" s="969" t="s">
        <v>2598</v>
      </c>
      <c r="C25" s="968" t="s">
        <v>2544</v>
      </c>
      <c r="D25" s="1008" t="s">
        <v>2606</v>
      </c>
      <c r="E25" s="699" t="s">
        <v>2536</v>
      </c>
      <c r="F25" s="699" t="s">
        <v>2607</v>
      </c>
      <c r="G25" s="699" t="s">
        <v>2607</v>
      </c>
      <c r="H25" s="698"/>
      <c r="I25" s="971">
        <v>100000</v>
      </c>
      <c r="J25" s="972">
        <v>1</v>
      </c>
      <c r="K25" s="985">
        <f>I25*J25</f>
        <v>100000</v>
      </c>
      <c r="L25" s="941">
        <v>100000</v>
      </c>
      <c r="M25" s="1001">
        <f>K25-L25</f>
        <v>0</v>
      </c>
      <c r="N25" s="699"/>
    </row>
    <row r="26" spans="1:14" s="943" customFormat="1" ht="20.100000000000001" customHeight="1">
      <c r="A26" s="974"/>
      <c r="B26" s="975"/>
      <c r="C26" s="968"/>
      <c r="D26" s="944" t="s">
        <v>2543</v>
      </c>
      <c r="E26" s="976"/>
      <c r="F26" s="976"/>
      <c r="G26" s="977"/>
      <c r="H26" s="977"/>
      <c r="I26" s="978"/>
      <c r="J26" s="979"/>
      <c r="K26" s="978">
        <f>SUM(K25:K25)</f>
        <v>100000</v>
      </c>
      <c r="L26" s="978">
        <f t="shared" ref="L26:M26" si="8">SUM(L25:L25)</f>
        <v>100000</v>
      </c>
      <c r="M26" s="1009">
        <f t="shared" si="8"/>
        <v>0</v>
      </c>
      <c r="N26" s="976"/>
    </row>
    <row r="27" spans="1:14" s="1011" customFormat="1" ht="20.100000000000001" customHeight="1">
      <c r="A27" s="968">
        <v>10</v>
      </c>
      <c r="B27" s="968" t="s">
        <v>2598</v>
      </c>
      <c r="C27" s="939" t="s">
        <v>2553</v>
      </c>
      <c r="D27" s="939" t="s">
        <v>2608</v>
      </c>
      <c r="E27" s="699" t="s">
        <v>2536</v>
      </c>
      <c r="F27" s="939" t="s">
        <v>2555</v>
      </c>
      <c r="G27" s="939" t="s">
        <v>2556</v>
      </c>
      <c r="H27" s="938"/>
      <c r="I27" s="991">
        <v>7600</v>
      </c>
      <c r="J27" s="968">
        <v>43</v>
      </c>
      <c r="K27" s="700">
        <f>I27*J27</f>
        <v>326800</v>
      </c>
      <c r="L27" s="941">
        <f>K27</f>
        <v>326800</v>
      </c>
      <c r="M27" s="1001">
        <f>K27-L27</f>
        <v>0</v>
      </c>
      <c r="N27" s="1002"/>
    </row>
    <row r="28" spans="1:14" s="943" customFormat="1" ht="20.100000000000001" customHeight="1">
      <c r="A28" s="974"/>
      <c r="B28" s="974"/>
      <c r="C28" s="974"/>
      <c r="D28" s="958" t="s">
        <v>2543</v>
      </c>
      <c r="E28" s="988"/>
      <c r="F28" s="988"/>
      <c r="G28" s="989"/>
      <c r="H28" s="989"/>
      <c r="I28" s="980"/>
      <c r="J28" s="974"/>
      <c r="K28" s="980">
        <f>SUM(K27:K27)</f>
        <v>326800</v>
      </c>
      <c r="L28" s="980">
        <f t="shared" ref="L28:M28" si="9">SUM(L27:L27)</f>
        <v>326800</v>
      </c>
      <c r="M28" s="1012">
        <f t="shared" si="9"/>
        <v>0</v>
      </c>
      <c r="N28" s="976"/>
    </row>
    <row r="29" spans="1:14" s="1011" customFormat="1" ht="20.100000000000001" customHeight="1">
      <c r="A29" s="968">
        <v>11</v>
      </c>
      <c r="B29" s="968" t="s">
        <v>2598</v>
      </c>
      <c r="C29" s="939" t="s">
        <v>2553</v>
      </c>
      <c r="D29" s="939" t="s">
        <v>2609</v>
      </c>
      <c r="E29" s="699" t="s">
        <v>2536</v>
      </c>
      <c r="F29" s="939" t="s">
        <v>2555</v>
      </c>
      <c r="G29" s="939" t="s">
        <v>2556</v>
      </c>
      <c r="H29" s="938"/>
      <c r="I29" s="991">
        <v>7600</v>
      </c>
      <c r="J29" s="968">
        <v>40</v>
      </c>
      <c r="K29" s="700">
        <f>I29*J29</f>
        <v>304000</v>
      </c>
      <c r="L29" s="941">
        <f>K29</f>
        <v>304000</v>
      </c>
      <c r="M29" s="1001">
        <f>K29-L29</f>
        <v>0</v>
      </c>
      <c r="N29" s="1002"/>
    </row>
    <row r="30" spans="1:14" s="943" customFormat="1" ht="20.100000000000001" customHeight="1">
      <c r="A30" s="974"/>
      <c r="B30" s="974"/>
      <c r="C30" s="974"/>
      <c r="D30" s="958" t="s">
        <v>2543</v>
      </c>
      <c r="E30" s="988"/>
      <c r="F30" s="988"/>
      <c r="G30" s="989"/>
      <c r="H30" s="989"/>
      <c r="I30" s="980"/>
      <c r="J30" s="974"/>
      <c r="K30" s="980">
        <f>SUM(K29:K29)</f>
        <v>304000</v>
      </c>
      <c r="L30" s="980">
        <f t="shared" ref="L30:M30" si="10">SUM(L29:L29)</f>
        <v>304000</v>
      </c>
      <c r="M30" s="1012">
        <f t="shared" si="10"/>
        <v>0</v>
      </c>
      <c r="N30" s="976"/>
    </row>
    <row r="31" spans="1:14" s="943" customFormat="1" ht="20.100000000000001" customHeight="1">
      <c r="A31" s="968">
        <v>12</v>
      </c>
      <c r="B31" s="968" t="s">
        <v>2598</v>
      </c>
      <c r="C31" s="697" t="s">
        <v>2541</v>
      </c>
      <c r="D31" s="938" t="s">
        <v>2610</v>
      </c>
      <c r="E31" s="1013" t="s">
        <v>2782</v>
      </c>
      <c r="F31" s="1013" t="s">
        <v>2611</v>
      </c>
      <c r="G31" s="1013" t="s">
        <v>2611</v>
      </c>
      <c r="H31" s="1005"/>
      <c r="I31" s="991">
        <v>5256900</v>
      </c>
      <c r="J31" s="968">
        <v>1</v>
      </c>
      <c r="K31" s="991">
        <f>I31*J31</f>
        <v>5256900</v>
      </c>
      <c r="L31" s="941">
        <v>344250.93</v>
      </c>
      <c r="M31" s="1001">
        <f>K31-L31</f>
        <v>4912649.07</v>
      </c>
      <c r="N31" s="1002" t="s">
        <v>2535</v>
      </c>
    </row>
    <row r="32" spans="1:14" s="943" customFormat="1" ht="20.100000000000001" customHeight="1">
      <c r="A32" s="974"/>
      <c r="B32" s="974"/>
      <c r="C32" s="968"/>
      <c r="D32" s="958"/>
      <c r="E32" s="988"/>
      <c r="F32" s="988"/>
      <c r="G32" s="989"/>
      <c r="H32" s="989"/>
      <c r="I32" s="980"/>
      <c r="J32" s="974"/>
      <c r="K32" s="980">
        <f>SUM(K31)</f>
        <v>5256900</v>
      </c>
      <c r="L32" s="980">
        <f t="shared" ref="L32:M32" si="11">SUM(L31)</f>
        <v>344250.93</v>
      </c>
      <c r="M32" s="1012">
        <f t="shared" si="11"/>
        <v>4912649.07</v>
      </c>
      <c r="N32" s="976"/>
    </row>
    <row r="33" spans="1:14" s="943" customFormat="1" ht="20.100000000000001" customHeight="1">
      <c r="A33" s="941"/>
      <c r="B33" s="941"/>
      <c r="C33" s="941"/>
      <c r="D33" s="958" t="s">
        <v>2558</v>
      </c>
      <c r="E33" s="941"/>
      <c r="F33" s="993"/>
      <c r="G33" s="993"/>
      <c r="H33" s="993"/>
      <c r="I33" s="994"/>
      <c r="J33" s="941"/>
      <c r="K33" s="945">
        <f>SUM(K3:K32)/2</f>
        <v>10269378.5</v>
      </c>
      <c r="L33" s="945">
        <f t="shared" ref="L33:M33" si="12">SUM(L3:L32)/2</f>
        <v>5356729.43</v>
      </c>
      <c r="M33" s="1003">
        <f t="shared" si="12"/>
        <v>4912649.07</v>
      </c>
      <c r="N33" s="977"/>
    </row>
    <row r="34" spans="1:14" s="1014" customFormat="1" ht="10.5">
      <c r="D34" s="1015"/>
      <c r="F34" s="1015"/>
      <c r="G34" s="1015"/>
      <c r="H34" s="1015"/>
      <c r="I34" s="1016"/>
      <c r="K34" s="1016"/>
      <c r="M34" s="1017"/>
      <c r="N34" s="1015"/>
    </row>
    <row r="35" spans="1:14">
      <c r="A35" s="1519" t="s">
        <v>2572</v>
      </c>
      <c r="B35" s="1519"/>
      <c r="C35" s="1519"/>
      <c r="D35" s="1519"/>
      <c r="E35" s="1519"/>
      <c r="F35" s="1519"/>
      <c r="G35" s="1519"/>
      <c r="H35" s="1519"/>
    </row>
    <row r="36" spans="1:14">
      <c r="A36" s="1520" t="s">
        <v>0</v>
      </c>
      <c r="B36" s="1520" t="s">
        <v>2043</v>
      </c>
      <c r="C36" s="1520" t="s">
        <v>129</v>
      </c>
      <c r="D36" s="1520" t="s">
        <v>2044</v>
      </c>
      <c r="E36" s="1520" t="s">
        <v>2045</v>
      </c>
      <c r="F36" s="1522" t="s">
        <v>2573</v>
      </c>
      <c r="G36" s="1523"/>
      <c r="H36" s="1520" t="s">
        <v>572</v>
      </c>
    </row>
    <row r="37" spans="1:14">
      <c r="A37" s="1521"/>
      <c r="B37" s="1521"/>
      <c r="C37" s="1521"/>
      <c r="D37" s="1521"/>
      <c r="E37" s="1521"/>
      <c r="F37" s="1018" t="s">
        <v>578</v>
      </c>
      <c r="G37" s="1018" t="s">
        <v>580</v>
      </c>
      <c r="H37" s="1521"/>
    </row>
    <row r="38" spans="1:14">
      <c r="A38" s="1019" t="s">
        <v>2047</v>
      </c>
      <c r="B38" s="1019" t="s">
        <v>2574</v>
      </c>
      <c r="C38" s="1019"/>
      <c r="D38" s="1019"/>
      <c r="E38" s="1019"/>
      <c r="F38" s="1019"/>
      <c r="G38" s="1019"/>
      <c r="H38" s="1020"/>
    </row>
    <row r="39" spans="1:14" ht="22.5">
      <c r="A39" s="1019">
        <v>1</v>
      </c>
      <c r="B39" s="1019" t="s">
        <v>2575</v>
      </c>
      <c r="C39" s="1019" t="s">
        <v>1096</v>
      </c>
      <c r="D39" s="1019"/>
      <c r="E39" s="1019"/>
      <c r="F39" s="1019">
        <v>20</v>
      </c>
      <c r="G39" s="1019"/>
      <c r="H39" s="1020"/>
    </row>
    <row r="40" spans="1:14" ht="22.5">
      <c r="A40" s="1020" t="s">
        <v>1931</v>
      </c>
      <c r="B40" s="1020" t="s">
        <v>2056</v>
      </c>
      <c r="C40" s="1020" t="s">
        <v>2057</v>
      </c>
      <c r="D40" s="1020" t="s">
        <v>2058</v>
      </c>
      <c r="E40" s="1021">
        <v>2000</v>
      </c>
      <c r="F40" s="1020">
        <v>20</v>
      </c>
      <c r="G40" s="1020">
        <v>40000</v>
      </c>
      <c r="H40" s="1020"/>
    </row>
    <row r="41" spans="1:14" ht="22.5">
      <c r="A41" s="1020" t="s">
        <v>1934</v>
      </c>
      <c r="B41" s="1020" t="s">
        <v>2576</v>
      </c>
      <c r="C41" s="1020" t="s">
        <v>2052</v>
      </c>
      <c r="D41" s="1022" t="s">
        <v>2577</v>
      </c>
      <c r="E41" s="1021">
        <v>3000</v>
      </c>
      <c r="F41" s="1020">
        <v>20</v>
      </c>
      <c r="G41" s="1020">
        <f>F41*E41</f>
        <v>60000</v>
      </c>
      <c r="H41" s="1020"/>
    </row>
    <row r="42" spans="1:14">
      <c r="A42" s="1020" t="s">
        <v>1937</v>
      </c>
      <c r="B42" s="1020" t="s">
        <v>2061</v>
      </c>
      <c r="C42" s="1020" t="s">
        <v>2052</v>
      </c>
      <c r="D42" s="1020" t="s">
        <v>2566</v>
      </c>
      <c r="E42" s="1021">
        <v>400</v>
      </c>
      <c r="F42" s="1020">
        <v>600</v>
      </c>
      <c r="G42" s="1020">
        <f>F42*E42</f>
        <v>240000</v>
      </c>
      <c r="H42" s="1020"/>
    </row>
    <row r="43" spans="1:14">
      <c r="A43" s="1019"/>
      <c r="B43" s="1019" t="s">
        <v>130</v>
      </c>
      <c r="C43" s="1019"/>
      <c r="D43" s="1019"/>
      <c r="E43" s="1023"/>
      <c r="F43" s="1019"/>
      <c r="G43" s="1019">
        <f>SUM(G40:G42)</f>
        <v>340000</v>
      </c>
      <c r="H43" s="1019"/>
    </row>
    <row r="44" spans="1:14" ht="22.5">
      <c r="A44" s="1019" t="s">
        <v>1901</v>
      </c>
      <c r="B44" s="1019" t="s">
        <v>2191</v>
      </c>
      <c r="C44" s="1019"/>
      <c r="D44" s="1019"/>
      <c r="E44" s="1023"/>
      <c r="F44" s="1019"/>
      <c r="G44" s="1019"/>
      <c r="H44" s="1019"/>
    </row>
    <row r="45" spans="1:14" ht="45">
      <c r="A45" s="1019">
        <v>2</v>
      </c>
      <c r="B45" s="1019" t="s">
        <v>2578</v>
      </c>
      <c r="C45" s="1019" t="s">
        <v>1096</v>
      </c>
      <c r="D45" s="1019"/>
      <c r="E45" s="1021"/>
      <c r="F45" s="1019">
        <v>2</v>
      </c>
      <c r="G45" s="1020"/>
      <c r="H45" s="1020"/>
    </row>
    <row r="46" spans="1:14" ht="22.5">
      <c r="A46" s="1020" t="s">
        <v>1905</v>
      </c>
      <c r="B46" s="1020" t="s">
        <v>2567</v>
      </c>
      <c r="C46" s="1020" t="s">
        <v>2261</v>
      </c>
      <c r="D46" s="1022" t="s">
        <v>2568</v>
      </c>
      <c r="E46" s="1021">
        <v>22000</v>
      </c>
      <c r="F46" s="1020">
        <v>1</v>
      </c>
      <c r="G46" s="1021">
        <f>E46*F46</f>
        <v>22000</v>
      </c>
      <c r="H46" s="1020"/>
    </row>
    <row r="47" spans="1:14" ht="33.75">
      <c r="A47" s="1020" t="s">
        <v>1931</v>
      </c>
      <c r="B47" s="1020" t="s">
        <v>3145</v>
      </c>
      <c r="C47" s="1020" t="s">
        <v>3146</v>
      </c>
      <c r="D47" s="1020" t="s">
        <v>3147</v>
      </c>
      <c r="E47" s="1021">
        <v>300000</v>
      </c>
      <c r="F47" s="1020">
        <v>1</v>
      </c>
      <c r="G47" s="1021">
        <f>E47*F47</f>
        <v>300000</v>
      </c>
      <c r="H47" s="1020"/>
    </row>
    <row r="48" spans="1:14">
      <c r="A48" s="1020" t="s">
        <v>3148</v>
      </c>
      <c r="B48" s="1020" t="s">
        <v>2102</v>
      </c>
      <c r="C48" s="1020" t="s">
        <v>1965</v>
      </c>
      <c r="D48" s="1020" t="s">
        <v>3149</v>
      </c>
      <c r="E48" s="1021">
        <v>7500</v>
      </c>
      <c r="F48" s="1020">
        <v>2</v>
      </c>
      <c r="G48" s="1021">
        <f>E48*F48</f>
        <v>15000</v>
      </c>
      <c r="H48" s="1020"/>
    </row>
    <row r="49" spans="1:8">
      <c r="A49" s="1019"/>
      <c r="B49" s="1019" t="s">
        <v>130</v>
      </c>
      <c r="C49" s="1019"/>
      <c r="D49" s="1020"/>
      <c r="E49" s="1023"/>
      <c r="F49" s="1019"/>
      <c r="G49" s="1019">
        <f>SUM(G46:G48)</f>
        <v>337000</v>
      </c>
      <c r="H49" s="1019"/>
    </row>
    <row r="50" spans="1:8" ht="78.75">
      <c r="A50" s="1019">
        <v>3</v>
      </c>
      <c r="B50" s="1019" t="s">
        <v>3150</v>
      </c>
      <c r="C50" s="1019" t="s">
        <v>1096</v>
      </c>
      <c r="D50" s="1019"/>
      <c r="E50" s="1021"/>
      <c r="F50" s="1019">
        <v>2</v>
      </c>
      <c r="G50" s="1020"/>
      <c r="H50" s="1020"/>
    </row>
    <row r="51" spans="1:8" ht="22.5">
      <c r="A51" s="1020" t="s">
        <v>3151</v>
      </c>
      <c r="B51" s="1020" t="s">
        <v>3152</v>
      </c>
      <c r="C51" s="1020" t="s">
        <v>3153</v>
      </c>
      <c r="D51" s="1022" t="s">
        <v>3154</v>
      </c>
      <c r="E51" s="1021">
        <v>22000</v>
      </c>
      <c r="F51" s="1020">
        <v>1</v>
      </c>
      <c r="G51" s="1021">
        <f>E51*F51</f>
        <v>22000</v>
      </c>
      <c r="H51" s="1020"/>
    </row>
    <row r="52" spans="1:8" ht="33.75">
      <c r="A52" s="1020" t="s">
        <v>3155</v>
      </c>
      <c r="B52" s="1020" t="s">
        <v>3156</v>
      </c>
      <c r="C52" s="1020" t="s">
        <v>3146</v>
      </c>
      <c r="D52" s="1020" t="s">
        <v>3147</v>
      </c>
      <c r="E52" s="1021">
        <v>450000</v>
      </c>
      <c r="F52" s="1020">
        <v>1</v>
      </c>
      <c r="G52" s="1021">
        <f>E52*F52</f>
        <v>450000</v>
      </c>
      <c r="H52" s="1020"/>
    </row>
    <row r="53" spans="1:8">
      <c r="A53" s="1020" t="s">
        <v>3148</v>
      </c>
      <c r="B53" s="1020" t="s">
        <v>2102</v>
      </c>
      <c r="C53" s="1020" t="s">
        <v>1965</v>
      </c>
      <c r="D53" s="1020" t="s">
        <v>3149</v>
      </c>
      <c r="E53" s="1021">
        <v>7500</v>
      </c>
      <c r="F53" s="1020">
        <v>2</v>
      </c>
      <c r="G53" s="1021">
        <f>E53*F53</f>
        <v>15000</v>
      </c>
      <c r="H53" s="1020"/>
    </row>
    <row r="54" spans="1:8">
      <c r="A54" s="1019"/>
      <c r="B54" s="1019" t="s">
        <v>3157</v>
      </c>
      <c r="C54" s="1019"/>
      <c r="D54" s="1019"/>
      <c r="E54" s="1023"/>
      <c r="F54" s="1019"/>
      <c r="G54" s="1019">
        <f>SUM(G51:G53)</f>
        <v>487000</v>
      </c>
      <c r="H54" s="1019"/>
    </row>
    <row r="55" spans="1:8" ht="67.5">
      <c r="A55" s="1019">
        <v>4</v>
      </c>
      <c r="B55" s="1019" t="s">
        <v>3158</v>
      </c>
      <c r="C55" s="1019" t="s">
        <v>3159</v>
      </c>
      <c r="D55" s="1019"/>
      <c r="E55" s="1021"/>
      <c r="F55" s="1019">
        <v>2</v>
      </c>
      <c r="G55" s="1020"/>
      <c r="H55" s="1020"/>
    </row>
    <row r="56" spans="1:8" ht="22.5">
      <c r="A56" s="1020" t="s">
        <v>3151</v>
      </c>
      <c r="B56" s="1020" t="s">
        <v>3152</v>
      </c>
      <c r="C56" s="1020" t="s">
        <v>3153</v>
      </c>
      <c r="D56" s="1022" t="s">
        <v>3154</v>
      </c>
      <c r="E56" s="1021">
        <v>22000</v>
      </c>
      <c r="F56" s="1020">
        <v>1</v>
      </c>
      <c r="G56" s="1021">
        <f>E56*F56</f>
        <v>22000</v>
      </c>
      <c r="H56" s="1020"/>
    </row>
    <row r="57" spans="1:8" ht="33.75">
      <c r="A57" s="1020" t="s">
        <v>3155</v>
      </c>
      <c r="B57" s="1020" t="s">
        <v>3160</v>
      </c>
      <c r="C57" s="1020" t="s">
        <v>3146</v>
      </c>
      <c r="D57" s="1020" t="s">
        <v>3147</v>
      </c>
      <c r="E57" s="1021">
        <v>400000</v>
      </c>
      <c r="F57" s="1020">
        <v>1</v>
      </c>
      <c r="G57" s="1021">
        <f>E57*F57</f>
        <v>400000</v>
      </c>
      <c r="H57" s="1020"/>
    </row>
    <row r="58" spans="1:8">
      <c r="A58" s="1020" t="s">
        <v>3148</v>
      </c>
      <c r="B58" s="1020" t="s">
        <v>2102</v>
      </c>
      <c r="C58" s="1020" t="s">
        <v>1965</v>
      </c>
      <c r="D58" s="1020" t="s">
        <v>3149</v>
      </c>
      <c r="E58" s="1021">
        <v>7500</v>
      </c>
      <c r="F58" s="1020">
        <v>2</v>
      </c>
      <c r="G58" s="1021">
        <f>E58*F58</f>
        <v>15000</v>
      </c>
      <c r="H58" s="1020"/>
    </row>
    <row r="59" spans="1:8">
      <c r="A59" s="1019"/>
      <c r="B59" s="1019" t="s">
        <v>130</v>
      </c>
      <c r="C59" s="1019"/>
      <c r="D59" s="1020"/>
      <c r="E59" s="1023"/>
      <c r="F59" s="1019"/>
      <c r="G59" s="1019">
        <f>SUM(G56:G58)</f>
        <v>437000</v>
      </c>
      <c r="H59" s="1019"/>
    </row>
    <row r="60" spans="1:8" ht="45">
      <c r="A60" s="1019">
        <v>5</v>
      </c>
      <c r="B60" s="1019" t="s">
        <v>3161</v>
      </c>
      <c r="C60" s="1019" t="s">
        <v>1096</v>
      </c>
      <c r="D60" s="1019"/>
      <c r="E60" s="1021"/>
      <c r="F60" s="1019">
        <v>2</v>
      </c>
      <c r="G60" s="1020"/>
      <c r="H60" s="1020"/>
    </row>
    <row r="61" spans="1:8" ht="22.5">
      <c r="A61" s="1020" t="s">
        <v>3151</v>
      </c>
      <c r="B61" s="1020" t="s">
        <v>3152</v>
      </c>
      <c r="C61" s="1020" t="s">
        <v>3153</v>
      </c>
      <c r="D61" s="1022" t="s">
        <v>3154</v>
      </c>
      <c r="E61" s="1021">
        <v>22000</v>
      </c>
      <c r="F61" s="1020">
        <v>1</v>
      </c>
      <c r="G61" s="1021">
        <f t="shared" ref="G61:G69" si="13">E61*F61</f>
        <v>22000</v>
      </c>
      <c r="H61" s="1020"/>
    </row>
    <row r="62" spans="1:8">
      <c r="A62" s="1020" t="s">
        <v>3155</v>
      </c>
      <c r="B62" s="1020" t="s">
        <v>3162</v>
      </c>
      <c r="C62" s="1020" t="s">
        <v>2057</v>
      </c>
      <c r="D62" s="1020"/>
      <c r="E62" s="1021">
        <v>2500</v>
      </c>
      <c r="F62" s="1020">
        <v>1</v>
      </c>
      <c r="G62" s="1021">
        <f t="shared" si="13"/>
        <v>2500</v>
      </c>
      <c r="H62" s="1020"/>
    </row>
    <row r="63" spans="1:8">
      <c r="A63" s="1020" t="s">
        <v>3163</v>
      </c>
      <c r="B63" s="1020" t="s">
        <v>3164</v>
      </c>
      <c r="C63" s="1020" t="s">
        <v>3165</v>
      </c>
      <c r="D63" s="1022" t="s">
        <v>3166</v>
      </c>
      <c r="E63" s="1021">
        <v>3000</v>
      </c>
      <c r="F63" s="1020">
        <v>10</v>
      </c>
      <c r="G63" s="1021">
        <f t="shared" si="13"/>
        <v>30000</v>
      </c>
      <c r="H63" s="1020"/>
    </row>
    <row r="64" spans="1:8">
      <c r="A64" s="1020" t="s">
        <v>3167</v>
      </c>
      <c r="B64" s="1020" t="s">
        <v>3168</v>
      </c>
      <c r="C64" s="1020" t="s">
        <v>2078</v>
      </c>
      <c r="D64" s="1020"/>
      <c r="E64" s="1021">
        <v>6500</v>
      </c>
      <c r="F64" s="1020">
        <v>1</v>
      </c>
      <c r="G64" s="1021">
        <f t="shared" si="13"/>
        <v>6500</v>
      </c>
      <c r="H64" s="1020"/>
    </row>
    <row r="65" spans="1:8">
      <c r="A65" s="1020" t="s">
        <v>3169</v>
      </c>
      <c r="B65" s="1020" t="s">
        <v>3170</v>
      </c>
      <c r="C65" s="1020" t="s">
        <v>2082</v>
      </c>
      <c r="D65" s="1020" t="s">
        <v>3171</v>
      </c>
      <c r="E65" s="1021">
        <v>1200</v>
      </c>
      <c r="F65" s="1020">
        <v>4</v>
      </c>
      <c r="G65" s="1021">
        <f t="shared" si="13"/>
        <v>4800</v>
      </c>
      <c r="H65" s="1020"/>
    </row>
    <row r="66" spans="1:8">
      <c r="A66" s="1020" t="s">
        <v>3172</v>
      </c>
      <c r="B66" s="1020" t="s">
        <v>3173</v>
      </c>
      <c r="C66" s="1020" t="s">
        <v>2082</v>
      </c>
      <c r="D66" s="1020" t="s">
        <v>3174</v>
      </c>
      <c r="E66" s="1021">
        <v>700</v>
      </c>
      <c r="F66" s="1020">
        <v>1</v>
      </c>
      <c r="G66" s="1021">
        <f t="shared" si="13"/>
        <v>700</v>
      </c>
      <c r="H66" s="1020"/>
    </row>
    <row r="67" spans="1:8">
      <c r="A67" s="1020" t="s">
        <v>3175</v>
      </c>
      <c r="B67" s="1020" t="s">
        <v>3176</v>
      </c>
      <c r="C67" s="1020" t="s">
        <v>2090</v>
      </c>
      <c r="D67" s="1020" t="s">
        <v>3177</v>
      </c>
      <c r="E67" s="1021">
        <v>1500</v>
      </c>
      <c r="F67" s="1020">
        <v>1</v>
      </c>
      <c r="G67" s="1021">
        <f t="shared" si="13"/>
        <v>1500</v>
      </c>
      <c r="H67" s="1020"/>
    </row>
    <row r="68" spans="1:8">
      <c r="A68" s="1020" t="s">
        <v>3178</v>
      </c>
      <c r="B68" s="1020" t="s">
        <v>2096</v>
      </c>
      <c r="C68" s="1020" t="s">
        <v>2057</v>
      </c>
      <c r="D68" s="1020" t="s">
        <v>2094</v>
      </c>
      <c r="E68" s="1021">
        <v>2500</v>
      </c>
      <c r="F68" s="1020">
        <v>1</v>
      </c>
      <c r="G68" s="1021">
        <f t="shared" si="13"/>
        <v>2500</v>
      </c>
      <c r="H68" s="1020"/>
    </row>
    <row r="69" spans="1:8">
      <c r="A69" s="1020" t="s">
        <v>3148</v>
      </c>
      <c r="B69" s="1020" t="s">
        <v>2102</v>
      </c>
      <c r="C69" s="1020" t="s">
        <v>1965</v>
      </c>
      <c r="D69" s="1020" t="s">
        <v>3149</v>
      </c>
      <c r="E69" s="1021">
        <v>7500</v>
      </c>
      <c r="F69" s="1020">
        <v>2</v>
      </c>
      <c r="G69" s="1021">
        <f t="shared" si="13"/>
        <v>15000</v>
      </c>
      <c r="H69" s="1020"/>
    </row>
    <row r="70" spans="1:8">
      <c r="A70" s="1019"/>
      <c r="B70" s="1019" t="s">
        <v>130</v>
      </c>
      <c r="C70" s="1019"/>
      <c r="D70" s="1020"/>
      <c r="E70" s="1023"/>
      <c r="F70" s="1019"/>
      <c r="G70" s="1019">
        <f>SUM(G61:G69)</f>
        <v>85500</v>
      </c>
      <c r="H70" s="1019"/>
    </row>
    <row r="71" spans="1:8" ht="67.5">
      <c r="A71" s="1019">
        <v>6</v>
      </c>
      <c r="B71" s="1019" t="s">
        <v>3179</v>
      </c>
      <c r="C71" s="1019" t="s">
        <v>1096</v>
      </c>
      <c r="D71" s="1019"/>
      <c r="E71" s="1021"/>
      <c r="F71" s="1019">
        <v>2</v>
      </c>
      <c r="G71" s="1020"/>
      <c r="H71" s="1020"/>
    </row>
    <row r="72" spans="1:8" ht="22.5">
      <c r="A72" s="1020" t="s">
        <v>3151</v>
      </c>
      <c r="B72" s="1020" t="s">
        <v>3152</v>
      </c>
      <c r="C72" s="1020" t="s">
        <v>3153</v>
      </c>
      <c r="D72" s="1022" t="s">
        <v>3154</v>
      </c>
      <c r="E72" s="1021">
        <v>22000</v>
      </c>
      <c r="F72" s="1020">
        <v>1</v>
      </c>
      <c r="G72" s="1021">
        <f t="shared" ref="G72:G77" si="14">E72*F72</f>
        <v>22000</v>
      </c>
      <c r="H72" s="1020"/>
    </row>
    <row r="73" spans="1:8">
      <c r="A73" s="1020" t="s">
        <v>3155</v>
      </c>
      <c r="B73" s="1020" t="s">
        <v>3180</v>
      </c>
      <c r="C73" s="1020" t="s">
        <v>2057</v>
      </c>
      <c r="D73" s="1020"/>
      <c r="E73" s="1021">
        <v>2000</v>
      </c>
      <c r="F73" s="1020">
        <v>1</v>
      </c>
      <c r="G73" s="1021">
        <f t="shared" si="14"/>
        <v>2000</v>
      </c>
      <c r="H73" s="1020"/>
    </row>
    <row r="74" spans="1:8" ht="22.5">
      <c r="A74" s="1020" t="s">
        <v>3169</v>
      </c>
      <c r="B74" s="1020" t="s">
        <v>2111</v>
      </c>
      <c r="C74" s="1020" t="s">
        <v>3181</v>
      </c>
      <c r="D74" s="1024"/>
      <c r="E74" s="1021">
        <v>200</v>
      </c>
      <c r="F74" s="1020">
        <v>40</v>
      </c>
      <c r="G74" s="1021">
        <f t="shared" si="14"/>
        <v>8000</v>
      </c>
      <c r="H74" s="1020"/>
    </row>
    <row r="75" spans="1:8" ht="22.5">
      <c r="A75" s="1020" t="s">
        <v>3172</v>
      </c>
      <c r="B75" s="1020" t="s">
        <v>2113</v>
      </c>
      <c r="C75" s="1020" t="s">
        <v>2078</v>
      </c>
      <c r="D75" s="1020" t="s">
        <v>2114</v>
      </c>
      <c r="E75" s="1021">
        <v>900</v>
      </c>
      <c r="F75" s="1020">
        <v>10</v>
      </c>
      <c r="G75" s="1021">
        <f t="shared" si="14"/>
        <v>9000</v>
      </c>
      <c r="H75" s="1020"/>
    </row>
    <row r="76" spans="1:8">
      <c r="A76" s="1020" t="s">
        <v>3175</v>
      </c>
      <c r="B76" s="1020" t="s">
        <v>2115</v>
      </c>
      <c r="C76" s="1020" t="s">
        <v>2082</v>
      </c>
      <c r="D76" s="1024"/>
      <c r="E76" s="1021">
        <v>1200</v>
      </c>
      <c r="F76" s="1020">
        <v>4</v>
      </c>
      <c r="G76" s="1021">
        <f t="shared" si="14"/>
        <v>4800</v>
      </c>
      <c r="H76" s="1024"/>
    </row>
    <row r="77" spans="1:8">
      <c r="A77" s="1020" t="s">
        <v>3178</v>
      </c>
      <c r="B77" s="1020" t="s">
        <v>2102</v>
      </c>
      <c r="C77" s="1020" t="s">
        <v>1965</v>
      </c>
      <c r="D77" s="1020" t="s">
        <v>3149</v>
      </c>
      <c r="E77" s="1021">
        <v>7500</v>
      </c>
      <c r="F77" s="1020">
        <v>1</v>
      </c>
      <c r="G77" s="1021">
        <f t="shared" si="14"/>
        <v>7500</v>
      </c>
      <c r="H77" s="1020"/>
    </row>
    <row r="78" spans="1:8">
      <c r="A78" s="1019"/>
      <c r="B78" s="1019" t="s">
        <v>130</v>
      </c>
      <c r="C78" s="1019"/>
      <c r="D78" s="1024"/>
      <c r="E78" s="1023"/>
      <c r="F78" s="1019"/>
      <c r="G78" s="1019">
        <f>SUM(G72:G77)</f>
        <v>53300</v>
      </c>
      <c r="H78" s="1019"/>
    </row>
    <row r="79" spans="1:8" ht="45">
      <c r="A79" s="1019">
        <v>7</v>
      </c>
      <c r="B79" s="1019" t="s">
        <v>3182</v>
      </c>
      <c r="C79" s="1019" t="s">
        <v>1096</v>
      </c>
      <c r="D79" s="1019"/>
      <c r="E79" s="1021"/>
      <c r="F79" s="1019">
        <v>2</v>
      </c>
      <c r="G79" s="1020"/>
      <c r="H79" s="1020"/>
    </row>
    <row r="80" spans="1:8">
      <c r="A80" s="1020" t="s">
        <v>3155</v>
      </c>
      <c r="B80" s="1020" t="s">
        <v>3152</v>
      </c>
      <c r="C80" s="1020" t="s">
        <v>3153</v>
      </c>
      <c r="D80" s="1020" t="s">
        <v>2264</v>
      </c>
      <c r="E80" s="1021">
        <v>22000</v>
      </c>
      <c r="F80" s="1020">
        <v>1</v>
      </c>
      <c r="G80" s="1021">
        <f>E80*F80</f>
        <v>22000</v>
      </c>
      <c r="H80" s="1020"/>
    </row>
    <row r="81" spans="1:8">
      <c r="A81" s="1020" t="s">
        <v>3167</v>
      </c>
      <c r="B81" s="1020" t="s">
        <v>3183</v>
      </c>
      <c r="C81" s="1020" t="s">
        <v>2082</v>
      </c>
      <c r="D81" s="1020"/>
      <c r="E81" s="1021">
        <v>1200</v>
      </c>
      <c r="F81" s="1020">
        <v>4</v>
      </c>
      <c r="G81" s="1021">
        <f>E81*F81</f>
        <v>4800</v>
      </c>
      <c r="H81" s="1020"/>
    </row>
    <row r="82" spans="1:8">
      <c r="A82" s="1020" t="s">
        <v>3169</v>
      </c>
      <c r="B82" s="1020" t="s">
        <v>2005</v>
      </c>
      <c r="C82" s="1020" t="s">
        <v>2078</v>
      </c>
      <c r="D82" s="1020" t="s">
        <v>3184</v>
      </c>
      <c r="E82" s="1021">
        <v>3000</v>
      </c>
      <c r="F82" s="1020">
        <v>2</v>
      </c>
      <c r="G82" s="1021">
        <f>E82*F82</f>
        <v>6000</v>
      </c>
      <c r="H82" s="1020"/>
    </row>
    <row r="83" spans="1:8">
      <c r="A83" s="1020" t="s">
        <v>3185</v>
      </c>
      <c r="B83" s="1020" t="s">
        <v>2102</v>
      </c>
      <c r="C83" s="1020" t="s">
        <v>1965</v>
      </c>
      <c r="D83" s="1020" t="s">
        <v>3149</v>
      </c>
      <c r="E83" s="1021">
        <v>7500</v>
      </c>
      <c r="F83" s="1020">
        <v>2</v>
      </c>
      <c r="G83" s="1021">
        <f>E83*F83</f>
        <v>15000</v>
      </c>
      <c r="H83" s="1020"/>
    </row>
    <row r="84" spans="1:8">
      <c r="A84" s="1019"/>
      <c r="B84" s="1019" t="s">
        <v>130</v>
      </c>
      <c r="C84" s="1019"/>
      <c r="D84" s="1020"/>
      <c r="E84" s="1023"/>
      <c r="F84" s="1019"/>
      <c r="G84" s="1019">
        <f>SUM(G80:G83)</f>
        <v>47800</v>
      </c>
      <c r="H84" s="1019"/>
    </row>
    <row r="85" spans="1:8" ht="56.25">
      <c r="A85" s="1019">
        <v>8</v>
      </c>
      <c r="B85" s="1019" t="s">
        <v>3186</v>
      </c>
      <c r="C85" s="1019" t="s">
        <v>1096</v>
      </c>
      <c r="D85" s="1019"/>
      <c r="E85" s="1021"/>
      <c r="F85" s="1019">
        <v>2</v>
      </c>
      <c r="G85" s="1020"/>
      <c r="H85" s="1020"/>
    </row>
    <row r="86" spans="1:8" ht="22.5">
      <c r="A86" s="1020" t="s">
        <v>3151</v>
      </c>
      <c r="B86" s="1020" t="s">
        <v>3152</v>
      </c>
      <c r="C86" s="1020" t="s">
        <v>3153</v>
      </c>
      <c r="D86" s="1022" t="s">
        <v>3154</v>
      </c>
      <c r="E86" s="1021">
        <v>22000</v>
      </c>
      <c r="F86" s="1020">
        <v>1</v>
      </c>
      <c r="G86" s="1021">
        <f t="shared" ref="G86:G92" si="15">E86*F86</f>
        <v>22000</v>
      </c>
      <c r="H86" s="1020"/>
    </row>
    <row r="87" spans="1:8">
      <c r="A87" s="1020" t="s">
        <v>3155</v>
      </c>
      <c r="B87" s="1020" t="s">
        <v>3187</v>
      </c>
      <c r="C87" s="1020" t="s">
        <v>2057</v>
      </c>
      <c r="D87" s="1020"/>
      <c r="E87" s="1021">
        <v>2000</v>
      </c>
      <c r="F87" s="1020">
        <v>1</v>
      </c>
      <c r="G87" s="1021">
        <f t="shared" si="15"/>
        <v>2000</v>
      </c>
      <c r="H87" s="1020"/>
    </row>
    <row r="88" spans="1:8">
      <c r="A88" s="1020" t="s">
        <v>3163</v>
      </c>
      <c r="B88" s="1020" t="s">
        <v>3188</v>
      </c>
      <c r="C88" s="1020" t="s">
        <v>2052</v>
      </c>
      <c r="D88" s="1022" t="s">
        <v>3189</v>
      </c>
      <c r="E88" s="1021">
        <v>350</v>
      </c>
      <c r="F88" s="1020">
        <v>40</v>
      </c>
      <c r="G88" s="1021">
        <f t="shared" si="15"/>
        <v>14000</v>
      </c>
      <c r="H88" s="1020"/>
    </row>
    <row r="89" spans="1:8">
      <c r="A89" s="1020" t="s">
        <v>3190</v>
      </c>
      <c r="B89" s="1020" t="s">
        <v>1983</v>
      </c>
      <c r="C89" s="1020" t="s">
        <v>2078</v>
      </c>
      <c r="D89" s="1020"/>
      <c r="E89" s="1021">
        <v>6500</v>
      </c>
      <c r="F89" s="1020">
        <v>1</v>
      </c>
      <c r="G89" s="1021">
        <f t="shared" si="15"/>
        <v>6500</v>
      </c>
      <c r="H89" s="1020"/>
    </row>
    <row r="90" spans="1:8" ht="22.5">
      <c r="A90" s="1020" t="s">
        <v>3169</v>
      </c>
      <c r="B90" s="1020" t="s">
        <v>2127</v>
      </c>
      <c r="C90" s="1020" t="s">
        <v>2057</v>
      </c>
      <c r="D90" s="1020" t="s">
        <v>3191</v>
      </c>
      <c r="E90" s="1021">
        <v>2500</v>
      </c>
      <c r="F90" s="1020">
        <v>1</v>
      </c>
      <c r="G90" s="1021">
        <f t="shared" si="15"/>
        <v>2500</v>
      </c>
      <c r="H90" s="1020"/>
    </row>
    <row r="91" spans="1:8" ht="22.5">
      <c r="A91" s="1020" t="s">
        <v>3172</v>
      </c>
      <c r="B91" s="1020" t="s">
        <v>3192</v>
      </c>
      <c r="C91" s="1020" t="s">
        <v>2082</v>
      </c>
      <c r="D91" s="1020" t="s">
        <v>3193</v>
      </c>
      <c r="E91" s="1021">
        <v>1200</v>
      </c>
      <c r="F91" s="1020">
        <v>4</v>
      </c>
      <c r="G91" s="1021">
        <f t="shared" si="15"/>
        <v>4800</v>
      </c>
      <c r="H91" s="1020"/>
    </row>
    <row r="92" spans="1:8">
      <c r="A92" s="1020" t="s">
        <v>3185</v>
      </c>
      <c r="B92" s="1020" t="s">
        <v>2102</v>
      </c>
      <c r="C92" s="1020" t="s">
        <v>1965</v>
      </c>
      <c r="D92" s="1020" t="s">
        <v>3149</v>
      </c>
      <c r="E92" s="1021">
        <v>7500</v>
      </c>
      <c r="F92" s="1020">
        <v>2</v>
      </c>
      <c r="G92" s="1021">
        <f t="shared" si="15"/>
        <v>15000</v>
      </c>
      <c r="H92" s="1020"/>
    </row>
    <row r="93" spans="1:8">
      <c r="A93" s="1019"/>
      <c r="B93" s="1019" t="s">
        <v>130</v>
      </c>
      <c r="C93" s="1019"/>
      <c r="D93" s="1020"/>
      <c r="E93" s="1023"/>
      <c r="F93" s="1019"/>
      <c r="G93" s="1019">
        <f>SUM(G86:G92)</f>
        <v>66800</v>
      </c>
      <c r="H93" s="1019"/>
    </row>
    <row r="94" spans="1:8" ht="22.5">
      <c r="A94" s="1019">
        <v>9</v>
      </c>
      <c r="B94" s="1019" t="s">
        <v>2265</v>
      </c>
      <c r="C94" s="1019" t="s">
        <v>1096</v>
      </c>
      <c r="D94" s="1019"/>
      <c r="E94" s="1021"/>
      <c r="F94" s="1019">
        <v>1</v>
      </c>
      <c r="G94" s="1020"/>
      <c r="H94" s="1020"/>
    </row>
    <row r="95" spans="1:8" ht="22.5">
      <c r="A95" s="1020" t="s">
        <v>3151</v>
      </c>
      <c r="B95" s="1020" t="s">
        <v>3152</v>
      </c>
      <c r="C95" s="1020" t="s">
        <v>3165</v>
      </c>
      <c r="D95" s="1022" t="s">
        <v>3154</v>
      </c>
      <c r="E95" s="1021">
        <v>22000</v>
      </c>
      <c r="F95" s="1020">
        <v>1</v>
      </c>
      <c r="G95" s="1021">
        <f>E95*F95</f>
        <v>22000</v>
      </c>
      <c r="H95" s="1020"/>
    </row>
    <row r="96" spans="1:8" ht="22.5">
      <c r="A96" s="1020" t="s">
        <v>3155</v>
      </c>
      <c r="B96" s="1020" t="s">
        <v>3194</v>
      </c>
      <c r="C96" s="1020" t="s">
        <v>2052</v>
      </c>
      <c r="D96" s="1020"/>
      <c r="E96" s="1021">
        <v>3500</v>
      </c>
      <c r="F96" s="1020">
        <v>1</v>
      </c>
      <c r="G96" s="1021">
        <f>E96*F96</f>
        <v>3500</v>
      </c>
      <c r="H96" s="1020"/>
    </row>
    <row r="97" spans="1:8">
      <c r="A97" s="1020" t="s">
        <v>3163</v>
      </c>
      <c r="B97" s="1020" t="s">
        <v>3195</v>
      </c>
      <c r="C97" s="1020" t="s">
        <v>2052</v>
      </c>
      <c r="D97" s="1020" t="s">
        <v>3196</v>
      </c>
      <c r="E97" s="1021">
        <v>3500</v>
      </c>
      <c r="F97" s="1020">
        <v>20</v>
      </c>
      <c r="G97" s="1021">
        <f>E97*F97</f>
        <v>70000</v>
      </c>
      <c r="H97" s="1020"/>
    </row>
    <row r="98" spans="1:8" ht="22.5">
      <c r="A98" s="1020" t="s">
        <v>3190</v>
      </c>
      <c r="B98" s="1020" t="s">
        <v>3197</v>
      </c>
      <c r="C98" s="1020" t="s">
        <v>2065</v>
      </c>
      <c r="D98" s="1020" t="s">
        <v>3191</v>
      </c>
      <c r="E98" s="1021">
        <v>1500</v>
      </c>
      <c r="F98" s="1020">
        <v>1</v>
      </c>
      <c r="G98" s="1021">
        <f>E98*F98</f>
        <v>1500</v>
      </c>
      <c r="H98" s="1020"/>
    </row>
    <row r="99" spans="1:8">
      <c r="A99" s="1020" t="s">
        <v>3167</v>
      </c>
      <c r="B99" s="1020" t="s">
        <v>3183</v>
      </c>
      <c r="C99" s="1020" t="s">
        <v>2082</v>
      </c>
      <c r="D99" s="1020" t="s">
        <v>3198</v>
      </c>
      <c r="E99" s="1021">
        <v>1200</v>
      </c>
      <c r="F99" s="1020">
        <v>2</v>
      </c>
      <c r="G99" s="1021">
        <f>E99*F99</f>
        <v>2400</v>
      </c>
      <c r="H99" s="1020"/>
    </row>
    <row r="100" spans="1:8">
      <c r="A100" s="1019"/>
      <c r="B100" s="1019" t="s">
        <v>130</v>
      </c>
      <c r="C100" s="1019"/>
      <c r="D100" s="1024"/>
      <c r="E100" s="1023"/>
      <c r="F100" s="1019"/>
      <c r="G100" s="1019">
        <f>SUM(G95:G99)</f>
        <v>99400</v>
      </c>
      <c r="H100" s="1019"/>
    </row>
    <row r="101" spans="1:8" ht="22.5">
      <c r="A101" s="1019">
        <v>10</v>
      </c>
      <c r="B101" s="1019" t="s">
        <v>3199</v>
      </c>
      <c r="C101" s="1019" t="s">
        <v>1096</v>
      </c>
      <c r="D101" s="1019"/>
      <c r="E101" s="1021"/>
      <c r="F101" s="1019">
        <v>1</v>
      </c>
      <c r="G101" s="1020"/>
      <c r="H101" s="1020"/>
    </row>
    <row r="102" spans="1:8" ht="22.5">
      <c r="A102" s="1020" t="s">
        <v>3151</v>
      </c>
      <c r="B102" s="1020" t="s">
        <v>3152</v>
      </c>
      <c r="C102" s="1020" t="s">
        <v>3153</v>
      </c>
      <c r="D102" s="1022" t="s">
        <v>3154</v>
      </c>
      <c r="E102" s="1021">
        <v>22000</v>
      </c>
      <c r="F102" s="1020">
        <v>1</v>
      </c>
      <c r="G102" s="1021">
        <f>E102*F102</f>
        <v>22000</v>
      </c>
      <c r="H102" s="1020"/>
    </row>
    <row r="103" spans="1:8">
      <c r="A103" s="1020" t="s">
        <v>3155</v>
      </c>
      <c r="B103" s="1020" t="s">
        <v>3200</v>
      </c>
      <c r="C103" s="1020" t="s">
        <v>2057</v>
      </c>
      <c r="D103" s="1020"/>
      <c r="E103" s="1021">
        <v>2000</v>
      </c>
      <c r="F103" s="1020">
        <v>1</v>
      </c>
      <c r="G103" s="1021">
        <f>E103*F103</f>
        <v>2000</v>
      </c>
      <c r="H103" s="1020"/>
    </row>
    <row r="104" spans="1:8">
      <c r="A104" s="1020" t="s">
        <v>3163</v>
      </c>
      <c r="B104" s="1020" t="s">
        <v>3201</v>
      </c>
      <c r="C104" s="1020" t="s">
        <v>2052</v>
      </c>
      <c r="D104" s="1022"/>
      <c r="E104" s="1021">
        <v>400</v>
      </c>
      <c r="F104" s="1020">
        <v>40</v>
      </c>
      <c r="G104" s="1021">
        <f>E104*F104</f>
        <v>16000</v>
      </c>
      <c r="H104" s="1020"/>
    </row>
    <row r="105" spans="1:8">
      <c r="A105" s="1020" t="s">
        <v>3190</v>
      </c>
      <c r="B105" s="1020" t="s">
        <v>1983</v>
      </c>
      <c r="C105" s="1020" t="s">
        <v>2078</v>
      </c>
      <c r="D105" s="1020" t="s">
        <v>3171</v>
      </c>
      <c r="E105" s="1021">
        <v>6500</v>
      </c>
      <c r="F105" s="1020">
        <v>1</v>
      </c>
      <c r="G105" s="1021">
        <f>E105*F105</f>
        <v>6500</v>
      </c>
      <c r="H105" s="1020"/>
    </row>
    <row r="106" spans="1:8">
      <c r="A106" s="1020"/>
      <c r="B106" s="1019" t="s">
        <v>130</v>
      </c>
      <c r="C106" s="1019"/>
      <c r="D106" s="1024"/>
      <c r="E106" s="1023"/>
      <c r="F106" s="1019"/>
      <c r="G106" s="1019">
        <f>SUM(G102:G105)</f>
        <v>46500</v>
      </c>
      <c r="H106" s="1019"/>
    </row>
    <row r="107" spans="1:8" ht="22.5">
      <c r="A107" s="1019">
        <v>11</v>
      </c>
      <c r="B107" s="1019" t="s">
        <v>3202</v>
      </c>
      <c r="C107" s="1019" t="s">
        <v>1096</v>
      </c>
      <c r="D107" s="1019"/>
      <c r="E107" s="1021"/>
      <c r="F107" s="1019">
        <v>1</v>
      </c>
      <c r="G107" s="1020"/>
      <c r="H107" s="1020"/>
    </row>
    <row r="108" spans="1:8" ht="22.5">
      <c r="A108" s="1020" t="s">
        <v>3151</v>
      </c>
      <c r="B108" s="1020" t="s">
        <v>3152</v>
      </c>
      <c r="C108" s="1020" t="s">
        <v>3153</v>
      </c>
      <c r="D108" s="1022" t="s">
        <v>3154</v>
      </c>
      <c r="E108" s="1021">
        <v>22000</v>
      </c>
      <c r="F108" s="1020">
        <v>1</v>
      </c>
      <c r="G108" s="1021">
        <f t="shared" ref="G108:G113" si="16">E108*F108</f>
        <v>22000</v>
      </c>
      <c r="H108" s="1020"/>
    </row>
    <row r="109" spans="1:8">
      <c r="A109" s="1020" t="s">
        <v>3155</v>
      </c>
      <c r="B109" s="1020" t="s">
        <v>3187</v>
      </c>
      <c r="C109" s="1020" t="s">
        <v>2057</v>
      </c>
      <c r="D109" s="1020"/>
      <c r="E109" s="1021">
        <v>2000</v>
      </c>
      <c r="F109" s="1020">
        <v>1</v>
      </c>
      <c r="G109" s="1021">
        <f t="shared" si="16"/>
        <v>2000</v>
      </c>
      <c r="H109" s="1020"/>
    </row>
    <row r="110" spans="1:8">
      <c r="A110" s="1020" t="s">
        <v>3163</v>
      </c>
      <c r="B110" s="1020" t="s">
        <v>3201</v>
      </c>
      <c r="C110" s="1020" t="s">
        <v>2052</v>
      </c>
      <c r="D110" s="1022"/>
      <c r="E110" s="1021">
        <v>400</v>
      </c>
      <c r="F110" s="1020">
        <v>40</v>
      </c>
      <c r="G110" s="1021">
        <f t="shared" si="16"/>
        <v>16000</v>
      </c>
      <c r="H110" s="1020"/>
    </row>
    <row r="111" spans="1:8">
      <c r="A111" s="1020" t="s">
        <v>3190</v>
      </c>
      <c r="B111" s="1020" t="s">
        <v>1983</v>
      </c>
      <c r="C111" s="1020" t="s">
        <v>2078</v>
      </c>
      <c r="D111" s="1020" t="s">
        <v>3171</v>
      </c>
      <c r="E111" s="1021">
        <v>6500</v>
      </c>
      <c r="F111" s="1020">
        <v>1</v>
      </c>
      <c r="G111" s="1021">
        <f t="shared" si="16"/>
        <v>6500</v>
      </c>
      <c r="H111" s="1020"/>
    </row>
    <row r="112" spans="1:8">
      <c r="A112" s="1020" t="s">
        <v>3167</v>
      </c>
      <c r="B112" s="1020" t="s">
        <v>3183</v>
      </c>
      <c r="C112" s="1020" t="s">
        <v>2082</v>
      </c>
      <c r="D112" s="1020" t="s">
        <v>3198</v>
      </c>
      <c r="E112" s="1021">
        <v>1200</v>
      </c>
      <c r="F112" s="1020">
        <v>4</v>
      </c>
      <c r="G112" s="1021">
        <f t="shared" si="16"/>
        <v>4800</v>
      </c>
      <c r="H112" s="1020"/>
    </row>
    <row r="113" spans="1:8">
      <c r="A113" s="1020" t="s">
        <v>3169</v>
      </c>
      <c r="B113" s="1020" t="s">
        <v>2136</v>
      </c>
      <c r="C113" s="1020" t="s">
        <v>2082</v>
      </c>
      <c r="D113" s="1020" t="s">
        <v>3203</v>
      </c>
      <c r="E113" s="1021">
        <v>2000</v>
      </c>
      <c r="F113" s="1020">
        <v>1</v>
      </c>
      <c r="G113" s="1021">
        <f t="shared" si="16"/>
        <v>2000</v>
      </c>
      <c r="H113" s="1020"/>
    </row>
    <row r="114" spans="1:8">
      <c r="A114" s="1019"/>
      <c r="B114" s="1019" t="s">
        <v>130</v>
      </c>
      <c r="C114" s="1019"/>
      <c r="D114" s="1024"/>
      <c r="E114" s="1023"/>
      <c r="F114" s="1019"/>
      <c r="G114" s="1019">
        <f>SUM(G108:G113)</f>
        <v>53300</v>
      </c>
      <c r="H114" s="1019"/>
    </row>
    <row r="115" spans="1:8" ht="45">
      <c r="A115" s="1019">
        <v>12</v>
      </c>
      <c r="B115" s="1019" t="s">
        <v>3204</v>
      </c>
      <c r="C115" s="1019" t="s">
        <v>1096</v>
      </c>
      <c r="D115" s="1019"/>
      <c r="E115" s="1021"/>
      <c r="F115" s="1019">
        <v>2</v>
      </c>
      <c r="G115" s="1020"/>
      <c r="H115" s="1019"/>
    </row>
    <row r="116" spans="1:8" ht="22.5">
      <c r="A116" s="1020" t="s">
        <v>3151</v>
      </c>
      <c r="B116" s="1020" t="s">
        <v>3152</v>
      </c>
      <c r="C116" s="1020" t="s">
        <v>3153</v>
      </c>
      <c r="D116" s="1022" t="s">
        <v>3154</v>
      </c>
      <c r="E116" s="1021">
        <v>22000</v>
      </c>
      <c r="F116" s="1020">
        <v>2</v>
      </c>
      <c r="G116" s="1021">
        <f>E116*F116</f>
        <v>44000</v>
      </c>
      <c r="H116" s="1020"/>
    </row>
    <row r="117" spans="1:8" ht="22.5">
      <c r="A117" s="1020" t="s">
        <v>3155</v>
      </c>
      <c r="B117" s="1020" t="s">
        <v>3205</v>
      </c>
      <c r="C117" s="1020" t="s">
        <v>3206</v>
      </c>
      <c r="D117" s="1020" t="s">
        <v>2058</v>
      </c>
      <c r="E117" s="1021">
        <v>2000</v>
      </c>
      <c r="F117" s="1020">
        <v>2</v>
      </c>
      <c r="G117" s="1021">
        <f>E117*F117</f>
        <v>4000</v>
      </c>
      <c r="H117" s="1020"/>
    </row>
    <row r="118" spans="1:8" ht="22.5">
      <c r="A118" s="1020" t="s">
        <v>3207</v>
      </c>
      <c r="B118" s="1020" t="s">
        <v>3208</v>
      </c>
      <c r="C118" s="1020" t="s">
        <v>3209</v>
      </c>
      <c r="D118" s="1020" t="s">
        <v>3210</v>
      </c>
      <c r="E118" s="1021">
        <v>400</v>
      </c>
      <c r="F118" s="1020">
        <v>90</v>
      </c>
      <c r="G118" s="1021">
        <f>E118*F118</f>
        <v>36000</v>
      </c>
      <c r="H118" s="1020"/>
    </row>
    <row r="119" spans="1:8">
      <c r="A119" s="1020" t="s">
        <v>3211</v>
      </c>
      <c r="B119" s="1020" t="s">
        <v>2140</v>
      </c>
      <c r="C119" s="1020"/>
      <c r="D119" s="1020"/>
      <c r="E119" s="1021">
        <v>4000</v>
      </c>
      <c r="F119" s="1020">
        <v>90</v>
      </c>
      <c r="G119" s="1021">
        <f>E119*F119</f>
        <v>360000</v>
      </c>
      <c r="H119" s="1020"/>
    </row>
    <row r="120" spans="1:8">
      <c r="A120" s="1020" t="s">
        <v>3175</v>
      </c>
      <c r="B120" s="1020" t="s">
        <v>2102</v>
      </c>
      <c r="C120" s="1020" t="s">
        <v>1965</v>
      </c>
      <c r="D120" s="1020" t="s">
        <v>3149</v>
      </c>
      <c r="E120" s="1021">
        <v>7500</v>
      </c>
      <c r="F120" s="1020">
        <v>4</v>
      </c>
      <c r="G120" s="1021">
        <f>E120*F120</f>
        <v>30000</v>
      </c>
      <c r="H120" s="1020"/>
    </row>
    <row r="121" spans="1:8">
      <c r="A121" s="1019"/>
      <c r="B121" s="1019" t="s">
        <v>130</v>
      </c>
      <c r="C121" s="1019"/>
      <c r="D121" s="1024"/>
      <c r="E121" s="1023"/>
      <c r="F121" s="1019"/>
      <c r="G121" s="1019">
        <f>SUM(G116:G120)</f>
        <v>474000</v>
      </c>
      <c r="H121" s="1019"/>
    </row>
    <row r="122" spans="1:8" ht="45">
      <c r="A122" s="1019">
        <v>13</v>
      </c>
      <c r="B122" s="1019" t="s">
        <v>3212</v>
      </c>
      <c r="C122" s="1019" t="s">
        <v>1096</v>
      </c>
      <c r="D122" s="1019"/>
      <c r="E122" s="1021"/>
      <c r="F122" s="1019">
        <v>2</v>
      </c>
      <c r="G122" s="1020"/>
      <c r="H122" s="1019"/>
    </row>
    <row r="123" spans="1:8" ht="22.5">
      <c r="A123" s="1020" t="s">
        <v>3151</v>
      </c>
      <c r="B123" s="1020" t="s">
        <v>3152</v>
      </c>
      <c r="C123" s="1020" t="s">
        <v>3165</v>
      </c>
      <c r="D123" s="1022" t="s">
        <v>3154</v>
      </c>
      <c r="E123" s="1021">
        <v>22000</v>
      </c>
      <c r="F123" s="1020">
        <v>1</v>
      </c>
      <c r="G123" s="1021">
        <f t="shared" ref="G123:G128" si="17">E123*F123</f>
        <v>22000</v>
      </c>
      <c r="H123" s="1020"/>
    </row>
    <row r="124" spans="1:8">
      <c r="A124" s="1020" t="s">
        <v>3155</v>
      </c>
      <c r="B124" s="1020" t="s">
        <v>2073</v>
      </c>
      <c r="C124" s="1020" t="s">
        <v>2057</v>
      </c>
      <c r="D124" s="1020" t="s">
        <v>3213</v>
      </c>
      <c r="E124" s="1021">
        <v>2500</v>
      </c>
      <c r="F124" s="1020">
        <v>1</v>
      </c>
      <c r="G124" s="1021">
        <f t="shared" si="17"/>
        <v>2500</v>
      </c>
      <c r="H124" s="1020"/>
    </row>
    <row r="125" spans="1:8">
      <c r="A125" s="1020" t="s">
        <v>3163</v>
      </c>
      <c r="B125" s="1020" t="s">
        <v>3214</v>
      </c>
      <c r="C125" s="1020" t="s">
        <v>2144</v>
      </c>
      <c r="D125" s="1022" t="s">
        <v>2077</v>
      </c>
      <c r="E125" s="1021">
        <v>3000</v>
      </c>
      <c r="F125" s="1020">
        <v>10</v>
      </c>
      <c r="G125" s="1021">
        <f t="shared" si="17"/>
        <v>30000</v>
      </c>
      <c r="H125" s="1020"/>
    </row>
    <row r="126" spans="1:8">
      <c r="A126" s="1020" t="s">
        <v>3167</v>
      </c>
      <c r="B126" s="1020" t="s">
        <v>1983</v>
      </c>
      <c r="C126" s="1020" t="s">
        <v>2078</v>
      </c>
      <c r="D126" s="1020" t="s">
        <v>3171</v>
      </c>
      <c r="E126" s="1021">
        <v>6500</v>
      </c>
      <c r="F126" s="1020">
        <v>1</v>
      </c>
      <c r="G126" s="1021">
        <f t="shared" si="17"/>
        <v>6500</v>
      </c>
      <c r="H126" s="1020"/>
    </row>
    <row r="127" spans="1:8" ht="22.5">
      <c r="A127" s="1020" t="s">
        <v>3169</v>
      </c>
      <c r="B127" s="1020" t="s">
        <v>3215</v>
      </c>
      <c r="C127" s="1020" t="s">
        <v>2057</v>
      </c>
      <c r="D127" s="1020" t="s">
        <v>2149</v>
      </c>
      <c r="E127" s="1021">
        <v>2500</v>
      </c>
      <c r="F127" s="1020">
        <v>1</v>
      </c>
      <c r="G127" s="1021">
        <f t="shared" si="17"/>
        <v>2500</v>
      </c>
      <c r="H127" s="1020"/>
    </row>
    <row r="128" spans="1:8">
      <c r="A128" s="1020" t="s">
        <v>3172</v>
      </c>
      <c r="B128" s="1020" t="s">
        <v>2150</v>
      </c>
      <c r="C128" s="1020" t="s">
        <v>2082</v>
      </c>
      <c r="D128" s="1020" t="s">
        <v>3216</v>
      </c>
      <c r="E128" s="1021">
        <v>1200</v>
      </c>
      <c r="F128" s="1020">
        <v>4</v>
      </c>
      <c r="G128" s="1021">
        <f t="shared" si="17"/>
        <v>4800</v>
      </c>
      <c r="H128" s="1020"/>
    </row>
    <row r="129" spans="1:8">
      <c r="A129" s="1019"/>
      <c r="B129" s="1019" t="s">
        <v>130</v>
      </c>
      <c r="C129" s="1019"/>
      <c r="D129" s="1020"/>
      <c r="E129" s="1023"/>
      <c r="F129" s="1019"/>
      <c r="G129" s="1019">
        <f>SUM(G123:G128)</f>
        <v>68300</v>
      </c>
      <c r="H129" s="1020"/>
    </row>
    <row r="130" spans="1:8" ht="22.5">
      <c r="A130" s="1019" t="s">
        <v>3217</v>
      </c>
      <c r="B130" s="1019" t="s">
        <v>2268</v>
      </c>
      <c r="C130" s="1019"/>
      <c r="D130" s="1019"/>
      <c r="E130" s="1021"/>
      <c r="F130" s="1019"/>
      <c r="G130" s="1020"/>
      <c r="H130" s="1020"/>
    </row>
    <row r="131" spans="1:8" ht="56.25">
      <c r="A131" s="1019">
        <v>14</v>
      </c>
      <c r="B131" s="1019" t="s">
        <v>3218</v>
      </c>
      <c r="C131" s="1019" t="s">
        <v>3159</v>
      </c>
      <c r="D131" s="1019"/>
      <c r="E131" s="1021"/>
      <c r="F131" s="1019">
        <v>1</v>
      </c>
      <c r="G131" s="1020"/>
      <c r="H131" s="1020"/>
    </row>
    <row r="132" spans="1:8">
      <c r="A132" s="1020" t="s">
        <v>3151</v>
      </c>
      <c r="B132" s="1020" t="s">
        <v>3219</v>
      </c>
      <c r="C132" s="1020" t="s">
        <v>2052</v>
      </c>
      <c r="D132" s="1019"/>
      <c r="E132" s="1021">
        <v>9000</v>
      </c>
      <c r="F132" s="1020">
        <v>1</v>
      </c>
      <c r="G132" s="1020">
        <f>E132*F132</f>
        <v>9000</v>
      </c>
      <c r="H132" s="1020"/>
    </row>
    <row r="133" spans="1:8">
      <c r="A133" s="1020" t="s">
        <v>3155</v>
      </c>
      <c r="B133" s="1020" t="s">
        <v>3220</v>
      </c>
      <c r="C133" s="1020" t="s">
        <v>2057</v>
      </c>
      <c r="D133" s="1020"/>
      <c r="E133" s="1021">
        <v>800</v>
      </c>
      <c r="F133" s="1020">
        <v>8</v>
      </c>
      <c r="G133" s="1020">
        <f>E133*F133</f>
        <v>6400</v>
      </c>
      <c r="H133" s="1020"/>
    </row>
    <row r="134" spans="1:8">
      <c r="A134" s="1020" t="s">
        <v>3221</v>
      </c>
      <c r="B134" s="1020" t="s">
        <v>3222</v>
      </c>
      <c r="C134" s="1020" t="s">
        <v>2227</v>
      </c>
      <c r="D134" s="1020"/>
      <c r="E134" s="1021">
        <v>300</v>
      </c>
      <c r="F134" s="1020">
        <v>450</v>
      </c>
      <c r="G134" s="1020">
        <f>E134*F134</f>
        <v>135000</v>
      </c>
      <c r="H134" s="1020"/>
    </row>
    <row r="135" spans="1:8">
      <c r="A135" s="1019"/>
      <c r="B135" s="1019" t="s">
        <v>130</v>
      </c>
      <c r="C135" s="1019"/>
      <c r="D135" s="1024"/>
      <c r="E135" s="1023"/>
      <c r="F135" s="1019"/>
      <c r="G135" s="1019">
        <f>SUM(G132:G134)</f>
        <v>150400</v>
      </c>
      <c r="H135" s="1020"/>
    </row>
    <row r="136" spans="1:8" ht="22.5">
      <c r="A136" s="1019">
        <v>15</v>
      </c>
      <c r="B136" s="1019" t="s">
        <v>3223</v>
      </c>
      <c r="C136" s="1019" t="s">
        <v>1096</v>
      </c>
      <c r="D136" s="1019"/>
      <c r="E136" s="1021"/>
      <c r="F136" s="1019">
        <v>1</v>
      </c>
      <c r="G136" s="1020"/>
      <c r="H136" s="1020"/>
    </row>
    <row r="137" spans="1:8" ht="22.5">
      <c r="A137" s="1020" t="s">
        <v>3167</v>
      </c>
      <c r="B137" s="1020" t="s">
        <v>2269</v>
      </c>
      <c r="C137" s="1020" t="s">
        <v>2052</v>
      </c>
      <c r="D137" s="1020" t="s">
        <v>3224</v>
      </c>
      <c r="E137" s="1021">
        <v>200000</v>
      </c>
      <c r="F137" s="1020">
        <v>1</v>
      </c>
      <c r="G137" s="1020">
        <f>E137*F137</f>
        <v>200000</v>
      </c>
      <c r="H137" s="1020"/>
    </row>
    <row r="138" spans="1:8">
      <c r="A138" s="1020" t="s">
        <v>3169</v>
      </c>
      <c r="B138" s="1020" t="s">
        <v>2102</v>
      </c>
      <c r="C138" s="1020" t="s">
        <v>1965</v>
      </c>
      <c r="D138" s="1020" t="s">
        <v>3149</v>
      </c>
      <c r="E138" s="1021">
        <v>7500</v>
      </c>
      <c r="F138" s="1020">
        <v>1</v>
      </c>
      <c r="G138" s="1020">
        <f>E138*F138</f>
        <v>7500</v>
      </c>
      <c r="H138" s="1020"/>
    </row>
    <row r="139" spans="1:8">
      <c r="A139" s="1019"/>
      <c r="B139" s="1019" t="s">
        <v>130</v>
      </c>
      <c r="C139" s="1019"/>
      <c r="D139" s="1025"/>
      <c r="E139" s="1023"/>
      <c r="F139" s="1019"/>
      <c r="G139" s="1019">
        <f>SUM(G137:G138)</f>
        <v>207500</v>
      </c>
      <c r="H139" s="1020"/>
    </row>
    <row r="140" spans="1:8">
      <c r="A140" s="1019">
        <v>16</v>
      </c>
      <c r="B140" s="1019" t="s">
        <v>3225</v>
      </c>
      <c r="C140" s="1019" t="s">
        <v>1096</v>
      </c>
      <c r="D140" s="1019"/>
      <c r="E140" s="1021"/>
      <c r="F140" s="1019">
        <v>1</v>
      </c>
      <c r="G140" s="1020"/>
      <c r="H140" s="1020"/>
    </row>
    <row r="141" spans="1:8" ht="33.75">
      <c r="A141" s="1020" t="s">
        <v>3151</v>
      </c>
      <c r="B141" s="1020" t="s">
        <v>3226</v>
      </c>
      <c r="C141" s="1020" t="s">
        <v>3146</v>
      </c>
      <c r="D141" s="1020" t="s">
        <v>3227</v>
      </c>
      <c r="E141" s="1021">
        <v>250000</v>
      </c>
      <c r="F141" s="1020">
        <v>1</v>
      </c>
      <c r="G141" s="1020">
        <f>F141*E141</f>
        <v>250000</v>
      </c>
      <c r="H141" s="1020"/>
    </row>
    <row r="142" spans="1:8" ht="45">
      <c r="A142" s="1020" t="s">
        <v>3155</v>
      </c>
      <c r="B142" s="1020" t="s">
        <v>3228</v>
      </c>
      <c r="C142" s="1020" t="s">
        <v>2052</v>
      </c>
      <c r="D142" s="1020" t="s">
        <v>3229</v>
      </c>
      <c r="E142" s="1021">
        <v>190000</v>
      </c>
      <c r="F142" s="1020">
        <v>1</v>
      </c>
      <c r="G142" s="1020">
        <f>F142*E142</f>
        <v>190000</v>
      </c>
      <c r="H142" s="1020"/>
    </row>
    <row r="143" spans="1:8">
      <c r="A143" s="1020" t="s">
        <v>3221</v>
      </c>
      <c r="B143" s="1020" t="s">
        <v>3230</v>
      </c>
      <c r="C143" s="1020" t="s">
        <v>1965</v>
      </c>
      <c r="D143" s="1020" t="s">
        <v>3230</v>
      </c>
      <c r="E143" s="1021">
        <v>4000</v>
      </c>
      <c r="F143" s="1020">
        <v>20</v>
      </c>
      <c r="G143" s="1020">
        <f>F143*E143</f>
        <v>80000</v>
      </c>
      <c r="H143" s="1020"/>
    </row>
    <row r="144" spans="1:8" ht="22.5">
      <c r="A144" s="1020" t="s">
        <v>3163</v>
      </c>
      <c r="B144" s="1020" t="s">
        <v>2051</v>
      </c>
      <c r="C144" s="1020" t="s">
        <v>2052</v>
      </c>
      <c r="D144" s="1020" t="s">
        <v>3231</v>
      </c>
      <c r="E144" s="1021">
        <v>25000</v>
      </c>
      <c r="F144" s="1020">
        <v>1</v>
      </c>
      <c r="G144" s="1020">
        <f>F144*E144</f>
        <v>25000</v>
      </c>
      <c r="H144" s="1020"/>
    </row>
    <row r="145" spans="1:8">
      <c r="A145" s="1019"/>
      <c r="B145" s="1019" t="s">
        <v>3157</v>
      </c>
      <c r="C145" s="1019"/>
      <c r="D145" s="1025"/>
      <c r="E145" s="1023"/>
      <c r="F145" s="1019"/>
      <c r="G145" s="1019">
        <f>SUM(G141:G144)</f>
        <v>545000</v>
      </c>
      <c r="H145" s="1020"/>
    </row>
    <row r="146" spans="1:8" ht="56.25">
      <c r="A146" s="1019">
        <v>17</v>
      </c>
      <c r="B146" s="1019" t="s">
        <v>3232</v>
      </c>
      <c r="C146" s="1019" t="s">
        <v>1096</v>
      </c>
      <c r="D146" s="1019"/>
      <c r="E146" s="1021"/>
      <c r="F146" s="1019">
        <v>3</v>
      </c>
      <c r="G146" s="1020"/>
      <c r="H146" s="1020"/>
    </row>
    <row r="147" spans="1:8" ht="22.5">
      <c r="A147" s="1020" t="s">
        <v>3151</v>
      </c>
      <c r="B147" s="1020" t="s">
        <v>3152</v>
      </c>
      <c r="C147" s="1020" t="s">
        <v>3165</v>
      </c>
      <c r="D147" s="1022" t="s">
        <v>3154</v>
      </c>
      <c r="E147" s="1021">
        <v>22000</v>
      </c>
      <c r="F147" s="1020">
        <v>1</v>
      </c>
      <c r="G147" s="1021">
        <f>E147*F147</f>
        <v>22000</v>
      </c>
      <c r="H147" s="1020"/>
    </row>
    <row r="148" spans="1:8">
      <c r="A148" s="1020" t="s">
        <v>3155</v>
      </c>
      <c r="B148" s="1020" t="s">
        <v>3200</v>
      </c>
      <c r="C148" s="1020" t="s">
        <v>2057</v>
      </c>
      <c r="D148" s="1020"/>
      <c r="E148" s="1021">
        <v>2000</v>
      </c>
      <c r="F148" s="1020">
        <v>1</v>
      </c>
      <c r="G148" s="1021">
        <f>E148*F148</f>
        <v>2000</v>
      </c>
      <c r="H148" s="1020"/>
    </row>
    <row r="149" spans="1:8">
      <c r="A149" s="1020" t="s">
        <v>3163</v>
      </c>
      <c r="B149" s="1020" t="s">
        <v>2061</v>
      </c>
      <c r="C149" s="1020" t="s">
        <v>3233</v>
      </c>
      <c r="D149" s="1020" t="s">
        <v>3234</v>
      </c>
      <c r="E149" s="1021">
        <v>3400</v>
      </c>
      <c r="F149" s="1020">
        <v>8</v>
      </c>
      <c r="G149" s="1021">
        <f>E149*F149</f>
        <v>27200</v>
      </c>
      <c r="H149" s="1024"/>
    </row>
    <row r="150" spans="1:8">
      <c r="A150" s="1020" t="s">
        <v>3175</v>
      </c>
      <c r="B150" s="1020" t="s">
        <v>2271</v>
      </c>
      <c r="C150" s="1020" t="s">
        <v>2078</v>
      </c>
      <c r="D150" s="1020"/>
      <c r="E150" s="1021">
        <v>3000</v>
      </c>
      <c r="F150" s="1020">
        <v>1</v>
      </c>
      <c r="G150" s="1021">
        <f>E150*F150</f>
        <v>3000</v>
      </c>
      <c r="H150" s="1020"/>
    </row>
    <row r="151" spans="1:8">
      <c r="A151" s="1020" t="s">
        <v>3148</v>
      </c>
      <c r="B151" s="1020" t="s">
        <v>2102</v>
      </c>
      <c r="C151" s="1020" t="s">
        <v>1965</v>
      </c>
      <c r="D151" s="1020" t="s">
        <v>3149</v>
      </c>
      <c r="E151" s="1021">
        <v>7500</v>
      </c>
      <c r="F151" s="1020">
        <v>2</v>
      </c>
      <c r="G151" s="1021">
        <f>E151*F151</f>
        <v>15000</v>
      </c>
      <c r="H151" s="1020"/>
    </row>
    <row r="152" spans="1:8">
      <c r="A152" s="1019"/>
      <c r="B152" s="1019" t="s">
        <v>130</v>
      </c>
      <c r="C152" s="1019"/>
      <c r="D152" s="1020"/>
      <c r="E152" s="1023"/>
      <c r="F152" s="1019"/>
      <c r="G152" s="1019">
        <f>SUM(G147:G151)</f>
        <v>69200</v>
      </c>
      <c r="H152" s="1020"/>
    </row>
    <row r="153" spans="1:8" ht="45">
      <c r="A153" s="1019">
        <v>21</v>
      </c>
      <c r="B153" s="1019" t="s">
        <v>3235</v>
      </c>
      <c r="C153" s="1019" t="s">
        <v>1096</v>
      </c>
      <c r="D153" s="1019"/>
      <c r="E153" s="1021"/>
      <c r="F153" s="1019">
        <v>1</v>
      </c>
      <c r="G153" s="1020"/>
      <c r="H153" s="1020"/>
    </row>
    <row r="154" spans="1:8">
      <c r="A154" s="1020" t="s">
        <v>3221</v>
      </c>
      <c r="B154" s="1020" t="s">
        <v>2005</v>
      </c>
      <c r="C154" s="1020" t="s">
        <v>2078</v>
      </c>
      <c r="D154" s="1020" t="s">
        <v>3236</v>
      </c>
      <c r="E154" s="1021">
        <v>3000</v>
      </c>
      <c r="F154" s="1020">
        <v>3</v>
      </c>
      <c r="G154" s="1020">
        <f>F154*E154</f>
        <v>9000</v>
      </c>
      <c r="H154" s="1020"/>
    </row>
    <row r="155" spans="1:8">
      <c r="A155" s="1019"/>
      <c r="B155" s="1019" t="s">
        <v>130</v>
      </c>
      <c r="C155" s="1019"/>
      <c r="D155" s="1019"/>
      <c r="E155" s="1023"/>
      <c r="F155" s="1019"/>
      <c r="G155" s="1019">
        <f>SUM(G154:G154)</f>
        <v>9000</v>
      </c>
      <c r="H155" s="1020"/>
    </row>
    <row r="156" spans="1:8" ht="22.5">
      <c r="A156" s="1019">
        <v>22</v>
      </c>
      <c r="B156" s="1019" t="s">
        <v>3237</v>
      </c>
      <c r="C156" s="1019" t="s">
        <v>1096</v>
      </c>
      <c r="D156" s="1026"/>
      <c r="E156" s="1021"/>
      <c r="F156" s="1019">
        <v>1</v>
      </c>
      <c r="G156" s="1020"/>
      <c r="H156" s="1020"/>
    </row>
    <row r="157" spans="1:8">
      <c r="A157" s="1020" t="s">
        <v>3155</v>
      </c>
      <c r="B157" s="1020" t="s">
        <v>2002</v>
      </c>
      <c r="C157" s="1020" t="s">
        <v>2082</v>
      </c>
      <c r="D157" s="1020"/>
      <c r="E157" s="1021">
        <v>1200</v>
      </c>
      <c r="F157" s="1020">
        <v>4</v>
      </c>
      <c r="G157" s="1020">
        <f>E157*F157</f>
        <v>4800</v>
      </c>
      <c r="H157" s="1020"/>
    </row>
    <row r="158" spans="1:8">
      <c r="A158" s="1019"/>
      <c r="B158" s="1019" t="s">
        <v>130</v>
      </c>
      <c r="C158" s="1019"/>
      <c r="D158" s="1020"/>
      <c r="E158" s="1023"/>
      <c r="F158" s="1019"/>
      <c r="G158" s="1019">
        <f>SUM(G157:G157)</f>
        <v>4800</v>
      </c>
      <c r="H158" s="1020"/>
    </row>
    <row r="159" spans="1:8" ht="33.75">
      <c r="A159" s="1019" t="s">
        <v>3238</v>
      </c>
      <c r="B159" s="1019" t="s">
        <v>3239</v>
      </c>
      <c r="C159" s="1019"/>
      <c r="D159" s="1019"/>
      <c r="E159" s="1021"/>
      <c r="F159" s="1019"/>
      <c r="G159" s="1020"/>
      <c r="H159" s="1020"/>
    </row>
    <row r="160" spans="1:8" ht="22.5">
      <c r="A160" s="1019">
        <v>23</v>
      </c>
      <c r="B160" s="1019" t="s">
        <v>3240</v>
      </c>
      <c r="C160" s="1019" t="s">
        <v>1096</v>
      </c>
      <c r="D160" s="1019"/>
      <c r="E160" s="1021"/>
      <c r="F160" s="1019">
        <v>15</v>
      </c>
      <c r="G160" s="1020"/>
      <c r="H160" s="1019"/>
    </row>
    <row r="161" spans="1:8">
      <c r="A161" s="1020" t="s">
        <v>3151</v>
      </c>
      <c r="B161" s="1020" t="s">
        <v>2100</v>
      </c>
      <c r="C161" s="1020" t="s">
        <v>2052</v>
      </c>
      <c r="D161" s="1019"/>
      <c r="E161" s="1021">
        <v>1600</v>
      </c>
      <c r="F161" s="1020">
        <v>90</v>
      </c>
      <c r="G161" s="1020">
        <f>F161*E161</f>
        <v>144000</v>
      </c>
      <c r="H161" s="1020"/>
    </row>
    <row r="162" spans="1:8">
      <c r="A162" s="1020" t="s">
        <v>3155</v>
      </c>
      <c r="B162" s="1020" t="s">
        <v>3241</v>
      </c>
      <c r="C162" s="1020" t="s">
        <v>2082</v>
      </c>
      <c r="D162" s="1020"/>
      <c r="E162" s="1021">
        <v>700</v>
      </c>
      <c r="F162" s="1020">
        <v>40</v>
      </c>
      <c r="G162" s="1020">
        <f>F162*E162</f>
        <v>28000</v>
      </c>
      <c r="H162" s="1020"/>
    </row>
    <row r="163" spans="1:8">
      <c r="A163" s="1020" t="s">
        <v>3221</v>
      </c>
      <c r="B163" s="1020" t="s">
        <v>3242</v>
      </c>
      <c r="C163" s="1020" t="s">
        <v>3153</v>
      </c>
      <c r="D163" s="1020" t="s">
        <v>3149</v>
      </c>
      <c r="E163" s="1021">
        <v>7500</v>
      </c>
      <c r="F163" s="1020">
        <v>12</v>
      </c>
      <c r="G163" s="1020">
        <f>F163*E163</f>
        <v>90000</v>
      </c>
      <c r="H163" s="1020"/>
    </row>
    <row r="164" spans="1:8">
      <c r="A164" s="1020" t="s">
        <v>3211</v>
      </c>
      <c r="B164" s="1020" t="s">
        <v>2102</v>
      </c>
      <c r="C164" s="1020" t="s">
        <v>1965</v>
      </c>
      <c r="D164" s="1020" t="s">
        <v>3149</v>
      </c>
      <c r="E164" s="1021">
        <v>7500</v>
      </c>
      <c r="F164" s="1020">
        <v>19</v>
      </c>
      <c r="G164" s="1020">
        <f>E164*F164</f>
        <v>142500</v>
      </c>
      <c r="H164" s="1020"/>
    </row>
    <row r="165" spans="1:8">
      <c r="A165" s="1019"/>
      <c r="B165" s="1019" t="s">
        <v>130</v>
      </c>
      <c r="C165" s="1019"/>
      <c r="D165" s="1024"/>
      <c r="E165" s="1023"/>
      <c r="F165" s="1019"/>
      <c r="G165" s="1019">
        <f>SUM(G161:G164)</f>
        <v>404500</v>
      </c>
      <c r="H165" s="1020"/>
    </row>
    <row r="166" spans="1:8" ht="22.5">
      <c r="A166" s="1019">
        <v>24</v>
      </c>
      <c r="B166" s="1019" t="s">
        <v>3243</v>
      </c>
      <c r="C166" s="1019" t="s">
        <v>1096</v>
      </c>
      <c r="D166" s="1019"/>
      <c r="E166" s="1021"/>
      <c r="F166" s="1019">
        <v>13</v>
      </c>
      <c r="G166" s="1020"/>
      <c r="H166" s="1020"/>
    </row>
    <row r="167" spans="1:8">
      <c r="A167" s="1020" t="s">
        <v>3151</v>
      </c>
      <c r="B167" s="1020" t="s">
        <v>3244</v>
      </c>
      <c r="C167" s="1020" t="s">
        <v>2052</v>
      </c>
      <c r="D167" s="1024" t="s">
        <v>3245</v>
      </c>
      <c r="E167" s="1021">
        <v>4000</v>
      </c>
      <c r="F167" s="1020">
        <v>1</v>
      </c>
      <c r="G167" s="1020">
        <f>F167*E167</f>
        <v>4000</v>
      </c>
      <c r="H167" s="1027"/>
    </row>
    <row r="168" spans="1:8">
      <c r="A168" s="1020" t="s">
        <v>3155</v>
      </c>
      <c r="B168" s="1020" t="s">
        <v>3246</v>
      </c>
      <c r="C168" s="1020" t="s">
        <v>3165</v>
      </c>
      <c r="D168" s="1020" t="s">
        <v>2272</v>
      </c>
      <c r="E168" s="1021">
        <v>4000</v>
      </c>
      <c r="F168" s="1020">
        <v>1</v>
      </c>
      <c r="G168" s="1020">
        <f>F168*E168</f>
        <v>4000</v>
      </c>
      <c r="H168" s="1020"/>
    </row>
    <row r="169" spans="1:8">
      <c r="A169" s="1020" t="s">
        <v>3221</v>
      </c>
      <c r="B169" s="1020" t="s">
        <v>3247</v>
      </c>
      <c r="C169" s="1020" t="s">
        <v>2052</v>
      </c>
      <c r="D169" s="1020" t="s">
        <v>3248</v>
      </c>
      <c r="E169" s="1021">
        <v>2000</v>
      </c>
      <c r="F169" s="1020">
        <v>2</v>
      </c>
      <c r="G169" s="1020">
        <f>F169*E169</f>
        <v>4000</v>
      </c>
      <c r="H169" s="1020"/>
    </row>
    <row r="170" spans="1:8">
      <c r="A170" s="1020" t="s">
        <v>3249</v>
      </c>
      <c r="B170" s="1020" t="s">
        <v>2228</v>
      </c>
      <c r="C170" s="1020" t="s">
        <v>3250</v>
      </c>
      <c r="D170" s="1028"/>
      <c r="E170" s="1021">
        <v>700</v>
      </c>
      <c r="F170" s="1020">
        <v>2</v>
      </c>
      <c r="G170" s="1020">
        <f>F170*E170</f>
        <v>1400</v>
      </c>
      <c r="H170" s="1020"/>
    </row>
    <row r="171" spans="1:8">
      <c r="A171" s="1020"/>
      <c r="B171" s="1019" t="s">
        <v>130</v>
      </c>
      <c r="C171" s="1019"/>
      <c r="D171" s="1025"/>
      <c r="E171" s="1023"/>
      <c r="F171" s="1019"/>
      <c r="G171" s="1019">
        <f>SUM(G167:G170)</f>
        <v>13400</v>
      </c>
      <c r="H171" s="1020"/>
    </row>
    <row r="172" spans="1:8" ht="22.5">
      <c r="A172" s="1019">
        <v>25</v>
      </c>
      <c r="B172" s="1019" t="s">
        <v>3251</v>
      </c>
      <c r="C172" s="1019" t="s">
        <v>3252</v>
      </c>
      <c r="D172" s="1019"/>
      <c r="E172" s="1021"/>
      <c r="F172" s="1019">
        <v>1</v>
      </c>
      <c r="G172" s="1020"/>
      <c r="H172" s="1020"/>
    </row>
    <row r="173" spans="1:8" ht="22.5">
      <c r="A173" s="1020" t="s">
        <v>3253</v>
      </c>
      <c r="B173" s="1020" t="s">
        <v>2273</v>
      </c>
      <c r="C173" s="1020" t="s">
        <v>2052</v>
      </c>
      <c r="D173" s="1020" t="s">
        <v>2231</v>
      </c>
      <c r="E173" s="1021">
        <v>25000</v>
      </c>
      <c r="F173" s="1020">
        <v>1</v>
      </c>
      <c r="G173" s="1020">
        <f>E173*F173</f>
        <v>25000</v>
      </c>
      <c r="H173" s="1020"/>
    </row>
    <row r="174" spans="1:8">
      <c r="A174" s="1020" t="s">
        <v>3254</v>
      </c>
      <c r="B174" s="1020" t="s">
        <v>3255</v>
      </c>
      <c r="C174" s="1020" t="s">
        <v>2078</v>
      </c>
      <c r="D174" s="1024"/>
      <c r="E174" s="1021">
        <v>3000</v>
      </c>
      <c r="F174" s="1020">
        <v>1</v>
      </c>
      <c r="G174" s="1020">
        <f>E174*F174</f>
        <v>3000</v>
      </c>
      <c r="H174" s="1020"/>
    </row>
    <row r="175" spans="1:8">
      <c r="A175" s="1020" t="s">
        <v>3256</v>
      </c>
      <c r="B175" s="1020" t="s">
        <v>2274</v>
      </c>
      <c r="C175" s="1020" t="s">
        <v>2227</v>
      </c>
      <c r="D175" s="1020"/>
      <c r="E175" s="1021">
        <v>300</v>
      </c>
      <c r="F175" s="1020">
        <v>12</v>
      </c>
      <c r="G175" s="1020">
        <f>E175*F175</f>
        <v>3600</v>
      </c>
      <c r="H175" s="1020"/>
    </row>
    <row r="176" spans="1:8">
      <c r="A176" s="1020" t="s">
        <v>3254</v>
      </c>
      <c r="B176" s="1020" t="s">
        <v>2275</v>
      </c>
      <c r="C176" s="1020" t="s">
        <v>2078</v>
      </c>
      <c r="D176" s="1020"/>
      <c r="E176" s="1021">
        <v>3000</v>
      </c>
      <c r="F176" s="1020">
        <v>1</v>
      </c>
      <c r="G176" s="1020">
        <f>E176*F176</f>
        <v>3000</v>
      </c>
      <c r="H176" s="1020"/>
    </row>
    <row r="177" spans="1:8">
      <c r="A177" s="1020" t="s">
        <v>3257</v>
      </c>
      <c r="B177" s="1020" t="s">
        <v>2102</v>
      </c>
      <c r="C177" s="1020" t="s">
        <v>1965</v>
      </c>
      <c r="D177" s="1020" t="s">
        <v>3258</v>
      </c>
      <c r="E177" s="1021">
        <v>7500</v>
      </c>
      <c r="F177" s="1020">
        <v>1</v>
      </c>
      <c r="G177" s="1020">
        <f>E177*F177</f>
        <v>7500</v>
      </c>
      <c r="H177" s="1020"/>
    </row>
    <row r="178" spans="1:8">
      <c r="A178" s="1019"/>
      <c r="B178" s="1019" t="s">
        <v>130</v>
      </c>
      <c r="C178" s="1019"/>
      <c r="D178" s="1024"/>
      <c r="E178" s="1023"/>
      <c r="F178" s="1019"/>
      <c r="G178" s="1019">
        <f>SUM(G173:G177)</f>
        <v>42100</v>
      </c>
      <c r="H178" s="1020"/>
    </row>
    <row r="179" spans="1:8" ht="22.5">
      <c r="A179" s="1019">
        <v>26</v>
      </c>
      <c r="B179" s="1019" t="s">
        <v>3259</v>
      </c>
      <c r="C179" s="1019" t="s">
        <v>3252</v>
      </c>
      <c r="D179" s="1019"/>
      <c r="E179" s="1021"/>
      <c r="F179" s="1019">
        <v>1</v>
      </c>
      <c r="G179" s="1020"/>
      <c r="H179" s="1020"/>
    </row>
    <row r="180" spans="1:8" ht="22.5">
      <c r="A180" s="1020" t="s">
        <v>3253</v>
      </c>
      <c r="B180" s="1020" t="s">
        <v>2273</v>
      </c>
      <c r="C180" s="1020" t="s">
        <v>2052</v>
      </c>
      <c r="D180" s="1019"/>
      <c r="E180" s="1021">
        <v>25000</v>
      </c>
      <c r="F180" s="1020">
        <v>1</v>
      </c>
      <c r="G180" s="1020">
        <f>E180*F180</f>
        <v>25000</v>
      </c>
      <c r="H180" s="1020"/>
    </row>
    <row r="181" spans="1:8">
      <c r="A181" s="1020" t="s">
        <v>3260</v>
      </c>
      <c r="B181" s="1020" t="s">
        <v>2275</v>
      </c>
      <c r="C181" s="1020" t="s">
        <v>2078</v>
      </c>
      <c r="D181" s="1020"/>
      <c r="E181" s="1021">
        <v>3000</v>
      </c>
      <c r="F181" s="1020">
        <v>1</v>
      </c>
      <c r="G181" s="1020">
        <f>E181*F181</f>
        <v>3000</v>
      </c>
      <c r="H181" s="1020"/>
    </row>
    <row r="182" spans="1:8">
      <c r="A182" s="1020" t="s">
        <v>3249</v>
      </c>
      <c r="B182" s="1020" t="s">
        <v>2102</v>
      </c>
      <c r="C182" s="1020" t="s">
        <v>1965</v>
      </c>
      <c r="D182" s="1020" t="s">
        <v>3258</v>
      </c>
      <c r="E182" s="1021">
        <v>7500</v>
      </c>
      <c r="F182" s="1020">
        <v>1</v>
      </c>
      <c r="G182" s="1020">
        <f>E182*F182</f>
        <v>7500</v>
      </c>
      <c r="H182" s="1020"/>
    </row>
    <row r="183" spans="1:8">
      <c r="A183" s="1019"/>
      <c r="B183" s="1019" t="s">
        <v>130</v>
      </c>
      <c r="C183" s="1019"/>
      <c r="D183" s="1020"/>
      <c r="E183" s="1023"/>
      <c r="F183" s="1019"/>
      <c r="G183" s="1019">
        <f>SUM(G180:G182)</f>
        <v>35500</v>
      </c>
      <c r="H183" s="1020"/>
    </row>
    <row r="184" spans="1:8" ht="22.5">
      <c r="A184" s="1019">
        <v>28</v>
      </c>
      <c r="B184" s="1019" t="s">
        <v>2224</v>
      </c>
      <c r="C184" s="1019" t="s">
        <v>1096</v>
      </c>
      <c r="D184" s="1019"/>
      <c r="E184" s="1021"/>
      <c r="F184" s="1019">
        <v>1</v>
      </c>
      <c r="G184" s="1020"/>
      <c r="H184" s="1020"/>
    </row>
    <row r="185" spans="1:8">
      <c r="A185" s="1020" t="s">
        <v>3253</v>
      </c>
      <c r="B185" s="1020" t="s">
        <v>2225</v>
      </c>
      <c r="C185" s="1020" t="s">
        <v>3261</v>
      </c>
      <c r="D185" s="1019"/>
      <c r="E185" s="1021">
        <v>8000</v>
      </c>
      <c r="F185" s="1020">
        <v>1</v>
      </c>
      <c r="G185" s="1020">
        <f>F185*E185</f>
        <v>8000</v>
      </c>
      <c r="H185" s="1020"/>
    </row>
    <row r="186" spans="1:8">
      <c r="A186" s="1020" t="s">
        <v>3254</v>
      </c>
      <c r="B186" s="1020" t="s">
        <v>2226</v>
      </c>
      <c r="C186" s="1020" t="s">
        <v>2227</v>
      </c>
      <c r="D186" s="1020"/>
      <c r="E186" s="1021">
        <v>300</v>
      </c>
      <c r="F186" s="1020">
        <v>22</v>
      </c>
      <c r="G186" s="1020">
        <f>F186*E186</f>
        <v>6600</v>
      </c>
      <c r="H186" s="1020"/>
    </row>
    <row r="187" spans="1:8">
      <c r="A187" s="1020" t="s">
        <v>3256</v>
      </c>
      <c r="B187" s="1020" t="s">
        <v>2228</v>
      </c>
      <c r="C187" s="1020" t="s">
        <v>3250</v>
      </c>
      <c r="D187" s="1020" t="s">
        <v>2229</v>
      </c>
      <c r="E187" s="1021">
        <v>700</v>
      </c>
      <c r="F187" s="1020">
        <v>1</v>
      </c>
      <c r="G187" s="1020">
        <f>F187*E187</f>
        <v>700</v>
      </c>
      <c r="H187" s="1020"/>
    </row>
    <row r="188" spans="1:8" ht="22.5">
      <c r="A188" s="1020" t="s">
        <v>3260</v>
      </c>
      <c r="B188" s="1020" t="s">
        <v>3262</v>
      </c>
      <c r="C188" s="1020" t="s">
        <v>2052</v>
      </c>
      <c r="D188" s="1020" t="s">
        <v>2231</v>
      </c>
      <c r="E188" s="1021">
        <v>30000</v>
      </c>
      <c r="F188" s="1020">
        <v>1</v>
      </c>
      <c r="G188" s="1020">
        <f>F188*E188</f>
        <v>30000</v>
      </c>
      <c r="H188" s="1020"/>
    </row>
    <row r="189" spans="1:8">
      <c r="A189" s="1020" t="s">
        <v>3249</v>
      </c>
      <c r="B189" s="1020" t="s">
        <v>2102</v>
      </c>
      <c r="C189" s="1020" t="s">
        <v>1965</v>
      </c>
      <c r="D189" s="1020" t="s">
        <v>3258</v>
      </c>
      <c r="E189" s="1021">
        <v>7500</v>
      </c>
      <c r="F189" s="1020">
        <v>2</v>
      </c>
      <c r="G189" s="1020">
        <f>F189*E189</f>
        <v>15000</v>
      </c>
      <c r="H189" s="1020"/>
    </row>
    <row r="190" spans="1:8">
      <c r="A190" s="1019"/>
      <c r="B190" s="1019" t="s">
        <v>130</v>
      </c>
      <c r="C190" s="1019"/>
      <c r="D190" s="1024"/>
      <c r="E190" s="1023"/>
      <c r="F190" s="1019"/>
      <c r="G190" s="1019">
        <f>SUM(G185:G189)</f>
        <v>60300</v>
      </c>
      <c r="H190" s="1020"/>
    </row>
    <row r="191" spans="1:8" ht="22.5">
      <c r="A191" s="1019">
        <v>29</v>
      </c>
      <c r="B191" s="1019" t="s">
        <v>3263</v>
      </c>
      <c r="C191" s="1019" t="s">
        <v>1096</v>
      </c>
      <c r="D191" s="1019"/>
      <c r="E191" s="1021"/>
      <c r="F191" s="1019">
        <v>1</v>
      </c>
      <c r="G191" s="1020"/>
      <c r="H191" s="1020"/>
    </row>
    <row r="192" spans="1:8">
      <c r="A192" s="1020" t="s">
        <v>3260</v>
      </c>
      <c r="B192" s="1020" t="s">
        <v>3264</v>
      </c>
      <c r="C192" s="1020" t="s">
        <v>3250</v>
      </c>
      <c r="D192" s="1020"/>
      <c r="E192" s="1021">
        <v>800</v>
      </c>
      <c r="F192" s="1020">
        <v>1</v>
      </c>
      <c r="G192" s="1020">
        <f>E192*F192</f>
        <v>800</v>
      </c>
      <c r="H192" s="1020"/>
    </row>
    <row r="193" spans="1:8">
      <c r="A193" s="1020" t="s">
        <v>3257</v>
      </c>
      <c r="B193" s="1020" t="s">
        <v>3265</v>
      </c>
      <c r="C193" s="1020" t="s">
        <v>3250</v>
      </c>
      <c r="D193" s="1020"/>
      <c r="E193" s="1021">
        <v>700</v>
      </c>
      <c r="F193" s="1020">
        <v>4</v>
      </c>
      <c r="G193" s="1020">
        <f>E193*F193</f>
        <v>2800</v>
      </c>
      <c r="H193" s="1020"/>
    </row>
    <row r="194" spans="1:8">
      <c r="A194" s="1020" t="s">
        <v>3266</v>
      </c>
      <c r="B194" s="1020" t="s">
        <v>2102</v>
      </c>
      <c r="C194" s="1020" t="s">
        <v>1965</v>
      </c>
      <c r="D194" s="1020" t="s">
        <v>3258</v>
      </c>
      <c r="E194" s="1021">
        <v>7500</v>
      </c>
      <c r="F194" s="1020">
        <v>1</v>
      </c>
      <c r="G194" s="1020">
        <f>E194*F194</f>
        <v>7500</v>
      </c>
      <c r="H194" s="1020"/>
    </row>
    <row r="195" spans="1:8">
      <c r="A195" s="1019"/>
      <c r="B195" s="1019" t="s">
        <v>130</v>
      </c>
      <c r="C195" s="1019"/>
      <c r="D195" s="1024"/>
      <c r="E195" s="1023"/>
      <c r="F195" s="1019"/>
      <c r="G195" s="1019">
        <f>SUM(G192:G194)</f>
        <v>11100</v>
      </c>
      <c r="H195" s="1020"/>
    </row>
    <row r="196" spans="1:8" ht="22.5">
      <c r="A196" s="1019">
        <v>31</v>
      </c>
      <c r="B196" s="1019" t="s">
        <v>3267</v>
      </c>
      <c r="C196" s="1019" t="s">
        <v>1096</v>
      </c>
      <c r="D196" s="1019"/>
      <c r="E196" s="1021"/>
      <c r="F196" s="1019">
        <v>2</v>
      </c>
      <c r="G196" s="1020"/>
      <c r="H196" s="1020"/>
    </row>
    <row r="197" spans="1:8">
      <c r="A197" s="1020" t="s">
        <v>3249</v>
      </c>
      <c r="B197" s="1022" t="s">
        <v>3268</v>
      </c>
      <c r="C197" s="1020" t="s">
        <v>3261</v>
      </c>
      <c r="D197" s="1028"/>
      <c r="E197" s="1021">
        <v>3000</v>
      </c>
      <c r="F197" s="1020">
        <v>1</v>
      </c>
      <c r="G197" s="1020">
        <f>E197*F197</f>
        <v>3000</v>
      </c>
      <c r="H197" s="1020"/>
    </row>
    <row r="198" spans="1:8">
      <c r="A198" s="1019"/>
      <c r="B198" s="1019" t="s">
        <v>130</v>
      </c>
      <c r="C198" s="1019"/>
      <c r="D198" s="1024"/>
      <c r="E198" s="1023"/>
      <c r="F198" s="1019"/>
      <c r="G198" s="1019">
        <f>SUM(G197:G197)</f>
        <v>3000</v>
      </c>
      <c r="H198" s="1020"/>
    </row>
    <row r="199" spans="1:8" ht="33.75">
      <c r="A199" s="1019">
        <v>32</v>
      </c>
      <c r="B199" s="1019" t="s">
        <v>2277</v>
      </c>
      <c r="C199" s="1019"/>
      <c r="D199" s="1019"/>
      <c r="E199" s="1021"/>
      <c r="F199" s="1019"/>
      <c r="G199" s="1020"/>
      <c r="H199" s="1020"/>
    </row>
    <row r="200" spans="1:8">
      <c r="A200" s="1020" t="s">
        <v>3260</v>
      </c>
      <c r="B200" s="1020" t="s">
        <v>2005</v>
      </c>
      <c r="C200" s="1020" t="s">
        <v>2078</v>
      </c>
      <c r="D200" s="1024"/>
      <c r="E200" s="1021">
        <v>3000</v>
      </c>
      <c r="F200" s="1020">
        <v>1</v>
      </c>
      <c r="G200" s="1020">
        <f>E200*F200</f>
        <v>3000</v>
      </c>
      <c r="H200" s="1020"/>
    </row>
    <row r="201" spans="1:8" ht="22.5">
      <c r="A201" s="1020" t="s">
        <v>3249</v>
      </c>
      <c r="B201" s="1020" t="s">
        <v>2278</v>
      </c>
      <c r="C201" s="1020" t="s">
        <v>3269</v>
      </c>
      <c r="D201" s="1020" t="s">
        <v>3270</v>
      </c>
      <c r="E201" s="1020">
        <v>1600</v>
      </c>
      <c r="F201" s="1020">
        <v>75</v>
      </c>
      <c r="G201" s="1020">
        <f t="shared" ref="G201:G206" si="18">F201*E201</f>
        <v>120000</v>
      </c>
      <c r="H201" s="1020"/>
    </row>
    <row r="202" spans="1:8" ht="22.5">
      <c r="A202" s="1020" t="s">
        <v>3257</v>
      </c>
      <c r="B202" s="1020" t="s">
        <v>3271</v>
      </c>
      <c r="C202" s="1020" t="s">
        <v>2144</v>
      </c>
      <c r="D202" s="1020" t="s">
        <v>3272</v>
      </c>
      <c r="E202" s="1020">
        <v>2000</v>
      </c>
      <c r="F202" s="1020">
        <v>20</v>
      </c>
      <c r="G202" s="1020">
        <f t="shared" si="18"/>
        <v>40000</v>
      </c>
      <c r="H202" s="1020"/>
    </row>
    <row r="203" spans="1:8" ht="22.5">
      <c r="A203" s="1020" t="s">
        <v>3273</v>
      </c>
      <c r="B203" s="1020" t="s">
        <v>3274</v>
      </c>
      <c r="C203" s="1020" t="s">
        <v>3269</v>
      </c>
      <c r="D203" s="1020"/>
      <c r="E203" s="1021">
        <v>20000</v>
      </c>
      <c r="F203" s="1020">
        <v>1</v>
      </c>
      <c r="G203" s="1020">
        <f t="shared" si="18"/>
        <v>20000</v>
      </c>
      <c r="H203" s="1020"/>
    </row>
    <row r="204" spans="1:8">
      <c r="A204" s="1020" t="s">
        <v>3275</v>
      </c>
      <c r="B204" s="1020" t="s">
        <v>3276</v>
      </c>
      <c r="C204" s="1020" t="s">
        <v>3277</v>
      </c>
      <c r="D204" s="1020"/>
      <c r="E204" s="1021">
        <v>250000</v>
      </c>
      <c r="F204" s="1020">
        <v>1</v>
      </c>
      <c r="G204" s="1020">
        <f t="shared" si="18"/>
        <v>250000</v>
      </c>
      <c r="H204" s="1020"/>
    </row>
    <row r="205" spans="1:8">
      <c r="A205" s="1020" t="s">
        <v>3278</v>
      </c>
      <c r="B205" s="1020" t="s">
        <v>2280</v>
      </c>
      <c r="C205" s="1020" t="s">
        <v>3279</v>
      </c>
      <c r="D205" s="1020"/>
      <c r="E205" s="1021">
        <v>50000</v>
      </c>
      <c r="F205" s="1020">
        <v>1</v>
      </c>
      <c r="G205" s="1020">
        <f t="shared" si="18"/>
        <v>50000</v>
      </c>
      <c r="H205" s="1020"/>
    </row>
    <row r="206" spans="1:8" ht="22.5">
      <c r="A206" s="1020" t="s">
        <v>3280</v>
      </c>
      <c r="B206" s="1020" t="s">
        <v>2281</v>
      </c>
      <c r="C206" s="1020" t="s">
        <v>3279</v>
      </c>
      <c r="D206" s="1020"/>
      <c r="E206" s="1021">
        <v>10000</v>
      </c>
      <c r="F206" s="1020">
        <v>1</v>
      </c>
      <c r="G206" s="1020">
        <f t="shared" si="18"/>
        <v>10000</v>
      </c>
      <c r="H206" s="1020"/>
    </row>
    <row r="207" spans="1:8">
      <c r="A207" s="1019"/>
      <c r="B207" s="1019" t="s">
        <v>130</v>
      </c>
      <c r="C207" s="1019"/>
      <c r="D207" s="1024"/>
      <c r="E207" s="1023"/>
      <c r="F207" s="1019"/>
      <c r="G207" s="1019">
        <f>SUM(G200:G206)</f>
        <v>493000</v>
      </c>
      <c r="H207" s="1020"/>
    </row>
    <row r="208" spans="1:8">
      <c r="A208" s="1019" t="s">
        <v>3281</v>
      </c>
      <c r="B208" s="1019" t="s">
        <v>2173</v>
      </c>
      <c r="C208" s="1019"/>
      <c r="D208" s="1019"/>
      <c r="E208" s="1023"/>
      <c r="F208" s="1019"/>
      <c r="G208" s="1019"/>
      <c r="H208" s="1020"/>
    </row>
    <row r="209" spans="1:8" ht="22.5">
      <c r="A209" s="1019"/>
      <c r="B209" s="1020" t="s">
        <v>3282</v>
      </c>
      <c r="C209" s="1020"/>
      <c r="D209" s="1019"/>
      <c r="E209" s="1023">
        <v>360000</v>
      </c>
      <c r="F209" s="1019">
        <v>1</v>
      </c>
      <c r="G209" s="1019">
        <f>E209*F209</f>
        <v>360000</v>
      </c>
      <c r="H209" s="1020"/>
    </row>
    <row r="210" spans="1:8" ht="22.5">
      <c r="A210" s="1019"/>
      <c r="B210" s="1020" t="s">
        <v>2282</v>
      </c>
      <c r="C210" s="1020"/>
      <c r="D210" s="1019"/>
      <c r="E210" s="1023">
        <v>506300</v>
      </c>
      <c r="F210" s="1019">
        <v>1</v>
      </c>
      <c r="G210" s="1019">
        <f>E210*F210</f>
        <v>506300</v>
      </c>
      <c r="H210" s="1020"/>
    </row>
    <row r="211" spans="1:8">
      <c r="A211" s="1019"/>
      <c r="B211" s="1020" t="s">
        <v>2283</v>
      </c>
      <c r="C211" s="1019"/>
      <c r="D211" s="1020"/>
      <c r="E211" s="1023">
        <v>50000</v>
      </c>
      <c r="F211" s="1019">
        <v>1</v>
      </c>
      <c r="G211" s="1019">
        <f>E211*F211</f>
        <v>50000</v>
      </c>
      <c r="H211" s="1020"/>
    </row>
    <row r="212" spans="1:8" ht="22.5">
      <c r="A212" s="1019"/>
      <c r="B212" s="1020" t="s">
        <v>3283</v>
      </c>
      <c r="C212" s="1019"/>
      <c r="D212" s="1020"/>
      <c r="E212" s="1023">
        <v>280000</v>
      </c>
      <c r="F212" s="1019">
        <v>1</v>
      </c>
      <c r="G212" s="1019">
        <f>E212*F212</f>
        <v>280000</v>
      </c>
      <c r="H212" s="1020"/>
    </row>
    <row r="213" spans="1:8">
      <c r="A213" s="1020"/>
      <c r="B213" s="1019" t="s">
        <v>1136</v>
      </c>
      <c r="C213" s="1019"/>
      <c r="D213" s="1019"/>
      <c r="E213" s="1019"/>
      <c r="F213" s="1019"/>
      <c r="G213" s="1019">
        <f>(G43+G49+G54+G59+G70+G78+G84+G93+G100+G106+G114+G121+G129+G135+G139+G145+G152+G155+G158+G165+G171+G178+G183+G190+G195+G198+G207+G212+G211+G209+G210)</f>
        <v>5841000</v>
      </c>
      <c r="H213" s="1029"/>
    </row>
    <row r="214" spans="1:8" ht="24.75">
      <c r="A214" s="1030"/>
      <c r="B214" s="1031"/>
      <c r="C214" s="1032"/>
      <c r="D214" s="1029"/>
      <c r="E214" s="1031"/>
      <c r="F214" s="1031"/>
      <c r="G214" s="1019">
        <f>G213*0.9</f>
        <v>5256900</v>
      </c>
      <c r="H214" s="1158" t="s">
        <v>3284</v>
      </c>
    </row>
  </sheetData>
  <autoFilter ref="A2:O33"/>
  <mergeCells count="9">
    <mergeCell ref="A1:N1"/>
    <mergeCell ref="A35:H35"/>
    <mergeCell ref="A36:A37"/>
    <mergeCell ref="B36:B37"/>
    <mergeCell ref="C36:C37"/>
    <mergeCell ref="D36:D37"/>
    <mergeCell ref="E36:E37"/>
    <mergeCell ref="F36:G36"/>
    <mergeCell ref="H36:H37"/>
  </mergeCells>
  <phoneticPr fontId="1" type="noConversion"/>
  <dataValidations count="1">
    <dataValidation type="list" allowBlank="1" showInputMessage="1" showErrorMessage="1" sqref="C133 C135">
      <formula1>#REF!</formula1>
    </dataValidation>
  </dataValidations>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sqref="A1:C13"/>
    </sheetView>
  </sheetViews>
  <sheetFormatPr defaultRowHeight="13.5"/>
  <cols>
    <col min="1" max="1" width="14" style="13" customWidth="1"/>
    <col min="2" max="2" width="26.75" style="1" customWidth="1"/>
    <col min="3" max="3" width="24" style="14" customWidth="1"/>
    <col min="4" max="16384" width="9" style="1"/>
  </cols>
  <sheetData>
    <row r="1" spans="1:3" ht="20.25">
      <c r="A1" s="1335" t="s">
        <v>139</v>
      </c>
      <c r="B1" s="1335"/>
      <c r="C1" s="1335"/>
    </row>
    <row r="2" spans="1:3" ht="24.95" customHeight="1">
      <c r="A2" s="23" t="s">
        <v>13</v>
      </c>
      <c r="B2" s="23" t="s">
        <v>140</v>
      </c>
      <c r="C2" s="24" t="s">
        <v>141</v>
      </c>
    </row>
    <row r="3" spans="1:3" ht="24.95" customHeight="1">
      <c r="A3" s="3">
        <v>1</v>
      </c>
      <c r="B3" s="9" t="s">
        <v>14</v>
      </c>
      <c r="C3" s="10">
        <v>40000</v>
      </c>
    </row>
    <row r="4" spans="1:3" ht="24.95" customHeight="1">
      <c r="A4" s="3">
        <v>2</v>
      </c>
      <c r="B4" s="9" t="s">
        <v>15</v>
      </c>
      <c r="C4" s="10">
        <v>40000</v>
      </c>
    </row>
    <row r="5" spans="1:3" ht="24.95" customHeight="1">
      <c r="A5" s="3">
        <v>3</v>
      </c>
      <c r="B5" s="9" t="s">
        <v>16</v>
      </c>
      <c r="C5" s="10">
        <v>40000</v>
      </c>
    </row>
    <row r="6" spans="1:3" ht="24.95" customHeight="1">
      <c r="A6" s="3">
        <v>4</v>
      </c>
      <c r="B6" s="9" t="s">
        <v>17</v>
      </c>
      <c r="C6" s="10">
        <v>40000</v>
      </c>
    </row>
    <row r="7" spans="1:3" ht="24.95" customHeight="1">
      <c r="A7" s="3">
        <v>5</v>
      </c>
      <c r="B7" s="9" t="s">
        <v>18</v>
      </c>
      <c r="C7" s="10">
        <v>40000</v>
      </c>
    </row>
    <row r="8" spans="1:3" ht="24.95" customHeight="1">
      <c r="A8" s="3">
        <v>6</v>
      </c>
      <c r="B8" s="9" t="s">
        <v>19</v>
      </c>
      <c r="C8" s="10">
        <v>40000</v>
      </c>
    </row>
    <row r="9" spans="1:3" ht="24.95" customHeight="1">
      <c r="A9" s="3">
        <v>7</v>
      </c>
      <c r="B9" s="9" t="s">
        <v>20</v>
      </c>
      <c r="C9" s="10">
        <v>40000</v>
      </c>
    </row>
    <row r="10" spans="1:3" ht="24.95" customHeight="1">
      <c r="A10" s="3">
        <v>8</v>
      </c>
      <c r="B10" s="9" t="s">
        <v>21</v>
      </c>
      <c r="C10" s="10">
        <v>40000</v>
      </c>
    </row>
    <row r="11" spans="1:3" ht="24.95" customHeight="1">
      <c r="A11" s="3">
        <v>9</v>
      </c>
      <c r="B11" s="9" t="s">
        <v>22</v>
      </c>
      <c r="C11" s="10">
        <v>40000</v>
      </c>
    </row>
    <row r="12" spans="1:3" ht="24.95" customHeight="1">
      <c r="A12" s="3">
        <v>10</v>
      </c>
      <c r="B12" s="9" t="s">
        <v>23</v>
      </c>
      <c r="C12" s="10">
        <v>40000</v>
      </c>
    </row>
    <row r="13" spans="1:3" ht="24.95" customHeight="1">
      <c r="A13" s="8"/>
      <c r="B13" s="11" t="s">
        <v>24</v>
      </c>
      <c r="C13" s="12">
        <f>SUM(C3:C12)</f>
        <v>400000</v>
      </c>
    </row>
  </sheetData>
  <mergeCells count="1">
    <mergeCell ref="A1:C1"/>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7"/>
  <sheetViews>
    <sheetView topLeftCell="A19" workbookViewId="0">
      <selection activeCell="L28" sqref="L28:M28"/>
    </sheetView>
  </sheetViews>
  <sheetFormatPr defaultColWidth="8.875" defaultRowHeight="13.5"/>
  <cols>
    <col min="1" max="1" width="4.125" style="996" customWidth="1"/>
    <col min="2" max="2" width="6.625" style="996" customWidth="1"/>
    <col min="3" max="3" width="7" style="996" customWidth="1"/>
    <col min="4" max="4" width="26" style="997" customWidth="1"/>
    <col min="5" max="5" width="13.125" style="997" customWidth="1"/>
    <col min="6" max="6" width="19.375" style="997" customWidth="1"/>
    <col min="7" max="7" width="16.75" style="997" customWidth="1"/>
    <col min="8" max="8" width="6.25" style="997" customWidth="1"/>
    <col min="9" max="9" width="9.125" style="995" customWidth="1"/>
    <col min="10" max="10" width="8.875" style="996"/>
    <col min="11" max="11" width="11.625" style="995" customWidth="1"/>
    <col min="12" max="12" width="12.25" style="996" customWidth="1"/>
    <col min="13" max="13" width="13.125" style="996" customWidth="1"/>
    <col min="14" max="14" width="11.5" style="996" customWidth="1"/>
    <col min="15" max="16384" width="8.875" style="996"/>
  </cols>
  <sheetData>
    <row r="1" spans="1:14" s="933" customFormat="1" ht="30" customHeight="1">
      <c r="A1" s="1516" t="s">
        <v>2580</v>
      </c>
      <c r="B1" s="1516"/>
      <c r="C1" s="1516"/>
      <c r="D1" s="1516"/>
      <c r="E1" s="1516"/>
      <c r="F1" s="1516"/>
      <c r="G1" s="1516"/>
      <c r="H1" s="1516"/>
      <c r="I1" s="1516"/>
      <c r="J1" s="1516"/>
      <c r="K1" s="1516"/>
      <c r="L1" s="1480"/>
      <c r="M1" s="1480"/>
      <c r="N1" s="1481"/>
    </row>
    <row r="2" spans="1:14" s="933" customFormat="1" ht="36">
      <c r="A2" s="958" t="s">
        <v>2559</v>
      </c>
      <c r="B2" s="559" t="s">
        <v>2784</v>
      </c>
      <c r="C2" s="559" t="s">
        <v>2785</v>
      </c>
      <c r="D2" s="1033" t="s">
        <v>2560</v>
      </c>
      <c r="E2" s="934" t="s">
        <v>180</v>
      </c>
      <c r="F2" s="934" t="s">
        <v>575</v>
      </c>
      <c r="G2" s="1033" t="s">
        <v>576</v>
      </c>
      <c r="H2" s="1033" t="s">
        <v>577</v>
      </c>
      <c r="I2" s="934" t="s">
        <v>579</v>
      </c>
      <c r="J2" s="934" t="s">
        <v>578</v>
      </c>
      <c r="K2" s="934" t="s">
        <v>580</v>
      </c>
      <c r="L2" s="562" t="s">
        <v>2579</v>
      </c>
      <c r="M2" s="562" t="s">
        <v>2783</v>
      </c>
      <c r="N2" s="1034" t="s">
        <v>1889</v>
      </c>
    </row>
    <row r="3" spans="1:14" s="943" customFormat="1" ht="20.100000000000001" customHeight="1">
      <c r="A3" s="1035">
        <v>1</v>
      </c>
      <c r="B3" s="1035" t="s">
        <v>2581</v>
      </c>
      <c r="C3" s="1035" t="s">
        <v>2582</v>
      </c>
      <c r="D3" s="964" t="s">
        <v>2583</v>
      </c>
      <c r="E3" s="699" t="s">
        <v>2536</v>
      </c>
      <c r="F3" s="939" t="s">
        <v>2555</v>
      </c>
      <c r="G3" s="939" t="s">
        <v>2556</v>
      </c>
      <c r="H3" s="938"/>
      <c r="I3" s="940">
        <v>7600</v>
      </c>
      <c r="J3" s="1036">
        <v>55</v>
      </c>
      <c r="K3" s="1037">
        <f>I3*J3</f>
        <v>418000</v>
      </c>
      <c r="L3" s="941">
        <f>K3</f>
        <v>418000</v>
      </c>
      <c r="M3" s="941"/>
      <c r="N3" s="1038"/>
    </row>
    <row r="4" spans="1:14" s="943" customFormat="1" ht="20.100000000000001" customHeight="1">
      <c r="A4" s="697"/>
      <c r="B4" s="944" t="s">
        <v>2036</v>
      </c>
      <c r="C4" s="697"/>
      <c r="D4" s="944" t="s">
        <v>2543</v>
      </c>
      <c r="E4" s="698"/>
      <c r="F4" s="698"/>
      <c r="G4" s="698"/>
      <c r="H4" s="698"/>
      <c r="I4" s="700"/>
      <c r="J4" s="697"/>
      <c r="K4" s="945">
        <f>SUM(K3:K3)</f>
        <v>418000</v>
      </c>
      <c r="L4" s="946">
        <f t="shared" ref="L4:M4" si="0">SUM(L3:L3)</f>
        <v>418000</v>
      </c>
      <c r="M4" s="946">
        <f t="shared" si="0"/>
        <v>0</v>
      </c>
      <c r="N4" s="1039"/>
    </row>
    <row r="5" spans="1:14" s="943" customFormat="1" ht="20.100000000000001" customHeight="1">
      <c r="A5" s="697">
        <v>2</v>
      </c>
      <c r="B5" s="697" t="s">
        <v>2581</v>
      </c>
      <c r="C5" s="1005" t="s">
        <v>2584</v>
      </c>
      <c r="D5" s="939" t="s">
        <v>2037</v>
      </c>
      <c r="E5" s="699" t="s">
        <v>2536</v>
      </c>
      <c r="F5" s="939" t="s">
        <v>2555</v>
      </c>
      <c r="G5" s="939" t="s">
        <v>2556</v>
      </c>
      <c r="H5" s="938"/>
      <c r="I5" s="940">
        <v>7600</v>
      </c>
      <c r="J5" s="697">
        <v>44</v>
      </c>
      <c r="K5" s="1037">
        <f>I5*J5</f>
        <v>334400</v>
      </c>
      <c r="L5" s="941">
        <f>K5</f>
        <v>334400</v>
      </c>
      <c r="M5" s="941"/>
      <c r="N5" s="1038"/>
    </row>
    <row r="6" spans="1:14" s="943" customFormat="1" ht="20.100000000000001" customHeight="1">
      <c r="A6" s="697"/>
      <c r="B6" s="944" t="s">
        <v>2036</v>
      </c>
      <c r="C6" s="697"/>
      <c r="D6" s="944" t="s">
        <v>2543</v>
      </c>
      <c r="E6" s="698"/>
      <c r="F6" s="698"/>
      <c r="G6" s="698"/>
      <c r="H6" s="698"/>
      <c r="I6" s="700"/>
      <c r="J6" s="697"/>
      <c r="K6" s="945">
        <f>SUM(K5:K5)</f>
        <v>334400</v>
      </c>
      <c r="L6" s="946">
        <f t="shared" ref="L6:M6" si="1">SUM(L5:L5)</f>
        <v>334400</v>
      </c>
      <c r="M6" s="946">
        <f t="shared" si="1"/>
        <v>0</v>
      </c>
      <c r="N6" s="1039"/>
    </row>
    <row r="7" spans="1:14" s="952" customFormat="1" ht="20.100000000000001" customHeight="1">
      <c r="A7" s="697">
        <v>3</v>
      </c>
      <c r="B7" s="697" t="s">
        <v>2581</v>
      </c>
      <c r="C7" s="697" t="s">
        <v>2541</v>
      </c>
      <c r="D7" s="698" t="s">
        <v>2585</v>
      </c>
      <c r="E7" s="699" t="s">
        <v>2536</v>
      </c>
      <c r="F7" s="938" t="s">
        <v>2586</v>
      </c>
      <c r="G7" s="938" t="s">
        <v>1880</v>
      </c>
      <c r="H7" s="697"/>
      <c r="I7" s="940">
        <v>757598</v>
      </c>
      <c r="J7" s="697">
        <v>1</v>
      </c>
      <c r="K7" s="700">
        <f>I7*J7</f>
        <v>757598</v>
      </c>
      <c r="L7" s="701">
        <v>757598</v>
      </c>
      <c r="M7" s="941"/>
      <c r="N7" s="1038" t="s">
        <v>2780</v>
      </c>
    </row>
    <row r="8" spans="1:14" s="943" customFormat="1" ht="20.100000000000001" customHeight="1">
      <c r="A8" s="697">
        <v>3</v>
      </c>
      <c r="B8" s="697" t="s">
        <v>2581</v>
      </c>
      <c r="C8" s="697" t="s">
        <v>2541</v>
      </c>
      <c r="D8" s="698" t="s">
        <v>2585</v>
      </c>
      <c r="E8" s="699" t="s">
        <v>2536</v>
      </c>
      <c r="F8" s="939" t="s">
        <v>2555</v>
      </c>
      <c r="G8" s="939" t="s">
        <v>2556</v>
      </c>
      <c r="H8" s="938"/>
      <c r="I8" s="940">
        <v>7600</v>
      </c>
      <c r="J8" s="697">
        <v>37</v>
      </c>
      <c r="K8" s="1037">
        <f>I8*J8</f>
        <v>281200</v>
      </c>
      <c r="L8" s="941">
        <f>K8</f>
        <v>281200</v>
      </c>
      <c r="M8" s="941"/>
      <c r="N8" s="1038"/>
    </row>
    <row r="9" spans="1:14" s="943" customFormat="1" ht="20.100000000000001" customHeight="1">
      <c r="A9" s="697"/>
      <c r="B9" s="944" t="s">
        <v>2036</v>
      </c>
      <c r="C9" s="697"/>
      <c r="D9" s="944" t="s">
        <v>2543</v>
      </c>
      <c r="E9" s="698"/>
      <c r="F9" s="698"/>
      <c r="G9" s="698"/>
      <c r="H9" s="698"/>
      <c r="I9" s="700"/>
      <c r="J9" s="697"/>
      <c r="K9" s="945">
        <f>SUM(K7:K8)</f>
        <v>1038798</v>
      </c>
      <c r="L9" s="946">
        <f t="shared" ref="L9:M9" si="2">SUM(L7:L8)</f>
        <v>1038798</v>
      </c>
      <c r="M9" s="946">
        <f t="shared" si="2"/>
        <v>0</v>
      </c>
      <c r="N9" s="1039"/>
    </row>
    <row r="10" spans="1:14" s="943" customFormat="1" ht="20.100000000000001" customHeight="1">
      <c r="A10" s="697">
        <v>4</v>
      </c>
      <c r="B10" s="697" t="s">
        <v>2581</v>
      </c>
      <c r="C10" s="697" t="s">
        <v>2587</v>
      </c>
      <c r="D10" s="698" t="s">
        <v>2588</v>
      </c>
      <c r="E10" s="699" t="s">
        <v>2536</v>
      </c>
      <c r="F10" s="939" t="s">
        <v>2555</v>
      </c>
      <c r="G10" s="939" t="s">
        <v>2556</v>
      </c>
      <c r="H10" s="698" t="s">
        <v>2038</v>
      </c>
      <c r="I10" s="700">
        <v>7600</v>
      </c>
      <c r="J10" s="697">
        <v>20</v>
      </c>
      <c r="K10" s="1037">
        <f>I10*J10</f>
        <v>152000</v>
      </c>
      <c r="L10" s="941">
        <f>K10</f>
        <v>152000</v>
      </c>
      <c r="M10" s="941"/>
      <c r="N10" s="1038"/>
    </row>
    <row r="11" spans="1:14" s="943" customFormat="1" ht="20.100000000000001" customHeight="1">
      <c r="A11" s="697"/>
      <c r="B11" s="944" t="s">
        <v>2036</v>
      </c>
      <c r="C11" s="697"/>
      <c r="D11" s="944" t="s">
        <v>2543</v>
      </c>
      <c r="E11" s="698"/>
      <c r="F11" s="698"/>
      <c r="G11" s="698"/>
      <c r="H11" s="698"/>
      <c r="I11" s="700"/>
      <c r="J11" s="697"/>
      <c r="K11" s="945">
        <f>SUM(K10:K10)</f>
        <v>152000</v>
      </c>
      <c r="L11" s="946">
        <f t="shared" ref="L11:M11" si="3">SUM(L10:L10)</f>
        <v>152000</v>
      </c>
      <c r="M11" s="946">
        <f t="shared" si="3"/>
        <v>0</v>
      </c>
      <c r="N11" s="1039"/>
    </row>
    <row r="12" spans="1:14" s="943" customFormat="1" ht="20.100000000000001" customHeight="1">
      <c r="A12" s="968">
        <v>5</v>
      </c>
      <c r="B12" s="969" t="s">
        <v>2581</v>
      </c>
      <c r="C12" s="968" t="s">
        <v>2544</v>
      </c>
      <c r="D12" s="1008" t="s">
        <v>2589</v>
      </c>
      <c r="E12" s="699" t="s">
        <v>2536</v>
      </c>
      <c r="F12" s="938" t="s">
        <v>2590</v>
      </c>
      <c r="G12" s="938" t="s">
        <v>2590</v>
      </c>
      <c r="H12" s="698" t="s">
        <v>2038</v>
      </c>
      <c r="I12" s="971">
        <v>15000</v>
      </c>
      <c r="J12" s="972">
        <v>12</v>
      </c>
      <c r="K12" s="971">
        <f>J12*I12</f>
        <v>180000</v>
      </c>
      <c r="L12" s="941">
        <v>180000</v>
      </c>
      <c r="M12" s="941"/>
      <c r="N12" s="1040"/>
    </row>
    <row r="13" spans="1:14" s="943" customFormat="1" ht="20.100000000000001" customHeight="1">
      <c r="A13" s="974"/>
      <c r="B13" s="975"/>
      <c r="C13" s="968"/>
      <c r="D13" s="944" t="s">
        <v>2543</v>
      </c>
      <c r="E13" s="976"/>
      <c r="F13" s="976"/>
      <c r="G13" s="977"/>
      <c r="H13" s="977"/>
      <c r="I13" s="978"/>
      <c r="J13" s="979"/>
      <c r="K13" s="978">
        <f>SUBTOTAL(9,K12:K12)</f>
        <v>180000</v>
      </c>
      <c r="L13" s="980">
        <f t="shared" ref="L13:M13" si="4">SUBTOTAL(9,L12:L12)</f>
        <v>180000</v>
      </c>
      <c r="M13" s="980">
        <f t="shared" si="4"/>
        <v>0</v>
      </c>
      <c r="N13" s="1041"/>
    </row>
    <row r="14" spans="1:14" s="943" customFormat="1" ht="20.100000000000001" customHeight="1">
      <c r="A14" s="968">
        <v>6</v>
      </c>
      <c r="B14" s="969" t="s">
        <v>2581</v>
      </c>
      <c r="C14" s="968" t="s">
        <v>2544</v>
      </c>
      <c r="D14" s="1008" t="s">
        <v>2591</v>
      </c>
      <c r="E14" s="699" t="s">
        <v>2536</v>
      </c>
      <c r="F14" s="699" t="s">
        <v>2244</v>
      </c>
      <c r="G14" s="699" t="s">
        <v>2244</v>
      </c>
      <c r="H14" s="698" t="s">
        <v>2038</v>
      </c>
      <c r="I14" s="971">
        <v>100000</v>
      </c>
      <c r="J14" s="972">
        <v>1</v>
      </c>
      <c r="K14" s="985">
        <f>I14*J14</f>
        <v>100000</v>
      </c>
      <c r="L14" s="941">
        <v>100000</v>
      </c>
      <c r="M14" s="941"/>
      <c r="N14" s="1040"/>
    </row>
    <row r="15" spans="1:14" s="943" customFormat="1" ht="20.100000000000001" customHeight="1">
      <c r="A15" s="974"/>
      <c r="B15" s="975"/>
      <c r="C15" s="968"/>
      <c r="D15" s="944" t="s">
        <v>2543</v>
      </c>
      <c r="E15" s="976"/>
      <c r="F15" s="976"/>
      <c r="G15" s="977"/>
      <c r="H15" s="977"/>
      <c r="I15" s="978"/>
      <c r="J15" s="979"/>
      <c r="K15" s="978">
        <f>SUM(K14:K14)</f>
        <v>100000</v>
      </c>
      <c r="L15" s="980">
        <f t="shared" ref="L15:M15" si="5">SUM(L14:L14)</f>
        <v>100000</v>
      </c>
      <c r="M15" s="980">
        <f t="shared" si="5"/>
        <v>0</v>
      </c>
      <c r="N15" s="1041"/>
    </row>
    <row r="16" spans="1:14" s="943" customFormat="1" ht="20.100000000000001" customHeight="1">
      <c r="A16" s="968">
        <v>7</v>
      </c>
      <c r="B16" s="969" t="s">
        <v>2581</v>
      </c>
      <c r="C16" s="968" t="s">
        <v>2544</v>
      </c>
      <c r="D16" s="1008" t="s">
        <v>2592</v>
      </c>
      <c r="E16" s="699" t="s">
        <v>2536</v>
      </c>
      <c r="F16" s="699" t="s">
        <v>2593</v>
      </c>
      <c r="G16" s="699" t="s">
        <v>2593</v>
      </c>
      <c r="H16" s="938" t="s">
        <v>2594</v>
      </c>
      <c r="I16" s="971">
        <v>250000</v>
      </c>
      <c r="J16" s="972">
        <v>1</v>
      </c>
      <c r="K16" s="971">
        <f>I16*J16</f>
        <v>250000</v>
      </c>
      <c r="L16" s="941">
        <v>250000</v>
      </c>
      <c r="M16" s="941"/>
      <c r="N16" s="1040"/>
    </row>
    <row r="17" spans="1:14" s="943" customFormat="1" ht="20.100000000000001" customHeight="1">
      <c r="A17" s="968">
        <v>7</v>
      </c>
      <c r="B17" s="969" t="s">
        <v>2581</v>
      </c>
      <c r="C17" s="968" t="s">
        <v>2544</v>
      </c>
      <c r="D17" s="1008" t="s">
        <v>2592</v>
      </c>
      <c r="E17" s="699" t="s">
        <v>2536</v>
      </c>
      <c r="F17" s="1013" t="s">
        <v>2039</v>
      </c>
      <c r="G17" s="1042" t="s">
        <v>2595</v>
      </c>
      <c r="H17" s="938" t="s">
        <v>2594</v>
      </c>
      <c r="I17" s="985">
        <v>100000</v>
      </c>
      <c r="J17" s="986">
        <v>1</v>
      </c>
      <c r="K17" s="971">
        <f t="shared" ref="K17" si="6">I17*J17</f>
        <v>100000</v>
      </c>
      <c r="L17" s="941">
        <v>100000</v>
      </c>
      <c r="M17" s="941"/>
      <c r="N17" s="1043"/>
    </row>
    <row r="18" spans="1:14" s="943" customFormat="1" ht="20.100000000000001" customHeight="1">
      <c r="A18" s="1044"/>
      <c r="B18" s="1044"/>
      <c r="C18" s="982"/>
      <c r="D18" s="1045" t="s">
        <v>2543</v>
      </c>
      <c r="E18" s="1046"/>
      <c r="F18" s="1047"/>
      <c r="G18" s="1048"/>
      <c r="H18" s="1048"/>
      <c r="I18" s="1049"/>
      <c r="J18" s="1050"/>
      <c r="K18" s="1049">
        <f>SUM(K16:K17)</f>
        <v>350000</v>
      </c>
      <c r="L18" s="980">
        <f t="shared" ref="L18:M18" si="7">SUM(L16:L17)</f>
        <v>350000</v>
      </c>
      <c r="M18" s="980">
        <f t="shared" si="7"/>
        <v>0</v>
      </c>
      <c r="N18" s="1051"/>
    </row>
    <row r="19" spans="1:14" s="943" customFormat="1" ht="20.100000000000001" customHeight="1">
      <c r="A19" s="968">
        <v>8</v>
      </c>
      <c r="B19" s="968" t="s">
        <v>2581</v>
      </c>
      <c r="C19" s="968" t="s">
        <v>2544</v>
      </c>
      <c r="D19" s="1013" t="s">
        <v>2596</v>
      </c>
      <c r="E19" s="699" t="s">
        <v>2536</v>
      </c>
      <c r="F19" s="1013" t="s">
        <v>2039</v>
      </c>
      <c r="G19" s="1013" t="s">
        <v>2039</v>
      </c>
      <c r="H19" s="938" t="s">
        <v>2594</v>
      </c>
      <c r="I19" s="991">
        <v>100000</v>
      </c>
      <c r="J19" s="968">
        <v>2</v>
      </c>
      <c r="K19" s="991">
        <f>I19*J19</f>
        <v>200000</v>
      </c>
      <c r="L19" s="941">
        <v>46802</v>
      </c>
      <c r="M19" s="941">
        <f>K19-L19</f>
        <v>153198</v>
      </c>
      <c r="N19" s="1052"/>
    </row>
    <row r="20" spans="1:14" s="943" customFormat="1" ht="20.100000000000001" customHeight="1">
      <c r="A20" s="968">
        <v>8</v>
      </c>
      <c r="B20" s="968" t="s">
        <v>2581</v>
      </c>
      <c r="C20" s="968" t="s">
        <v>2544</v>
      </c>
      <c r="D20" s="1013" t="s">
        <v>2596</v>
      </c>
      <c r="E20" s="699" t="s">
        <v>2536</v>
      </c>
      <c r="F20" s="938" t="s">
        <v>2590</v>
      </c>
      <c r="G20" s="938" t="s">
        <v>2590</v>
      </c>
      <c r="H20" s="938"/>
      <c r="I20" s="991">
        <v>15000</v>
      </c>
      <c r="J20" s="968">
        <v>13</v>
      </c>
      <c r="K20" s="991">
        <f>I20*J20</f>
        <v>195000</v>
      </c>
      <c r="L20" s="941"/>
      <c r="M20" s="941">
        <v>195000</v>
      </c>
      <c r="N20" s="1053"/>
    </row>
    <row r="21" spans="1:14" s="943" customFormat="1" ht="20.100000000000001" customHeight="1">
      <c r="A21" s="1054"/>
      <c r="B21" s="1054"/>
      <c r="C21" s="960"/>
      <c r="D21" s="1055" t="s">
        <v>2543</v>
      </c>
      <c r="E21" s="1056"/>
      <c r="F21" s="1057"/>
      <c r="G21" s="1058"/>
      <c r="H21" s="1058"/>
      <c r="I21" s="1059"/>
      <c r="J21" s="1060"/>
      <c r="K21" s="1059">
        <f>SUM(K19:K20)</f>
        <v>395000</v>
      </c>
      <c r="L21" s="980">
        <f t="shared" ref="L21:M21" si="8">SUM(L19:L20)</f>
        <v>46802</v>
      </c>
      <c r="M21" s="980">
        <f t="shared" si="8"/>
        <v>348198</v>
      </c>
      <c r="N21" s="1061"/>
    </row>
    <row r="22" spans="1:14" s="943" customFormat="1" ht="20.100000000000001" customHeight="1">
      <c r="A22" s="968">
        <v>9</v>
      </c>
      <c r="B22" s="949" t="s">
        <v>2597</v>
      </c>
      <c r="C22" s="1005" t="s">
        <v>2040</v>
      </c>
      <c r="D22" s="939" t="s">
        <v>2612</v>
      </c>
      <c r="E22" s="699" t="s">
        <v>2536</v>
      </c>
      <c r="F22" s="939" t="s">
        <v>2555</v>
      </c>
      <c r="G22" s="939" t="s">
        <v>2556</v>
      </c>
      <c r="H22" s="938"/>
      <c r="I22" s="940">
        <v>7600</v>
      </c>
      <c r="J22" s="968">
        <v>46</v>
      </c>
      <c r="K22" s="1037">
        <f>I22*J22</f>
        <v>349600</v>
      </c>
      <c r="L22" s="941"/>
      <c r="M22" s="941">
        <v>349600</v>
      </c>
      <c r="N22" s="1038"/>
    </row>
    <row r="23" spans="1:14" s="943" customFormat="1" ht="20.100000000000001" customHeight="1">
      <c r="A23" s="974"/>
      <c r="B23" s="974"/>
      <c r="C23" s="968"/>
      <c r="D23" s="958" t="s">
        <v>2543</v>
      </c>
      <c r="E23" s="1062"/>
      <c r="F23" s="988"/>
      <c r="G23" s="989"/>
      <c r="H23" s="989"/>
      <c r="I23" s="980"/>
      <c r="J23" s="974"/>
      <c r="K23" s="980">
        <f>SUM(K22:K22)</f>
        <v>349600</v>
      </c>
      <c r="L23" s="980">
        <f t="shared" ref="L23:M23" si="9">SUM(L22:L22)</f>
        <v>0</v>
      </c>
      <c r="M23" s="980">
        <f t="shared" si="9"/>
        <v>349600</v>
      </c>
      <c r="N23" s="1053"/>
    </row>
    <row r="24" spans="1:14" s="943" customFormat="1" ht="20.100000000000001" customHeight="1">
      <c r="A24" s="949">
        <v>10</v>
      </c>
      <c r="B24" s="969" t="s">
        <v>2581</v>
      </c>
      <c r="C24" s="949" t="s">
        <v>2613</v>
      </c>
      <c r="D24" s="993" t="s">
        <v>2041</v>
      </c>
      <c r="E24" s="993" t="s">
        <v>2614</v>
      </c>
      <c r="F24" s="993" t="s">
        <v>2614</v>
      </c>
      <c r="G24" s="993" t="s">
        <v>2614</v>
      </c>
      <c r="H24" s="938"/>
      <c r="I24" s="940">
        <f>[4]马桥实验学校!G102</f>
        <v>1983750</v>
      </c>
      <c r="J24" s="949">
        <v>1</v>
      </c>
      <c r="K24" s="940">
        <f>J24*I24</f>
        <v>1983750</v>
      </c>
      <c r="L24" s="941"/>
      <c r="M24" s="941">
        <f>K24-L24</f>
        <v>1983750</v>
      </c>
      <c r="N24" s="1038"/>
    </row>
    <row r="25" spans="1:14" s="943" customFormat="1" ht="20.100000000000001" customHeight="1">
      <c r="A25" s="949"/>
      <c r="B25" s="949"/>
      <c r="C25" s="949"/>
      <c r="D25" s="958" t="s">
        <v>2543</v>
      </c>
      <c r="E25" s="938"/>
      <c r="F25" s="938"/>
      <c r="G25" s="938"/>
      <c r="H25" s="938"/>
      <c r="I25" s="940"/>
      <c r="J25" s="949"/>
      <c r="K25" s="946">
        <f>SUM(K24)</f>
        <v>1983750</v>
      </c>
      <c r="L25" s="946">
        <f t="shared" ref="L25:M25" si="10">SUM(L24)</f>
        <v>0</v>
      </c>
      <c r="M25" s="946">
        <f t="shared" si="10"/>
        <v>1983750</v>
      </c>
      <c r="N25" s="1063"/>
    </row>
    <row r="26" spans="1:14" s="943" customFormat="1" ht="20.100000000000001" customHeight="1">
      <c r="A26" s="949">
        <v>11</v>
      </c>
      <c r="B26" s="969" t="s">
        <v>2581</v>
      </c>
      <c r="C26" s="949" t="s">
        <v>2613</v>
      </c>
      <c r="D26" s="939" t="s">
        <v>2615</v>
      </c>
      <c r="E26" s="993" t="s">
        <v>2614</v>
      </c>
      <c r="F26" s="993" t="s">
        <v>2614</v>
      </c>
      <c r="G26" s="993" t="s">
        <v>2614</v>
      </c>
      <c r="H26" s="938"/>
      <c r="I26" s="940">
        <f>[4]马桥文来外分校!G105</f>
        <v>2228000</v>
      </c>
      <c r="J26" s="949">
        <v>1</v>
      </c>
      <c r="K26" s="940">
        <f>J26*I26</f>
        <v>2228000</v>
      </c>
      <c r="L26" s="941"/>
      <c r="M26" s="941">
        <f>K26-L26</f>
        <v>2228000</v>
      </c>
      <c r="N26" s="1038"/>
    </row>
    <row r="27" spans="1:14" s="943" customFormat="1" ht="20.100000000000001" customHeight="1">
      <c r="A27" s="949"/>
      <c r="B27" s="949"/>
      <c r="C27" s="949"/>
      <c r="D27" s="958" t="s">
        <v>2543</v>
      </c>
      <c r="E27" s="938"/>
      <c r="F27" s="938"/>
      <c r="G27" s="938"/>
      <c r="H27" s="938"/>
      <c r="I27" s="940"/>
      <c r="J27" s="949"/>
      <c r="K27" s="946">
        <f>SUM(K26)</f>
        <v>2228000</v>
      </c>
      <c r="L27" s="946">
        <f t="shared" ref="L27:M27" si="11">SUM(L26)</f>
        <v>0</v>
      </c>
      <c r="M27" s="946">
        <f t="shared" si="11"/>
        <v>2228000</v>
      </c>
      <c r="N27" s="1063"/>
    </row>
    <row r="28" spans="1:14" s="943" customFormat="1" ht="20.100000000000001" customHeight="1">
      <c r="A28" s="941"/>
      <c r="B28" s="941"/>
      <c r="C28" s="941"/>
      <c r="D28" s="958" t="s">
        <v>2558</v>
      </c>
      <c r="E28" s="993"/>
      <c r="F28" s="993"/>
      <c r="G28" s="993"/>
      <c r="H28" s="993"/>
      <c r="I28" s="994"/>
      <c r="J28" s="941"/>
      <c r="K28" s="946">
        <f>SUM(K27,K25,K23,K21,K18,K15,K13,K11,K9,K6,K4)</f>
        <v>7529548</v>
      </c>
      <c r="L28" s="946">
        <f t="shared" ref="L28:M28" si="12">SUM(L27,L25,L23,L21,L18,L15,L13,L11,L9,L6,L4)</f>
        <v>2620000</v>
      </c>
      <c r="M28" s="946">
        <f t="shared" si="12"/>
        <v>4909548</v>
      </c>
      <c r="N28" s="1063"/>
    </row>
    <row r="30" spans="1:14">
      <c r="A30" s="1524" t="s">
        <v>2042</v>
      </c>
      <c r="B30" s="1524"/>
      <c r="C30" s="1524"/>
      <c r="D30" s="1524"/>
      <c r="E30" s="1524"/>
      <c r="F30" s="1524"/>
      <c r="G30" s="1524"/>
      <c r="H30" s="1524"/>
    </row>
    <row r="31" spans="1:14">
      <c r="A31" s="1525" t="s">
        <v>0</v>
      </c>
      <c r="B31" s="1525" t="s">
        <v>2043</v>
      </c>
      <c r="C31" s="1525" t="s">
        <v>129</v>
      </c>
      <c r="D31" s="1525" t="s">
        <v>2044</v>
      </c>
      <c r="E31" s="1525" t="s">
        <v>2045</v>
      </c>
      <c r="F31" s="1527" t="s">
        <v>2046</v>
      </c>
      <c r="G31" s="1528"/>
      <c r="H31" s="1525" t="s">
        <v>572</v>
      </c>
    </row>
    <row r="32" spans="1:14">
      <c r="A32" s="1526"/>
      <c r="B32" s="1526"/>
      <c r="C32" s="1526"/>
      <c r="D32" s="1526"/>
      <c r="E32" s="1526"/>
      <c r="F32" s="1064" t="s">
        <v>578</v>
      </c>
      <c r="G32" s="1064" t="s">
        <v>580</v>
      </c>
      <c r="H32" s="1526"/>
    </row>
    <row r="33" spans="1:8">
      <c r="A33" s="1019" t="s">
        <v>2047</v>
      </c>
      <c r="B33" s="1019" t="s">
        <v>2048</v>
      </c>
      <c r="C33" s="1019"/>
      <c r="D33" s="1019"/>
      <c r="E33" s="1019"/>
      <c r="F33" s="1019"/>
      <c r="G33" s="1019"/>
      <c r="H33" s="1020"/>
    </row>
    <row r="34" spans="1:8" ht="22.5">
      <c r="A34" s="1019">
        <v>1</v>
      </c>
      <c r="B34" s="1019" t="s">
        <v>2049</v>
      </c>
      <c r="C34" s="1019" t="s">
        <v>1096</v>
      </c>
      <c r="D34" s="1019"/>
      <c r="E34" s="1019"/>
      <c r="F34" s="1019">
        <v>4</v>
      </c>
      <c r="G34" s="1019"/>
      <c r="H34" s="1020"/>
    </row>
    <row r="35" spans="1:8" ht="112.5">
      <c r="A35" s="1020" t="s">
        <v>2050</v>
      </c>
      <c r="B35" s="1020" t="s">
        <v>2051</v>
      </c>
      <c r="C35" s="1020" t="s">
        <v>2052</v>
      </c>
      <c r="D35" s="1022" t="s">
        <v>2053</v>
      </c>
      <c r="E35" s="1021">
        <v>27000</v>
      </c>
      <c r="F35" s="1020">
        <v>4</v>
      </c>
      <c r="G35" s="1020">
        <f>F35*E35</f>
        <v>108000</v>
      </c>
      <c r="H35" s="1020" t="s">
        <v>2054</v>
      </c>
    </row>
    <row r="36" spans="1:8" ht="45">
      <c r="A36" s="1020" t="s">
        <v>2055</v>
      </c>
      <c r="B36" s="1020" t="s">
        <v>2056</v>
      </c>
      <c r="C36" s="1020" t="s">
        <v>2057</v>
      </c>
      <c r="D36" s="1020" t="s">
        <v>2058</v>
      </c>
      <c r="E36" s="1021">
        <v>2000</v>
      </c>
      <c r="F36" s="1020">
        <v>4</v>
      </c>
      <c r="G36" s="1020">
        <f>F36*E36</f>
        <v>8000</v>
      </c>
      <c r="H36" s="1020" t="s">
        <v>2059</v>
      </c>
    </row>
    <row r="37" spans="1:8">
      <c r="A37" s="1020" t="s">
        <v>2060</v>
      </c>
      <c r="B37" s="1020" t="s">
        <v>2061</v>
      </c>
      <c r="C37" s="1020" t="s">
        <v>2052</v>
      </c>
      <c r="D37" s="1020" t="s">
        <v>2062</v>
      </c>
      <c r="E37" s="1021">
        <v>400</v>
      </c>
      <c r="F37" s="1020">
        <v>180</v>
      </c>
      <c r="G37" s="1020">
        <f>F37*E37</f>
        <v>72000</v>
      </c>
      <c r="H37" s="1020"/>
    </row>
    <row r="38" spans="1:8" ht="67.5">
      <c r="A38" s="1020" t="s">
        <v>2063</v>
      </c>
      <c r="B38" s="1020" t="s">
        <v>2064</v>
      </c>
      <c r="C38" s="1020" t="s">
        <v>2065</v>
      </c>
      <c r="D38" s="1020" t="s">
        <v>2066</v>
      </c>
      <c r="E38" s="1021">
        <v>1100</v>
      </c>
      <c r="F38" s="1020">
        <v>4</v>
      </c>
      <c r="G38" s="1020">
        <f>F38*E38</f>
        <v>4400</v>
      </c>
      <c r="H38" s="1020" t="s">
        <v>2067</v>
      </c>
    </row>
    <row r="39" spans="1:8" ht="22.5">
      <c r="A39" s="1020" t="s">
        <v>2068</v>
      </c>
      <c r="B39" s="1020" t="s">
        <v>2069</v>
      </c>
      <c r="C39" s="1020" t="s">
        <v>2052</v>
      </c>
      <c r="D39" s="1020" t="s">
        <v>2070</v>
      </c>
      <c r="E39" s="1021">
        <v>3500</v>
      </c>
      <c r="F39" s="1020">
        <v>4</v>
      </c>
      <c r="G39" s="1020">
        <f>F39*E39</f>
        <v>14000</v>
      </c>
      <c r="H39" s="1020" t="s">
        <v>2071</v>
      </c>
    </row>
    <row r="40" spans="1:8">
      <c r="A40" s="1019"/>
      <c r="B40" s="1019" t="s">
        <v>130</v>
      </c>
      <c r="C40" s="1019"/>
      <c r="D40" s="1019"/>
      <c r="E40" s="1023"/>
      <c r="F40" s="1019"/>
      <c r="G40" s="1019">
        <f>SUM(G35:G39)</f>
        <v>206400</v>
      </c>
      <c r="H40" s="1019"/>
    </row>
    <row r="41" spans="1:8" ht="45">
      <c r="A41" s="1019">
        <v>5</v>
      </c>
      <c r="B41" s="1019" t="s">
        <v>2072</v>
      </c>
      <c r="C41" s="1019" t="s">
        <v>1096</v>
      </c>
      <c r="D41" s="1019"/>
      <c r="E41" s="1021"/>
      <c r="F41" s="1019">
        <v>1</v>
      </c>
      <c r="G41" s="1020"/>
      <c r="H41" s="1020"/>
    </row>
    <row r="42" spans="1:8" ht="112.5">
      <c r="A42" s="1020" t="s">
        <v>2050</v>
      </c>
      <c r="B42" s="1020" t="s">
        <v>2051</v>
      </c>
      <c r="C42" s="1020" t="s">
        <v>2052</v>
      </c>
      <c r="D42" s="1022" t="s">
        <v>2053</v>
      </c>
      <c r="E42" s="1021">
        <v>27000</v>
      </c>
      <c r="F42" s="1020">
        <v>1</v>
      </c>
      <c r="G42" s="1020">
        <f>E42*F42</f>
        <v>27000</v>
      </c>
      <c r="H42" s="1020" t="s">
        <v>2054</v>
      </c>
    </row>
    <row r="43" spans="1:8" ht="22.5">
      <c r="A43" s="1020" t="s">
        <v>2055</v>
      </c>
      <c r="B43" s="1020" t="s">
        <v>2073</v>
      </c>
      <c r="C43" s="1020" t="s">
        <v>2057</v>
      </c>
      <c r="D43" s="1020" t="s">
        <v>2074</v>
      </c>
      <c r="E43" s="1021">
        <v>2500</v>
      </c>
      <c r="F43" s="1020">
        <v>1</v>
      </c>
      <c r="G43" s="1020">
        <f t="shared" ref="G43:G52" si="13">F43*E43</f>
        <v>2500</v>
      </c>
      <c r="H43" s="1020"/>
    </row>
    <row r="44" spans="1:8" ht="33.75">
      <c r="A44" s="1020" t="s">
        <v>2060</v>
      </c>
      <c r="B44" s="1020" t="s">
        <v>2075</v>
      </c>
      <c r="C44" s="1020" t="s">
        <v>2052</v>
      </c>
      <c r="D44" s="1020" t="s">
        <v>2076</v>
      </c>
      <c r="E44" s="1021">
        <v>3000</v>
      </c>
      <c r="F44" s="1020">
        <v>12</v>
      </c>
      <c r="G44" s="1020">
        <f t="shared" si="13"/>
        <v>36000</v>
      </c>
      <c r="H44" s="1020" t="s">
        <v>2077</v>
      </c>
    </row>
    <row r="45" spans="1:8" ht="45">
      <c r="A45" s="1020" t="s">
        <v>2063</v>
      </c>
      <c r="B45" s="1020" t="s">
        <v>1983</v>
      </c>
      <c r="C45" s="1020" t="s">
        <v>2078</v>
      </c>
      <c r="D45" s="1020" t="s">
        <v>2079</v>
      </c>
      <c r="E45" s="1021">
        <v>6500</v>
      </c>
      <c r="F45" s="1020">
        <v>1</v>
      </c>
      <c r="G45" s="1020">
        <f t="shared" si="13"/>
        <v>6500</v>
      </c>
      <c r="H45" s="1020" t="s">
        <v>2080</v>
      </c>
    </row>
    <row r="46" spans="1:8" ht="45">
      <c r="A46" s="1020" t="s">
        <v>2068</v>
      </c>
      <c r="B46" s="1020" t="s">
        <v>2081</v>
      </c>
      <c r="C46" s="1020" t="s">
        <v>2082</v>
      </c>
      <c r="D46" s="1020" t="s">
        <v>2083</v>
      </c>
      <c r="E46" s="1021">
        <v>1200</v>
      </c>
      <c r="F46" s="1020">
        <v>6</v>
      </c>
      <c r="G46" s="1020">
        <f t="shared" si="13"/>
        <v>7200</v>
      </c>
      <c r="H46" s="1020" t="s">
        <v>2084</v>
      </c>
    </row>
    <row r="47" spans="1:8">
      <c r="A47" s="1020" t="s">
        <v>2085</v>
      </c>
      <c r="B47" s="1020" t="s">
        <v>2086</v>
      </c>
      <c r="C47" s="1020" t="s">
        <v>2082</v>
      </c>
      <c r="D47" s="1020" t="s">
        <v>2087</v>
      </c>
      <c r="E47" s="1021">
        <v>700</v>
      </c>
      <c r="F47" s="1020">
        <v>1</v>
      </c>
      <c r="G47" s="1020">
        <f t="shared" si="13"/>
        <v>700</v>
      </c>
      <c r="H47" s="1020"/>
    </row>
    <row r="48" spans="1:8" ht="22.5">
      <c r="A48" s="1020" t="s">
        <v>2088</v>
      </c>
      <c r="B48" s="1020" t="s">
        <v>2089</v>
      </c>
      <c r="C48" s="1020" t="s">
        <v>2090</v>
      </c>
      <c r="D48" s="1020"/>
      <c r="E48" s="1021">
        <v>1500</v>
      </c>
      <c r="F48" s="1020">
        <v>1</v>
      </c>
      <c r="G48" s="1020">
        <f t="shared" si="13"/>
        <v>1500</v>
      </c>
      <c r="H48" s="1020" t="s">
        <v>2091</v>
      </c>
    </row>
    <row r="49" spans="1:8" ht="22.5">
      <c r="A49" s="1020" t="s">
        <v>2092</v>
      </c>
      <c r="B49" s="1020" t="s">
        <v>2093</v>
      </c>
      <c r="C49" s="1020" t="s">
        <v>2082</v>
      </c>
      <c r="D49" s="1020" t="s">
        <v>2094</v>
      </c>
      <c r="E49" s="1021">
        <v>2500</v>
      </c>
      <c r="F49" s="1020">
        <v>1</v>
      </c>
      <c r="G49" s="1020">
        <f t="shared" si="13"/>
        <v>2500</v>
      </c>
      <c r="H49" s="1020" t="s">
        <v>2091</v>
      </c>
    </row>
    <row r="50" spans="1:8" ht="78.75">
      <c r="A50" s="1020" t="s">
        <v>2095</v>
      </c>
      <c r="B50" s="1020" t="s">
        <v>2096</v>
      </c>
      <c r="C50" s="1020" t="s">
        <v>2057</v>
      </c>
      <c r="D50" s="1020" t="s">
        <v>2097</v>
      </c>
      <c r="E50" s="1021">
        <v>2500</v>
      </c>
      <c r="F50" s="1020">
        <v>1</v>
      </c>
      <c r="G50" s="1020">
        <f t="shared" si="13"/>
        <v>2500</v>
      </c>
      <c r="H50" s="1020" t="s">
        <v>2098</v>
      </c>
    </row>
    <row r="51" spans="1:8">
      <c r="A51" s="1020" t="s">
        <v>2099</v>
      </c>
      <c r="B51" s="1020" t="s">
        <v>2100</v>
      </c>
      <c r="C51" s="1020" t="s">
        <v>2052</v>
      </c>
      <c r="D51" s="1020"/>
      <c r="E51" s="1021">
        <v>1600</v>
      </c>
      <c r="F51" s="1020">
        <v>1</v>
      </c>
      <c r="G51" s="1020">
        <f t="shared" si="13"/>
        <v>1600</v>
      </c>
      <c r="H51" s="1020"/>
    </row>
    <row r="52" spans="1:8" ht="45">
      <c r="A52" s="1020" t="s">
        <v>2101</v>
      </c>
      <c r="B52" s="1020" t="s">
        <v>2102</v>
      </c>
      <c r="C52" s="1020" t="s">
        <v>1965</v>
      </c>
      <c r="D52" s="1020" t="s">
        <v>2103</v>
      </c>
      <c r="E52" s="1021">
        <v>7000</v>
      </c>
      <c r="F52" s="1020">
        <v>2</v>
      </c>
      <c r="G52" s="1020">
        <f t="shared" si="13"/>
        <v>14000</v>
      </c>
      <c r="H52" s="1020" t="s">
        <v>2104</v>
      </c>
    </row>
    <row r="53" spans="1:8">
      <c r="A53" s="1019"/>
      <c r="B53" s="1019" t="s">
        <v>130</v>
      </c>
      <c r="C53" s="1019"/>
      <c r="D53" s="1019"/>
      <c r="E53" s="1023"/>
      <c r="F53" s="1019"/>
      <c r="G53" s="1019">
        <f>SUM(G42:G52)</f>
        <v>102000</v>
      </c>
      <c r="H53" s="1019"/>
    </row>
    <row r="54" spans="1:8" ht="45">
      <c r="A54" s="1065">
        <v>6</v>
      </c>
      <c r="B54" s="1065" t="s">
        <v>2105</v>
      </c>
      <c r="C54" s="1065" t="s">
        <v>1096</v>
      </c>
      <c r="D54" s="1065"/>
      <c r="E54" s="1066"/>
      <c r="F54" s="1065">
        <v>1</v>
      </c>
      <c r="G54" s="1067"/>
      <c r="H54" s="1067"/>
    </row>
    <row r="55" spans="1:8" ht="112.5">
      <c r="A55" s="1020" t="s">
        <v>2050</v>
      </c>
      <c r="B55" s="1067" t="s">
        <v>2051</v>
      </c>
      <c r="C55" s="1067" t="s">
        <v>2052</v>
      </c>
      <c r="D55" s="1022" t="s">
        <v>2053</v>
      </c>
      <c r="E55" s="1066">
        <v>27000</v>
      </c>
      <c r="F55" s="1067">
        <v>1</v>
      </c>
      <c r="G55" s="1020">
        <f>E55*F55</f>
        <v>27000</v>
      </c>
      <c r="H55" s="1020" t="s">
        <v>2054</v>
      </c>
    </row>
    <row r="56" spans="1:8" ht="33.75">
      <c r="A56" s="1067" t="s">
        <v>2063</v>
      </c>
      <c r="B56" s="1067" t="s">
        <v>2106</v>
      </c>
      <c r="C56" s="1067" t="s">
        <v>2052</v>
      </c>
      <c r="D56" s="1067" t="s">
        <v>2107</v>
      </c>
      <c r="E56" s="1066">
        <v>15000</v>
      </c>
      <c r="F56" s="1067">
        <v>1</v>
      </c>
      <c r="G56" s="1067">
        <f t="shared" ref="G56:G63" si="14">F56*E56</f>
        <v>15000</v>
      </c>
      <c r="H56" s="1067"/>
    </row>
    <row r="57" spans="1:8">
      <c r="A57" s="1067" t="s">
        <v>2060</v>
      </c>
      <c r="B57" s="1067" t="s">
        <v>2108</v>
      </c>
      <c r="C57" s="1067" t="s">
        <v>1965</v>
      </c>
      <c r="D57" s="1067" t="s">
        <v>2109</v>
      </c>
      <c r="E57" s="1066">
        <v>13000</v>
      </c>
      <c r="F57" s="1067">
        <v>1</v>
      </c>
      <c r="G57" s="1067">
        <f t="shared" si="14"/>
        <v>13000</v>
      </c>
      <c r="H57" s="1067"/>
    </row>
    <row r="58" spans="1:8" ht="45">
      <c r="A58" s="1067" t="s">
        <v>2063</v>
      </c>
      <c r="B58" s="1067" t="s">
        <v>2056</v>
      </c>
      <c r="C58" s="1067" t="s">
        <v>2057</v>
      </c>
      <c r="D58" s="1067" t="s">
        <v>2110</v>
      </c>
      <c r="E58" s="1066">
        <v>2000</v>
      </c>
      <c r="F58" s="1067">
        <v>1</v>
      </c>
      <c r="G58" s="1067">
        <f t="shared" si="14"/>
        <v>2000</v>
      </c>
      <c r="H58" s="1067" t="s">
        <v>2059</v>
      </c>
    </row>
    <row r="59" spans="1:8" ht="22.5">
      <c r="A59" s="1067" t="s">
        <v>2068</v>
      </c>
      <c r="B59" s="1067" t="s">
        <v>2111</v>
      </c>
      <c r="C59" s="1067" t="s">
        <v>2112</v>
      </c>
      <c r="D59" s="1067"/>
      <c r="E59" s="1066">
        <v>200</v>
      </c>
      <c r="F59" s="1067">
        <v>45</v>
      </c>
      <c r="G59" s="1067">
        <f t="shared" si="14"/>
        <v>9000</v>
      </c>
      <c r="H59" s="1067"/>
    </row>
    <row r="60" spans="1:8" ht="22.5">
      <c r="A60" s="1067" t="s">
        <v>2085</v>
      </c>
      <c r="B60" s="1067" t="s">
        <v>2113</v>
      </c>
      <c r="C60" s="1067" t="s">
        <v>2078</v>
      </c>
      <c r="D60" s="1067" t="s">
        <v>2114</v>
      </c>
      <c r="E60" s="1066">
        <v>900</v>
      </c>
      <c r="F60" s="1067">
        <v>10</v>
      </c>
      <c r="G60" s="1067">
        <f t="shared" si="14"/>
        <v>9000</v>
      </c>
      <c r="H60" s="1067"/>
    </row>
    <row r="61" spans="1:8" ht="33.75">
      <c r="A61" s="1067" t="s">
        <v>2088</v>
      </c>
      <c r="B61" s="1067" t="s">
        <v>2115</v>
      </c>
      <c r="C61" s="1067" t="s">
        <v>2082</v>
      </c>
      <c r="D61" s="1067" t="s">
        <v>2116</v>
      </c>
      <c r="E61" s="1066">
        <v>1200</v>
      </c>
      <c r="F61" s="1067">
        <v>6</v>
      </c>
      <c r="G61" s="1067">
        <f t="shared" si="14"/>
        <v>7200</v>
      </c>
      <c r="H61" s="1067" t="s">
        <v>2117</v>
      </c>
    </row>
    <row r="62" spans="1:8">
      <c r="A62" s="1067" t="s">
        <v>2092</v>
      </c>
      <c r="B62" s="1067" t="s">
        <v>2086</v>
      </c>
      <c r="C62" s="1067" t="s">
        <v>2082</v>
      </c>
      <c r="D62" s="1067" t="s">
        <v>2087</v>
      </c>
      <c r="E62" s="1066">
        <v>700</v>
      </c>
      <c r="F62" s="1067">
        <v>1</v>
      </c>
      <c r="G62" s="1067">
        <f t="shared" si="14"/>
        <v>700</v>
      </c>
      <c r="H62" s="1067"/>
    </row>
    <row r="63" spans="1:8" ht="45">
      <c r="A63" s="1067" t="s">
        <v>2095</v>
      </c>
      <c r="B63" s="1067" t="s">
        <v>2102</v>
      </c>
      <c r="C63" s="1067" t="s">
        <v>1965</v>
      </c>
      <c r="D63" s="1067" t="s">
        <v>2103</v>
      </c>
      <c r="E63" s="1066">
        <v>7000</v>
      </c>
      <c r="F63" s="1067">
        <v>2</v>
      </c>
      <c r="G63" s="1067">
        <f t="shared" si="14"/>
        <v>14000</v>
      </c>
      <c r="H63" s="1067" t="s">
        <v>2104</v>
      </c>
    </row>
    <row r="64" spans="1:8">
      <c r="A64" s="1065"/>
      <c r="B64" s="1065" t="s">
        <v>130</v>
      </c>
      <c r="C64" s="1065"/>
      <c r="D64" s="1065"/>
      <c r="E64" s="1068"/>
      <c r="F64" s="1065"/>
      <c r="G64" s="1065">
        <f>SUM(G55:G63)</f>
        <v>96900</v>
      </c>
      <c r="H64" s="1065"/>
    </row>
    <row r="65" spans="1:8" ht="45">
      <c r="A65" s="1019">
        <v>7</v>
      </c>
      <c r="B65" s="1019" t="s">
        <v>2118</v>
      </c>
      <c r="C65" s="1019" t="s">
        <v>1096</v>
      </c>
      <c r="D65" s="1019"/>
      <c r="E65" s="1021"/>
      <c r="F65" s="1019">
        <v>1</v>
      </c>
      <c r="G65" s="1020"/>
      <c r="H65" s="1020"/>
    </row>
    <row r="66" spans="1:8" ht="112.5">
      <c r="A66" s="1020" t="s">
        <v>2050</v>
      </c>
      <c r="B66" s="1020" t="s">
        <v>2051</v>
      </c>
      <c r="C66" s="1020" t="s">
        <v>2052</v>
      </c>
      <c r="D66" s="1022" t="s">
        <v>2053</v>
      </c>
      <c r="E66" s="1021">
        <v>27000</v>
      </c>
      <c r="F66" s="1020">
        <v>1</v>
      </c>
      <c r="G66" s="1020">
        <f>E66*F66</f>
        <v>27000</v>
      </c>
      <c r="H66" s="1020" t="s">
        <v>2054</v>
      </c>
    </row>
    <row r="67" spans="1:8" ht="33.75">
      <c r="A67" s="1020" t="s">
        <v>2055</v>
      </c>
      <c r="B67" s="1020" t="s">
        <v>2106</v>
      </c>
      <c r="C67" s="1020" t="s">
        <v>2052</v>
      </c>
      <c r="D67" s="1020" t="s">
        <v>2107</v>
      </c>
      <c r="E67" s="1021">
        <v>15000</v>
      </c>
      <c r="F67" s="1020">
        <v>1</v>
      </c>
      <c r="G67" s="1020">
        <f>F67*E67</f>
        <v>15000</v>
      </c>
      <c r="H67" s="1020"/>
    </row>
    <row r="68" spans="1:8">
      <c r="A68" s="1020" t="s">
        <v>2060</v>
      </c>
      <c r="B68" s="1020" t="s">
        <v>2119</v>
      </c>
      <c r="C68" s="1020" t="s">
        <v>2082</v>
      </c>
      <c r="D68" s="1020" t="s">
        <v>2116</v>
      </c>
      <c r="E68" s="1021">
        <v>1200</v>
      </c>
      <c r="F68" s="1020">
        <v>4</v>
      </c>
      <c r="G68" s="1020">
        <f>F68*E68</f>
        <v>4800</v>
      </c>
      <c r="H68" s="1020" t="s">
        <v>2120</v>
      </c>
    </row>
    <row r="69" spans="1:8">
      <c r="A69" s="1020" t="s">
        <v>2063</v>
      </c>
      <c r="B69" s="1020" t="s">
        <v>2005</v>
      </c>
      <c r="C69" s="1020" t="s">
        <v>2078</v>
      </c>
      <c r="D69" s="1020" t="s">
        <v>2121</v>
      </c>
      <c r="E69" s="1021">
        <v>3000</v>
      </c>
      <c r="F69" s="1020">
        <v>2</v>
      </c>
      <c r="G69" s="1020">
        <f>F69*E69</f>
        <v>6000</v>
      </c>
      <c r="H69" s="1020" t="s">
        <v>2120</v>
      </c>
    </row>
    <row r="70" spans="1:8" ht="45">
      <c r="A70" s="1020" t="s">
        <v>2068</v>
      </c>
      <c r="B70" s="1020" t="s">
        <v>2102</v>
      </c>
      <c r="C70" s="1020" t="s">
        <v>1965</v>
      </c>
      <c r="D70" s="1020" t="s">
        <v>2103</v>
      </c>
      <c r="E70" s="1021">
        <v>7000</v>
      </c>
      <c r="F70" s="1020">
        <v>2</v>
      </c>
      <c r="G70" s="1020">
        <f>F70*E70</f>
        <v>14000</v>
      </c>
      <c r="H70" s="1020" t="s">
        <v>2104</v>
      </c>
    </row>
    <row r="71" spans="1:8">
      <c r="A71" s="1019"/>
      <c r="B71" s="1019" t="s">
        <v>130</v>
      </c>
      <c r="C71" s="1019"/>
      <c r="D71" s="1019"/>
      <c r="E71" s="1023"/>
      <c r="F71" s="1019"/>
      <c r="G71" s="1019">
        <f>SUM(G66:G70)</f>
        <v>66800</v>
      </c>
      <c r="H71" s="1019"/>
    </row>
    <row r="72" spans="1:8" ht="45">
      <c r="A72" s="1065">
        <v>8</v>
      </c>
      <c r="B72" s="1065" t="s">
        <v>2122</v>
      </c>
      <c r="C72" s="1065" t="s">
        <v>1096</v>
      </c>
      <c r="D72" s="1065"/>
      <c r="E72" s="1066"/>
      <c r="F72" s="1065">
        <v>1</v>
      </c>
      <c r="G72" s="1067"/>
      <c r="H72" s="1067"/>
    </row>
    <row r="73" spans="1:8" ht="112.5">
      <c r="A73" s="1020" t="s">
        <v>2050</v>
      </c>
      <c r="B73" s="1067" t="s">
        <v>2051</v>
      </c>
      <c r="C73" s="1067" t="s">
        <v>2052</v>
      </c>
      <c r="D73" s="1022" t="s">
        <v>2053</v>
      </c>
      <c r="E73" s="1066">
        <v>27000</v>
      </c>
      <c r="F73" s="1067">
        <v>1</v>
      </c>
      <c r="G73" s="1020">
        <f>E73*F73</f>
        <v>27000</v>
      </c>
      <c r="H73" s="1020" t="s">
        <v>2054</v>
      </c>
    </row>
    <row r="74" spans="1:8" ht="22.5">
      <c r="A74" s="1067" t="s">
        <v>2055</v>
      </c>
      <c r="B74" s="1067" t="s">
        <v>2073</v>
      </c>
      <c r="C74" s="1067" t="s">
        <v>2057</v>
      </c>
      <c r="D74" s="1067" t="s">
        <v>2123</v>
      </c>
      <c r="E74" s="1066">
        <v>2500</v>
      </c>
      <c r="F74" s="1067">
        <v>1</v>
      </c>
      <c r="G74" s="1067">
        <f t="shared" ref="G74:G81" si="15">F74*E74</f>
        <v>2500</v>
      </c>
      <c r="H74" s="1067"/>
    </row>
    <row r="75" spans="1:8">
      <c r="A75" s="1067" t="s">
        <v>2060</v>
      </c>
      <c r="B75" s="1067" t="s">
        <v>2124</v>
      </c>
      <c r="C75" s="1067" t="s">
        <v>2052</v>
      </c>
      <c r="D75" s="1067"/>
      <c r="E75" s="1066">
        <v>350</v>
      </c>
      <c r="F75" s="1067">
        <v>45</v>
      </c>
      <c r="G75" s="1067">
        <f t="shared" si="15"/>
        <v>15750</v>
      </c>
      <c r="H75" s="1067"/>
    </row>
    <row r="76" spans="1:8" ht="45">
      <c r="A76" s="1067" t="s">
        <v>2063</v>
      </c>
      <c r="B76" s="1067" t="s">
        <v>1983</v>
      </c>
      <c r="C76" s="1067" t="s">
        <v>2078</v>
      </c>
      <c r="D76" s="1067" t="s">
        <v>2079</v>
      </c>
      <c r="E76" s="1066">
        <v>6500</v>
      </c>
      <c r="F76" s="1067">
        <v>1</v>
      </c>
      <c r="G76" s="1067">
        <f t="shared" si="15"/>
        <v>6500</v>
      </c>
      <c r="H76" s="1067" t="s">
        <v>2080</v>
      </c>
    </row>
    <row r="77" spans="1:8" ht="22.5">
      <c r="A77" s="1067" t="s">
        <v>2068</v>
      </c>
      <c r="B77" s="1067" t="s">
        <v>2125</v>
      </c>
      <c r="C77" s="1067" t="s">
        <v>2065</v>
      </c>
      <c r="D77" s="1067" t="s">
        <v>2126</v>
      </c>
      <c r="E77" s="1066">
        <v>1500</v>
      </c>
      <c r="F77" s="1067">
        <v>1</v>
      </c>
      <c r="G77" s="1067">
        <f t="shared" si="15"/>
        <v>1500</v>
      </c>
      <c r="H77" s="1067"/>
    </row>
    <row r="78" spans="1:8" ht="22.5">
      <c r="A78" s="1067" t="s">
        <v>2085</v>
      </c>
      <c r="B78" s="1067" t="s">
        <v>2127</v>
      </c>
      <c r="C78" s="1067" t="s">
        <v>2057</v>
      </c>
      <c r="D78" s="1067" t="s">
        <v>2128</v>
      </c>
      <c r="E78" s="1066">
        <v>2500</v>
      </c>
      <c r="F78" s="1067">
        <v>1</v>
      </c>
      <c r="G78" s="1067">
        <f t="shared" si="15"/>
        <v>2500</v>
      </c>
      <c r="H78" s="1067"/>
    </row>
    <row r="79" spans="1:8" ht="22.5">
      <c r="A79" s="1067" t="s">
        <v>2088</v>
      </c>
      <c r="B79" s="1067" t="s">
        <v>2129</v>
      </c>
      <c r="C79" s="1067" t="s">
        <v>2082</v>
      </c>
      <c r="D79" s="1067" t="s">
        <v>2130</v>
      </c>
      <c r="E79" s="1066">
        <v>1200</v>
      </c>
      <c r="F79" s="1067">
        <v>6</v>
      </c>
      <c r="G79" s="1067">
        <f t="shared" si="15"/>
        <v>7200</v>
      </c>
      <c r="H79" s="1067" t="s">
        <v>2120</v>
      </c>
    </row>
    <row r="80" spans="1:8">
      <c r="A80" s="1067" t="s">
        <v>2092</v>
      </c>
      <c r="B80" s="1020" t="s">
        <v>2131</v>
      </c>
      <c r="C80" s="1020" t="s">
        <v>2082</v>
      </c>
      <c r="D80" s="1020" t="s">
        <v>2132</v>
      </c>
      <c r="E80" s="1021">
        <v>1200</v>
      </c>
      <c r="F80" s="1067">
        <v>2</v>
      </c>
      <c r="G80" s="1067">
        <f t="shared" si="15"/>
        <v>2400</v>
      </c>
      <c r="H80" s="1067"/>
    </row>
    <row r="81" spans="1:8" ht="45">
      <c r="A81" s="1067" t="s">
        <v>2095</v>
      </c>
      <c r="B81" s="1067" t="s">
        <v>2102</v>
      </c>
      <c r="C81" s="1067" t="s">
        <v>1965</v>
      </c>
      <c r="D81" s="1067" t="s">
        <v>2103</v>
      </c>
      <c r="E81" s="1066">
        <v>7000</v>
      </c>
      <c r="F81" s="1067">
        <v>2</v>
      </c>
      <c r="G81" s="1067">
        <f t="shared" si="15"/>
        <v>14000</v>
      </c>
      <c r="H81" s="1067" t="s">
        <v>2104</v>
      </c>
    </row>
    <row r="82" spans="1:8">
      <c r="A82" s="1065"/>
      <c r="B82" s="1065" t="s">
        <v>130</v>
      </c>
      <c r="C82" s="1065"/>
      <c r="D82" s="1065"/>
      <c r="E82" s="1068"/>
      <c r="F82" s="1065"/>
      <c r="G82" s="1065">
        <f>SUM(G73:G81)</f>
        <v>79350</v>
      </c>
      <c r="H82" s="1065"/>
    </row>
    <row r="83" spans="1:8" ht="33.75">
      <c r="A83" s="1019">
        <v>11</v>
      </c>
      <c r="B83" s="1019" t="s">
        <v>2133</v>
      </c>
      <c r="C83" s="1019" t="s">
        <v>1096</v>
      </c>
      <c r="D83" s="1019"/>
      <c r="E83" s="1021"/>
      <c r="F83" s="1019">
        <v>1</v>
      </c>
      <c r="G83" s="1020"/>
      <c r="H83" s="1020"/>
    </row>
    <row r="84" spans="1:8" ht="112.5">
      <c r="A84" s="1020" t="s">
        <v>2050</v>
      </c>
      <c r="B84" s="1020" t="s">
        <v>2051</v>
      </c>
      <c r="C84" s="1020" t="s">
        <v>2052</v>
      </c>
      <c r="D84" s="1022" t="s">
        <v>2053</v>
      </c>
      <c r="E84" s="1021">
        <v>27000</v>
      </c>
      <c r="F84" s="1020">
        <v>1</v>
      </c>
      <c r="G84" s="1020">
        <f>E84*F84</f>
        <v>27000</v>
      </c>
      <c r="H84" s="1020" t="s">
        <v>2054</v>
      </c>
    </row>
    <row r="85" spans="1:8">
      <c r="A85" s="1020" t="s">
        <v>2055</v>
      </c>
      <c r="B85" s="1020" t="s">
        <v>2073</v>
      </c>
      <c r="C85" s="1020" t="s">
        <v>2057</v>
      </c>
      <c r="D85" s="1020" t="s">
        <v>2134</v>
      </c>
      <c r="E85" s="1021">
        <v>2500</v>
      </c>
      <c r="F85" s="1020">
        <v>1</v>
      </c>
      <c r="G85" s="1020">
        <f t="shared" ref="G85:G90" si="16">F85*E85</f>
        <v>2500</v>
      </c>
      <c r="H85" s="1020"/>
    </row>
    <row r="86" spans="1:8">
      <c r="A86" s="1020" t="s">
        <v>2060</v>
      </c>
      <c r="B86" s="1020" t="s">
        <v>2135</v>
      </c>
      <c r="C86" s="1020" t="s">
        <v>2052</v>
      </c>
      <c r="D86" s="1020"/>
      <c r="E86" s="1021">
        <v>400</v>
      </c>
      <c r="F86" s="1020">
        <v>45</v>
      </c>
      <c r="G86" s="1020">
        <f t="shared" si="16"/>
        <v>18000</v>
      </c>
      <c r="H86" s="1020"/>
    </row>
    <row r="87" spans="1:8" ht="45">
      <c r="A87" s="1020" t="s">
        <v>2063</v>
      </c>
      <c r="B87" s="1020" t="s">
        <v>1983</v>
      </c>
      <c r="C87" s="1020" t="s">
        <v>2078</v>
      </c>
      <c r="D87" s="1020" t="s">
        <v>2079</v>
      </c>
      <c r="E87" s="1021">
        <v>6500</v>
      </c>
      <c r="F87" s="1020">
        <v>1</v>
      </c>
      <c r="G87" s="1020">
        <f t="shared" si="16"/>
        <v>6500</v>
      </c>
      <c r="H87" s="1020" t="s">
        <v>2080</v>
      </c>
    </row>
    <row r="88" spans="1:8">
      <c r="A88" s="1020" t="s">
        <v>2068</v>
      </c>
      <c r="B88" s="1020" t="s">
        <v>2119</v>
      </c>
      <c r="C88" s="1020" t="s">
        <v>2082</v>
      </c>
      <c r="D88" s="1020" t="s">
        <v>2130</v>
      </c>
      <c r="E88" s="1021">
        <v>1200</v>
      </c>
      <c r="F88" s="1020">
        <v>6</v>
      </c>
      <c r="G88" s="1020">
        <f t="shared" si="16"/>
        <v>7200</v>
      </c>
      <c r="H88" s="1020" t="s">
        <v>2120</v>
      </c>
    </row>
    <row r="89" spans="1:8">
      <c r="A89" s="1020" t="s">
        <v>2085</v>
      </c>
      <c r="B89" s="1020" t="s">
        <v>2136</v>
      </c>
      <c r="C89" s="1020" t="s">
        <v>2082</v>
      </c>
      <c r="D89" s="1020" t="s">
        <v>2137</v>
      </c>
      <c r="E89" s="1021">
        <v>2000</v>
      </c>
      <c r="F89" s="1020">
        <v>1</v>
      </c>
      <c r="G89" s="1020">
        <f t="shared" si="16"/>
        <v>2000</v>
      </c>
      <c r="H89" s="1020"/>
    </row>
    <row r="90" spans="1:8" ht="45">
      <c r="A90" s="1020" t="s">
        <v>2088</v>
      </c>
      <c r="B90" s="1020" t="s">
        <v>2102</v>
      </c>
      <c r="C90" s="1020" t="s">
        <v>1965</v>
      </c>
      <c r="D90" s="1020" t="s">
        <v>2103</v>
      </c>
      <c r="E90" s="1021">
        <v>7000</v>
      </c>
      <c r="F90" s="1020">
        <v>2</v>
      </c>
      <c r="G90" s="1020">
        <f t="shared" si="16"/>
        <v>14000</v>
      </c>
      <c r="H90" s="1020" t="s">
        <v>2104</v>
      </c>
    </row>
    <row r="91" spans="1:8">
      <c r="A91" s="1019"/>
      <c r="B91" s="1019" t="s">
        <v>130</v>
      </c>
      <c r="C91" s="1019"/>
      <c r="D91" s="1019"/>
      <c r="E91" s="1023"/>
      <c r="F91" s="1019"/>
      <c r="G91" s="1019">
        <f>SUM(G84:G90)</f>
        <v>77200</v>
      </c>
      <c r="H91" s="1019"/>
    </row>
    <row r="92" spans="1:8" ht="45">
      <c r="A92" s="1019">
        <v>12</v>
      </c>
      <c r="B92" s="1019" t="s">
        <v>2138</v>
      </c>
      <c r="C92" s="1019" t="s">
        <v>1096</v>
      </c>
      <c r="D92" s="1019"/>
      <c r="E92" s="1021"/>
      <c r="F92" s="1019">
        <v>1</v>
      </c>
      <c r="G92" s="1020"/>
      <c r="H92" s="1019" t="s">
        <v>2139</v>
      </c>
    </row>
    <row r="93" spans="1:8" ht="112.5">
      <c r="A93" s="1020" t="s">
        <v>2050</v>
      </c>
      <c r="B93" s="1020" t="s">
        <v>2051</v>
      </c>
      <c r="C93" s="1020" t="s">
        <v>2052</v>
      </c>
      <c r="D93" s="1022" t="s">
        <v>2053</v>
      </c>
      <c r="E93" s="1021">
        <v>27000</v>
      </c>
      <c r="F93" s="1020">
        <v>1</v>
      </c>
      <c r="G93" s="1020">
        <f>E93*F93</f>
        <v>27000</v>
      </c>
      <c r="H93" s="1020" t="s">
        <v>2054</v>
      </c>
    </row>
    <row r="94" spans="1:8">
      <c r="A94" s="1020" t="s">
        <v>2055</v>
      </c>
      <c r="B94" s="1020" t="s">
        <v>2140</v>
      </c>
      <c r="C94" s="1020" t="s">
        <v>1965</v>
      </c>
      <c r="D94" s="1020" t="s">
        <v>2141</v>
      </c>
      <c r="E94" s="1021">
        <v>4000</v>
      </c>
      <c r="F94" s="1020">
        <v>46</v>
      </c>
      <c r="G94" s="1020">
        <f t="shared" ref="G94:G99" si="17">F94*E94</f>
        <v>184000</v>
      </c>
      <c r="H94" s="1020"/>
    </row>
    <row r="95" spans="1:8" ht="22.5">
      <c r="A95" s="1020" t="s">
        <v>2060</v>
      </c>
      <c r="B95" s="1020" t="s">
        <v>2142</v>
      </c>
      <c r="C95" s="1020" t="s">
        <v>2057</v>
      </c>
      <c r="D95" s="1020" t="s">
        <v>2058</v>
      </c>
      <c r="E95" s="1021">
        <v>2000</v>
      </c>
      <c r="F95" s="1020">
        <v>1</v>
      </c>
      <c r="G95" s="1020">
        <f t="shared" si="17"/>
        <v>2000</v>
      </c>
      <c r="H95" s="1020"/>
    </row>
    <row r="96" spans="1:8" ht="22.5">
      <c r="A96" s="1020" t="s">
        <v>2063</v>
      </c>
      <c r="B96" s="1020" t="s">
        <v>2143</v>
      </c>
      <c r="C96" s="1020" t="s">
        <v>2144</v>
      </c>
      <c r="D96" s="1020" t="s">
        <v>2145</v>
      </c>
      <c r="E96" s="1021">
        <v>400</v>
      </c>
      <c r="F96" s="1020">
        <v>45</v>
      </c>
      <c r="G96" s="1020">
        <f t="shared" si="17"/>
        <v>18000</v>
      </c>
      <c r="H96" s="1020"/>
    </row>
    <row r="97" spans="1:8">
      <c r="A97" s="1020" t="s">
        <v>2068</v>
      </c>
      <c r="B97" s="1020" t="s">
        <v>2086</v>
      </c>
      <c r="C97" s="1020" t="s">
        <v>2082</v>
      </c>
      <c r="D97" s="1020" t="s">
        <v>2087</v>
      </c>
      <c r="E97" s="1021">
        <v>700</v>
      </c>
      <c r="F97" s="1020">
        <v>1</v>
      </c>
      <c r="G97" s="1020">
        <f t="shared" si="17"/>
        <v>700</v>
      </c>
      <c r="H97" s="1020"/>
    </row>
    <row r="98" spans="1:8" ht="22.5">
      <c r="A98" s="1020" t="s">
        <v>2085</v>
      </c>
      <c r="B98" s="1020" t="s">
        <v>2146</v>
      </c>
      <c r="C98" s="1020" t="s">
        <v>2057</v>
      </c>
      <c r="D98" s="1020" t="s">
        <v>2147</v>
      </c>
      <c r="E98" s="1021">
        <v>2500</v>
      </c>
      <c r="F98" s="1020">
        <v>1</v>
      </c>
      <c r="G98" s="1020">
        <f t="shared" si="17"/>
        <v>2500</v>
      </c>
      <c r="H98" s="1020"/>
    </row>
    <row r="99" spans="1:8" ht="45">
      <c r="A99" s="1020" t="s">
        <v>2088</v>
      </c>
      <c r="B99" s="1020" t="s">
        <v>2102</v>
      </c>
      <c r="C99" s="1020" t="s">
        <v>1965</v>
      </c>
      <c r="D99" s="1020" t="s">
        <v>2103</v>
      </c>
      <c r="E99" s="1021">
        <v>7000</v>
      </c>
      <c r="F99" s="1020">
        <v>2</v>
      </c>
      <c r="G99" s="1020">
        <f t="shared" si="17"/>
        <v>14000</v>
      </c>
      <c r="H99" s="1020" t="s">
        <v>2104</v>
      </c>
    </row>
    <row r="100" spans="1:8">
      <c r="A100" s="1020"/>
      <c r="B100" s="1065" t="s">
        <v>130</v>
      </c>
      <c r="C100" s="1065"/>
      <c r="D100" s="1065"/>
      <c r="E100" s="1068"/>
      <c r="F100" s="1065"/>
      <c r="G100" s="1065">
        <f>SUM(G93:G99)</f>
        <v>248200</v>
      </c>
      <c r="H100" s="1020"/>
    </row>
    <row r="101" spans="1:8" ht="45">
      <c r="A101" s="1065">
        <v>13</v>
      </c>
      <c r="B101" s="1065" t="s">
        <v>2148</v>
      </c>
      <c r="C101" s="1065" t="s">
        <v>1096</v>
      </c>
      <c r="D101" s="1065"/>
      <c r="E101" s="1066"/>
      <c r="F101" s="1065">
        <v>1</v>
      </c>
      <c r="G101" s="1067"/>
      <c r="H101" s="1065"/>
    </row>
    <row r="102" spans="1:8" ht="112.5">
      <c r="A102" s="1020" t="s">
        <v>2050</v>
      </c>
      <c r="B102" s="1067" t="s">
        <v>2051</v>
      </c>
      <c r="C102" s="1067" t="s">
        <v>2052</v>
      </c>
      <c r="D102" s="1022" t="s">
        <v>2053</v>
      </c>
      <c r="E102" s="1066">
        <v>27000</v>
      </c>
      <c r="F102" s="1067">
        <v>1</v>
      </c>
      <c r="G102" s="1020">
        <f>E102*F102</f>
        <v>27000</v>
      </c>
      <c r="H102" s="1020" t="s">
        <v>2054</v>
      </c>
    </row>
    <row r="103" spans="1:8">
      <c r="A103" s="1020" t="s">
        <v>2055</v>
      </c>
      <c r="B103" s="1067" t="s">
        <v>2073</v>
      </c>
      <c r="C103" s="1067" t="s">
        <v>2057</v>
      </c>
      <c r="D103" s="1067" t="s">
        <v>2134</v>
      </c>
      <c r="E103" s="1066">
        <v>2500</v>
      </c>
      <c r="F103" s="1067">
        <v>1</v>
      </c>
      <c r="G103" s="1067">
        <f t="shared" ref="G103:G108" si="18">F103*E103</f>
        <v>2500</v>
      </c>
      <c r="H103" s="1067"/>
    </row>
    <row r="104" spans="1:8" ht="33.75">
      <c r="A104" s="1020" t="s">
        <v>2060</v>
      </c>
      <c r="B104" s="1020" t="s">
        <v>2075</v>
      </c>
      <c r="C104" s="1020" t="s">
        <v>2052</v>
      </c>
      <c r="D104" s="1020" t="s">
        <v>2076</v>
      </c>
      <c r="E104" s="1021">
        <v>3000</v>
      </c>
      <c r="F104" s="1020">
        <v>12</v>
      </c>
      <c r="G104" s="1067">
        <f t="shared" si="18"/>
        <v>36000</v>
      </c>
      <c r="H104" s="1020" t="s">
        <v>2077</v>
      </c>
    </row>
    <row r="105" spans="1:8" ht="45">
      <c r="A105" s="1020" t="s">
        <v>2063</v>
      </c>
      <c r="B105" s="1067" t="s">
        <v>1983</v>
      </c>
      <c r="C105" s="1067" t="s">
        <v>2078</v>
      </c>
      <c r="D105" s="1067" t="s">
        <v>2079</v>
      </c>
      <c r="E105" s="1066">
        <v>6500</v>
      </c>
      <c r="F105" s="1067">
        <v>1</v>
      </c>
      <c r="G105" s="1067">
        <f t="shared" si="18"/>
        <v>6500</v>
      </c>
      <c r="H105" s="1067" t="s">
        <v>2080</v>
      </c>
    </row>
    <row r="106" spans="1:8" ht="22.5">
      <c r="A106" s="1020" t="s">
        <v>2068</v>
      </c>
      <c r="B106" s="1067" t="s">
        <v>2096</v>
      </c>
      <c r="C106" s="1067" t="s">
        <v>2057</v>
      </c>
      <c r="D106" s="1067" t="s">
        <v>2149</v>
      </c>
      <c r="E106" s="1066">
        <v>2500</v>
      </c>
      <c r="F106" s="1067">
        <v>1</v>
      </c>
      <c r="G106" s="1067">
        <f t="shared" si="18"/>
        <v>2500</v>
      </c>
      <c r="H106" s="1067" t="s">
        <v>2120</v>
      </c>
    </row>
    <row r="107" spans="1:8">
      <c r="A107" s="1020" t="s">
        <v>2085</v>
      </c>
      <c r="B107" s="1067" t="s">
        <v>2150</v>
      </c>
      <c r="C107" s="1067" t="s">
        <v>2082</v>
      </c>
      <c r="D107" s="1067" t="s">
        <v>2151</v>
      </c>
      <c r="E107" s="1066">
        <v>1200</v>
      </c>
      <c r="F107" s="1067">
        <v>6</v>
      </c>
      <c r="G107" s="1067">
        <f t="shared" si="18"/>
        <v>7200</v>
      </c>
      <c r="H107" s="1067" t="s">
        <v>2120</v>
      </c>
    </row>
    <row r="108" spans="1:8" ht="45">
      <c r="A108" s="1020" t="s">
        <v>2088</v>
      </c>
      <c r="B108" s="1067" t="s">
        <v>2102</v>
      </c>
      <c r="C108" s="1067" t="s">
        <v>1965</v>
      </c>
      <c r="D108" s="1067" t="s">
        <v>2103</v>
      </c>
      <c r="E108" s="1066">
        <v>7000</v>
      </c>
      <c r="F108" s="1067">
        <v>2</v>
      </c>
      <c r="G108" s="1067">
        <f t="shared" si="18"/>
        <v>14000</v>
      </c>
      <c r="H108" s="1067" t="s">
        <v>2104</v>
      </c>
    </row>
    <row r="109" spans="1:8">
      <c r="A109" s="1065"/>
      <c r="B109" s="1065" t="s">
        <v>130</v>
      </c>
      <c r="C109" s="1065"/>
      <c r="D109" s="1065"/>
      <c r="E109" s="1068"/>
      <c r="F109" s="1065"/>
      <c r="G109" s="1065">
        <f>SUM(G102:G108)</f>
        <v>95700</v>
      </c>
      <c r="H109" s="1065"/>
    </row>
    <row r="110" spans="1:8" ht="22.5">
      <c r="A110" s="1019">
        <v>16</v>
      </c>
      <c r="B110" s="1019" t="s">
        <v>2152</v>
      </c>
      <c r="C110" s="1019" t="s">
        <v>1096</v>
      </c>
      <c r="D110" s="1020" t="s">
        <v>2153</v>
      </c>
      <c r="E110" s="1021"/>
      <c r="F110" s="1019">
        <v>1</v>
      </c>
      <c r="G110" s="1020"/>
      <c r="H110" s="1019"/>
    </row>
    <row r="111" spans="1:8" ht="33.75">
      <c r="A111" s="1020" t="s">
        <v>2092</v>
      </c>
      <c r="B111" s="1020" t="s">
        <v>2154</v>
      </c>
      <c r="C111" s="1020" t="s">
        <v>2155</v>
      </c>
      <c r="D111" s="1020" t="s">
        <v>2156</v>
      </c>
      <c r="E111" s="1021">
        <v>20</v>
      </c>
      <c r="F111" s="1020">
        <v>7200</v>
      </c>
      <c r="G111" s="1020">
        <f>F111*E111</f>
        <v>144000</v>
      </c>
      <c r="H111" s="1020" t="s">
        <v>2157</v>
      </c>
    </row>
    <row r="112" spans="1:8">
      <c r="A112" s="1019"/>
      <c r="B112" s="1019" t="s">
        <v>130</v>
      </c>
      <c r="C112" s="1019"/>
      <c r="D112" s="1019"/>
      <c r="E112" s="1023"/>
      <c r="F112" s="1019"/>
      <c r="G112" s="1019">
        <f>SUM(G111:G111)</f>
        <v>144000</v>
      </c>
      <c r="H112" s="1019"/>
    </row>
    <row r="113" spans="1:8" ht="33.75">
      <c r="A113" s="1019" t="s">
        <v>2158</v>
      </c>
      <c r="B113" s="1019" t="s">
        <v>2159</v>
      </c>
      <c r="C113" s="1019"/>
      <c r="D113" s="1019"/>
      <c r="E113" s="1021"/>
      <c r="F113" s="1019"/>
      <c r="G113" s="1020"/>
      <c r="H113" s="1019"/>
    </row>
    <row r="114" spans="1:8" ht="22.5">
      <c r="A114" s="1019">
        <v>22</v>
      </c>
      <c r="B114" s="1019" t="s">
        <v>2160</v>
      </c>
      <c r="C114" s="1019" t="s">
        <v>1096</v>
      </c>
      <c r="D114" s="1019"/>
      <c r="E114" s="1021"/>
      <c r="F114" s="1019">
        <v>4</v>
      </c>
      <c r="G114" s="1020"/>
      <c r="H114" s="1019" t="s">
        <v>2161</v>
      </c>
    </row>
    <row r="115" spans="1:8" ht="22.5">
      <c r="A115" s="1020" t="s">
        <v>2050</v>
      </c>
      <c r="B115" s="1020" t="s">
        <v>2100</v>
      </c>
      <c r="C115" s="1020" t="s">
        <v>2052</v>
      </c>
      <c r="D115" s="1020"/>
      <c r="E115" s="1021">
        <v>1600</v>
      </c>
      <c r="F115" s="1020">
        <v>16</v>
      </c>
      <c r="G115" s="1020">
        <f>F115*E115</f>
        <v>25600</v>
      </c>
      <c r="H115" s="1020" t="s">
        <v>2162</v>
      </c>
    </row>
    <row r="116" spans="1:8" ht="22.5">
      <c r="A116" s="1020" t="s">
        <v>2055</v>
      </c>
      <c r="B116" s="1020" t="s">
        <v>2163</v>
      </c>
      <c r="C116" s="1020" t="s">
        <v>2082</v>
      </c>
      <c r="D116" s="1020" t="s">
        <v>2164</v>
      </c>
      <c r="E116" s="1021">
        <v>700</v>
      </c>
      <c r="F116" s="1020">
        <v>8</v>
      </c>
      <c r="G116" s="1020">
        <f>F116*E116</f>
        <v>5600</v>
      </c>
      <c r="H116" s="1020" t="s">
        <v>2165</v>
      </c>
    </row>
    <row r="117" spans="1:8" ht="22.5">
      <c r="A117" s="1020" t="s">
        <v>2060</v>
      </c>
      <c r="B117" s="1020" t="s">
        <v>2166</v>
      </c>
      <c r="C117" s="1020" t="s">
        <v>1965</v>
      </c>
      <c r="D117" s="1020" t="s">
        <v>2167</v>
      </c>
      <c r="E117" s="1021">
        <v>5000</v>
      </c>
      <c r="F117" s="1020">
        <v>16</v>
      </c>
      <c r="G117" s="1020">
        <f>F117*E117</f>
        <v>80000</v>
      </c>
      <c r="H117" s="1020" t="s">
        <v>2168</v>
      </c>
    </row>
    <row r="118" spans="1:8" ht="45">
      <c r="A118" s="1020" t="s">
        <v>2088</v>
      </c>
      <c r="B118" s="1020" t="s">
        <v>2102</v>
      </c>
      <c r="C118" s="1020" t="s">
        <v>1965</v>
      </c>
      <c r="D118" s="1020" t="s">
        <v>2103</v>
      </c>
      <c r="E118" s="1021">
        <v>7000</v>
      </c>
      <c r="F118" s="1020">
        <v>4</v>
      </c>
      <c r="G118" s="1020">
        <f>F118*E118</f>
        <v>28000</v>
      </c>
      <c r="H118" s="1020" t="s">
        <v>2169</v>
      </c>
    </row>
    <row r="119" spans="1:8">
      <c r="A119" s="1019"/>
      <c r="B119" s="1019" t="s">
        <v>130</v>
      </c>
      <c r="C119" s="1019"/>
      <c r="D119" s="1019"/>
      <c r="E119" s="1023"/>
      <c r="F119" s="1019"/>
      <c r="G119" s="1019">
        <f>SUM(G115:G118)</f>
        <v>139200</v>
      </c>
      <c r="H119" s="1019"/>
    </row>
    <row r="120" spans="1:8">
      <c r="A120" s="1019">
        <v>26</v>
      </c>
      <c r="B120" s="1065" t="s">
        <v>2170</v>
      </c>
      <c r="C120" s="1065" t="s">
        <v>1096</v>
      </c>
      <c r="D120" s="1065"/>
      <c r="E120" s="1066"/>
      <c r="F120" s="1065">
        <v>1</v>
      </c>
      <c r="G120" s="1067"/>
      <c r="H120" s="1067"/>
    </row>
    <row r="121" spans="1:8" ht="33.75">
      <c r="A121" s="1020" t="s">
        <v>2050</v>
      </c>
      <c r="B121" s="1067" t="s">
        <v>2171</v>
      </c>
      <c r="C121" s="1067" t="s">
        <v>2155</v>
      </c>
      <c r="D121" s="1067"/>
      <c r="E121" s="1066"/>
      <c r="F121" s="1067">
        <v>1</v>
      </c>
      <c r="G121" s="1067">
        <v>300000</v>
      </c>
      <c r="H121" s="1069"/>
    </row>
    <row r="122" spans="1:8">
      <c r="A122" s="1019"/>
      <c r="B122" s="1065" t="s">
        <v>130</v>
      </c>
      <c r="C122" s="1065"/>
      <c r="D122" s="1065"/>
      <c r="E122" s="1068"/>
      <c r="F122" s="1065"/>
      <c r="G122" s="1065">
        <f>SUM(G121:G121)</f>
        <v>300000</v>
      </c>
      <c r="H122" s="1065"/>
    </row>
    <row r="123" spans="1:8">
      <c r="A123" s="1019" t="s">
        <v>2172</v>
      </c>
      <c r="B123" s="1019" t="s">
        <v>2173</v>
      </c>
      <c r="C123" s="1019"/>
      <c r="D123" s="1019"/>
      <c r="E123" s="1023"/>
      <c r="F123" s="1019"/>
      <c r="G123" s="1019"/>
      <c r="H123" s="1019"/>
    </row>
    <row r="124" spans="1:8" ht="22.5">
      <c r="A124" s="1019">
        <v>34</v>
      </c>
      <c r="B124" s="1019" t="s">
        <v>2174</v>
      </c>
      <c r="C124" s="1019"/>
      <c r="D124" s="1019"/>
      <c r="E124" s="1023"/>
      <c r="F124" s="1019"/>
      <c r="G124" s="1019"/>
      <c r="H124" s="1019" t="s">
        <v>2175</v>
      </c>
    </row>
    <row r="125" spans="1:8" ht="78.75">
      <c r="A125" s="1020" t="s">
        <v>2068</v>
      </c>
      <c r="B125" s="1020" t="s">
        <v>2176</v>
      </c>
      <c r="C125" s="1020" t="s">
        <v>2155</v>
      </c>
      <c r="D125" s="1020"/>
      <c r="E125" s="1020">
        <v>160000</v>
      </c>
      <c r="F125" s="1020">
        <v>1</v>
      </c>
      <c r="G125" s="1020">
        <f>E125*F125</f>
        <v>160000</v>
      </c>
      <c r="H125" s="1020" t="s">
        <v>2177</v>
      </c>
    </row>
    <row r="126" spans="1:8" ht="78.75">
      <c r="A126" s="1020" t="s">
        <v>2085</v>
      </c>
      <c r="B126" s="1020" t="s">
        <v>2178</v>
      </c>
      <c r="C126" s="1020" t="s">
        <v>2155</v>
      </c>
      <c r="D126" s="1020"/>
      <c r="E126" s="1020">
        <v>75000</v>
      </c>
      <c r="F126" s="1020">
        <v>1</v>
      </c>
      <c r="G126" s="1020">
        <f>E126*F126</f>
        <v>75000</v>
      </c>
      <c r="H126" s="1020" t="s">
        <v>2177</v>
      </c>
    </row>
    <row r="127" spans="1:8" ht="78.75">
      <c r="A127" s="1020" t="s">
        <v>2088</v>
      </c>
      <c r="B127" s="1020" t="s">
        <v>2179</v>
      </c>
      <c r="C127" s="1020" t="s">
        <v>2155</v>
      </c>
      <c r="D127" s="1020"/>
      <c r="E127" s="1020">
        <v>81000</v>
      </c>
      <c r="F127" s="1020">
        <v>1</v>
      </c>
      <c r="G127" s="1020">
        <f>E127*F127</f>
        <v>81000</v>
      </c>
      <c r="H127" s="1020" t="s">
        <v>2177</v>
      </c>
    </row>
    <row r="128" spans="1:8" ht="78.75">
      <c r="A128" s="1020" t="s">
        <v>2092</v>
      </c>
      <c r="B128" s="1020" t="s">
        <v>2180</v>
      </c>
      <c r="C128" s="1020" t="s">
        <v>2155</v>
      </c>
      <c r="D128" s="1020"/>
      <c r="E128" s="1020">
        <v>36000</v>
      </c>
      <c r="F128" s="1020">
        <v>1</v>
      </c>
      <c r="G128" s="1020">
        <f>E128*F128</f>
        <v>36000</v>
      </c>
      <c r="H128" s="1020" t="s">
        <v>2177</v>
      </c>
    </row>
    <row r="129" spans="1:8" ht="78.75">
      <c r="A129" s="1020" t="s">
        <v>2095</v>
      </c>
      <c r="B129" s="1020" t="s">
        <v>2181</v>
      </c>
      <c r="C129" s="1020" t="s">
        <v>2155</v>
      </c>
      <c r="D129" s="1020"/>
      <c r="E129" s="1021">
        <v>76000</v>
      </c>
      <c r="F129" s="1020">
        <v>1</v>
      </c>
      <c r="G129" s="1020">
        <f>E129*F129</f>
        <v>76000</v>
      </c>
      <c r="H129" s="1020" t="s">
        <v>2177</v>
      </c>
    </row>
    <row r="130" spans="1:8">
      <c r="A130" s="1019"/>
      <c r="B130" s="1019" t="s">
        <v>130</v>
      </c>
      <c r="C130" s="1019"/>
      <c r="D130" s="1019"/>
      <c r="E130" s="1023"/>
      <c r="F130" s="1019"/>
      <c r="G130" s="1019">
        <f>SUM(G125:G129)</f>
        <v>428000</v>
      </c>
      <c r="H130" s="1019"/>
    </row>
    <row r="131" spans="1:8">
      <c r="A131" s="1020"/>
      <c r="B131" s="1019" t="s">
        <v>1136</v>
      </c>
      <c r="C131" s="1019"/>
      <c r="D131" s="1019" t="s">
        <v>2161</v>
      </c>
      <c r="E131" s="1019"/>
      <c r="F131" s="1019"/>
      <c r="G131" s="1019">
        <f>1983750</f>
        <v>1983750</v>
      </c>
      <c r="H131" s="682"/>
    </row>
    <row r="133" spans="1:8">
      <c r="A133" s="1529" t="s">
        <v>2182</v>
      </c>
      <c r="B133" s="1529"/>
      <c r="C133" s="1529"/>
      <c r="D133" s="1529"/>
      <c r="E133" s="1529"/>
      <c r="F133" s="1529"/>
      <c r="G133" s="1529"/>
      <c r="H133" s="1529"/>
    </row>
    <row r="134" spans="1:8">
      <c r="A134" s="1530" t="s">
        <v>0</v>
      </c>
      <c r="B134" s="1530" t="s">
        <v>2043</v>
      </c>
      <c r="C134" s="1530" t="s">
        <v>129</v>
      </c>
      <c r="D134" s="1530" t="s">
        <v>2044</v>
      </c>
      <c r="E134" s="1530" t="s">
        <v>2183</v>
      </c>
      <c r="F134" s="1532" t="s">
        <v>2184</v>
      </c>
      <c r="G134" s="1533"/>
      <c r="H134" s="1530" t="s">
        <v>572</v>
      </c>
    </row>
    <row r="135" spans="1:8">
      <c r="A135" s="1531"/>
      <c r="B135" s="1531"/>
      <c r="C135" s="1531"/>
      <c r="D135" s="1531"/>
      <c r="E135" s="1531"/>
      <c r="F135" s="1070" t="s">
        <v>2185</v>
      </c>
      <c r="G135" s="1070" t="s">
        <v>580</v>
      </c>
      <c r="H135" s="1531"/>
    </row>
    <row r="136" spans="1:8">
      <c r="A136" s="1071" t="s">
        <v>2047</v>
      </c>
      <c r="B136" s="1071" t="s">
        <v>2048</v>
      </c>
      <c r="C136" s="1071"/>
      <c r="D136" s="1071"/>
      <c r="E136" s="1071"/>
      <c r="F136" s="1071"/>
      <c r="G136" s="1071"/>
      <c r="H136" s="1072"/>
    </row>
    <row r="137" spans="1:8" ht="22.5">
      <c r="A137" s="1071">
        <v>1</v>
      </c>
      <c r="B137" s="1071" t="s">
        <v>2049</v>
      </c>
      <c r="C137" s="1071" t="s">
        <v>1096</v>
      </c>
      <c r="D137" s="1071"/>
      <c r="E137" s="1071"/>
      <c r="F137" s="1071">
        <v>2</v>
      </c>
      <c r="G137" s="1071"/>
      <c r="H137" s="1072"/>
    </row>
    <row r="138" spans="1:8" ht="112.5">
      <c r="A138" s="1072" t="s">
        <v>2050</v>
      </c>
      <c r="B138" s="1072" t="s">
        <v>2051</v>
      </c>
      <c r="C138" s="1072" t="s">
        <v>2052</v>
      </c>
      <c r="D138" s="1022" t="s">
        <v>2186</v>
      </c>
      <c r="E138" s="1021">
        <v>22000</v>
      </c>
      <c r="F138" s="1072">
        <v>2</v>
      </c>
      <c r="G138" s="1072">
        <f>F138*E138</f>
        <v>44000</v>
      </c>
      <c r="H138" s="1072" t="s">
        <v>2054</v>
      </c>
    </row>
    <row r="139" spans="1:8" ht="33.75">
      <c r="A139" s="1072" t="s">
        <v>2055</v>
      </c>
      <c r="B139" s="1072" t="s">
        <v>2056</v>
      </c>
      <c r="C139" s="1072" t="s">
        <v>2057</v>
      </c>
      <c r="D139" s="1072" t="s">
        <v>2058</v>
      </c>
      <c r="E139" s="1021">
        <v>2000</v>
      </c>
      <c r="F139" s="1072">
        <v>2</v>
      </c>
      <c r="G139" s="1072">
        <f>F139*E139</f>
        <v>4000</v>
      </c>
      <c r="H139" s="1072" t="s">
        <v>2187</v>
      </c>
    </row>
    <row r="140" spans="1:8">
      <c r="A140" s="1072" t="s">
        <v>2060</v>
      </c>
      <c r="B140" s="1072" t="s">
        <v>2061</v>
      </c>
      <c r="C140" s="1072" t="s">
        <v>2052</v>
      </c>
      <c r="D140" s="1072" t="s">
        <v>2188</v>
      </c>
      <c r="E140" s="1021">
        <v>400</v>
      </c>
      <c r="F140" s="1072">
        <v>80</v>
      </c>
      <c r="G140" s="1072">
        <f>F140*E140</f>
        <v>32000</v>
      </c>
      <c r="H140" s="1072"/>
    </row>
    <row r="141" spans="1:8" ht="22.5">
      <c r="A141" s="1072" t="s">
        <v>2063</v>
      </c>
      <c r="B141" s="1072" t="s">
        <v>2064</v>
      </c>
      <c r="C141" s="1072" t="s">
        <v>2065</v>
      </c>
      <c r="D141" s="1072" t="s">
        <v>2066</v>
      </c>
      <c r="E141" s="1021">
        <v>1100</v>
      </c>
      <c r="F141" s="1072">
        <v>2</v>
      </c>
      <c r="G141" s="1072">
        <f>F141*E141</f>
        <v>2200</v>
      </c>
      <c r="H141" s="1072" t="s">
        <v>2189</v>
      </c>
    </row>
    <row r="142" spans="1:8" ht="22.5">
      <c r="A142" s="1072" t="s">
        <v>2068</v>
      </c>
      <c r="B142" s="1072" t="s">
        <v>2069</v>
      </c>
      <c r="C142" s="1072" t="s">
        <v>2052</v>
      </c>
      <c r="D142" s="1072" t="s">
        <v>2070</v>
      </c>
      <c r="E142" s="1021">
        <v>3500</v>
      </c>
      <c r="F142" s="1072">
        <v>2</v>
      </c>
      <c r="G142" s="1072">
        <f>F142*E142</f>
        <v>7000</v>
      </c>
      <c r="H142" s="1072" t="s">
        <v>2071</v>
      </c>
    </row>
    <row r="143" spans="1:8">
      <c r="A143" s="1071"/>
      <c r="B143" s="1071" t="s">
        <v>130</v>
      </c>
      <c r="C143" s="1071"/>
      <c r="D143" s="1071"/>
      <c r="E143" s="1023"/>
      <c r="F143" s="1071"/>
      <c r="G143" s="1071">
        <f>SUM(G138:G142)</f>
        <v>89200</v>
      </c>
      <c r="H143" s="1071"/>
    </row>
    <row r="144" spans="1:8" ht="22.5">
      <c r="A144" s="1071" t="s">
        <v>2190</v>
      </c>
      <c r="B144" s="1071" t="s">
        <v>2191</v>
      </c>
      <c r="C144" s="1071"/>
      <c r="D144" s="1071"/>
      <c r="E144" s="1023"/>
      <c r="F144" s="1071"/>
      <c r="G144" s="1071"/>
      <c r="H144" s="1071"/>
    </row>
    <row r="145" spans="1:8" ht="45">
      <c r="A145" s="1071">
        <v>2</v>
      </c>
      <c r="B145" s="1071" t="s">
        <v>2192</v>
      </c>
      <c r="C145" s="1071" t="s">
        <v>1096</v>
      </c>
      <c r="D145" s="1071"/>
      <c r="E145" s="1021"/>
      <c r="F145" s="1071">
        <v>1</v>
      </c>
      <c r="G145" s="1072"/>
      <c r="H145" s="1072"/>
    </row>
    <row r="146" spans="1:8" ht="112.5">
      <c r="A146" s="1072" t="s">
        <v>2050</v>
      </c>
      <c r="B146" s="1072" t="s">
        <v>2051</v>
      </c>
      <c r="C146" s="1072" t="s">
        <v>2052</v>
      </c>
      <c r="D146" s="1022" t="s">
        <v>2186</v>
      </c>
      <c r="E146" s="1021">
        <v>22000</v>
      </c>
      <c r="F146" s="1072">
        <v>1</v>
      </c>
      <c r="G146" s="1072">
        <f>F146*E146</f>
        <v>22000</v>
      </c>
      <c r="H146" s="1072" t="s">
        <v>2054</v>
      </c>
    </row>
    <row r="147" spans="1:8" ht="22.5">
      <c r="A147" s="1072" t="s">
        <v>2055</v>
      </c>
      <c r="B147" s="1072" t="s">
        <v>2073</v>
      </c>
      <c r="C147" s="1072" t="s">
        <v>2057</v>
      </c>
      <c r="D147" s="1072" t="s">
        <v>2074</v>
      </c>
      <c r="E147" s="1021">
        <v>2500</v>
      </c>
      <c r="F147" s="1072">
        <v>1</v>
      </c>
      <c r="G147" s="1072">
        <f t="shared" ref="G147:G154" si="19">F147*E147</f>
        <v>2500</v>
      </c>
      <c r="H147" s="1072"/>
    </row>
    <row r="148" spans="1:8" ht="33.75">
      <c r="A148" s="1072" t="s">
        <v>2060</v>
      </c>
      <c r="B148" s="1072" t="s">
        <v>2075</v>
      </c>
      <c r="C148" s="1072" t="s">
        <v>2052</v>
      </c>
      <c r="D148" s="1072" t="s">
        <v>2076</v>
      </c>
      <c r="E148" s="1021">
        <v>3000</v>
      </c>
      <c r="F148" s="1072">
        <v>10</v>
      </c>
      <c r="G148" s="1072">
        <f t="shared" si="19"/>
        <v>30000</v>
      </c>
      <c r="H148" s="1072" t="s">
        <v>2077</v>
      </c>
    </row>
    <row r="149" spans="1:8" ht="45">
      <c r="A149" s="1072" t="s">
        <v>2063</v>
      </c>
      <c r="B149" s="1072" t="s">
        <v>1983</v>
      </c>
      <c r="C149" s="1072" t="s">
        <v>2078</v>
      </c>
      <c r="D149" s="1072" t="s">
        <v>2079</v>
      </c>
      <c r="E149" s="1021">
        <v>6500</v>
      </c>
      <c r="F149" s="1072">
        <v>1</v>
      </c>
      <c r="G149" s="1072">
        <f t="shared" si="19"/>
        <v>6500</v>
      </c>
      <c r="H149" s="1072" t="s">
        <v>2080</v>
      </c>
    </row>
    <row r="150" spans="1:8" ht="45">
      <c r="A150" s="1072" t="s">
        <v>2068</v>
      </c>
      <c r="B150" s="1072" t="s">
        <v>2081</v>
      </c>
      <c r="C150" s="1072" t="s">
        <v>2082</v>
      </c>
      <c r="D150" s="1072" t="s">
        <v>2083</v>
      </c>
      <c r="E150" s="1021">
        <v>1200</v>
      </c>
      <c r="F150" s="1072">
        <v>6</v>
      </c>
      <c r="G150" s="1072">
        <f t="shared" si="19"/>
        <v>7200</v>
      </c>
      <c r="H150" s="1072" t="s">
        <v>2084</v>
      </c>
    </row>
    <row r="151" spans="1:8">
      <c r="A151" s="1072" t="s">
        <v>2085</v>
      </c>
      <c r="B151" s="1072" t="s">
        <v>2086</v>
      </c>
      <c r="C151" s="1072" t="s">
        <v>2082</v>
      </c>
      <c r="D151" s="1072" t="s">
        <v>2087</v>
      </c>
      <c r="E151" s="1021">
        <v>700</v>
      </c>
      <c r="F151" s="1072">
        <v>1</v>
      </c>
      <c r="G151" s="1072">
        <f t="shared" si="19"/>
        <v>700</v>
      </c>
      <c r="H151" s="1072"/>
    </row>
    <row r="152" spans="1:8" ht="78.75">
      <c r="A152" s="1072" t="s">
        <v>2088</v>
      </c>
      <c r="B152" s="1072" t="s">
        <v>2096</v>
      </c>
      <c r="C152" s="1072" t="s">
        <v>2057</v>
      </c>
      <c r="D152" s="1072" t="s">
        <v>2097</v>
      </c>
      <c r="E152" s="1021">
        <v>2500</v>
      </c>
      <c r="F152" s="1072">
        <v>1</v>
      </c>
      <c r="G152" s="1072">
        <f t="shared" si="19"/>
        <v>2500</v>
      </c>
      <c r="H152" s="1072" t="s">
        <v>2098</v>
      </c>
    </row>
    <row r="153" spans="1:8">
      <c r="A153" s="1072" t="s">
        <v>2092</v>
      </c>
      <c r="B153" s="1072" t="s">
        <v>2100</v>
      </c>
      <c r="C153" s="1072" t="s">
        <v>2052</v>
      </c>
      <c r="D153" s="1072"/>
      <c r="E153" s="1021">
        <v>1600</v>
      </c>
      <c r="F153" s="1072">
        <v>1</v>
      </c>
      <c r="G153" s="1072">
        <f t="shared" si="19"/>
        <v>1600</v>
      </c>
      <c r="H153" s="1072"/>
    </row>
    <row r="154" spans="1:8" ht="45">
      <c r="A154" s="1072" t="s">
        <v>2095</v>
      </c>
      <c r="B154" s="1072" t="s">
        <v>2102</v>
      </c>
      <c r="C154" s="1072" t="s">
        <v>1965</v>
      </c>
      <c r="D154" s="1072" t="s">
        <v>2103</v>
      </c>
      <c r="E154" s="1021">
        <v>7000</v>
      </c>
      <c r="F154" s="1072">
        <v>1</v>
      </c>
      <c r="G154" s="1072">
        <f t="shared" si="19"/>
        <v>7000</v>
      </c>
      <c r="H154" s="1072" t="s">
        <v>2104</v>
      </c>
    </row>
    <row r="155" spans="1:8">
      <c r="A155" s="1071"/>
      <c r="B155" s="1071" t="s">
        <v>130</v>
      </c>
      <c r="C155" s="1071"/>
      <c r="D155" s="1071"/>
      <c r="E155" s="1023"/>
      <c r="F155" s="1071"/>
      <c r="G155" s="1071">
        <f>SUM(G146:G154)</f>
        <v>80000</v>
      </c>
      <c r="H155" s="1071"/>
    </row>
    <row r="156" spans="1:8" ht="45">
      <c r="A156" s="1071">
        <v>3</v>
      </c>
      <c r="B156" s="1071" t="s">
        <v>2105</v>
      </c>
      <c r="C156" s="1071" t="s">
        <v>1096</v>
      </c>
      <c r="D156" s="1071"/>
      <c r="E156" s="1021"/>
      <c r="F156" s="1071">
        <v>1</v>
      </c>
      <c r="G156" s="1072"/>
      <c r="H156" s="1072"/>
    </row>
    <row r="157" spans="1:8" ht="123.75">
      <c r="A157" s="1072" t="s">
        <v>2050</v>
      </c>
      <c r="B157" s="1072" t="s">
        <v>2051</v>
      </c>
      <c r="C157" s="1072" t="s">
        <v>2052</v>
      </c>
      <c r="D157" s="1022" t="s">
        <v>2186</v>
      </c>
      <c r="E157" s="1021">
        <v>22000</v>
      </c>
      <c r="F157" s="1072">
        <v>1</v>
      </c>
      <c r="G157" s="1072">
        <f>F157*E157</f>
        <v>22000</v>
      </c>
      <c r="H157" s="1072" t="s">
        <v>2193</v>
      </c>
    </row>
    <row r="158" spans="1:8" ht="33.75">
      <c r="A158" s="1072" t="s">
        <v>2055</v>
      </c>
      <c r="B158" s="1072" t="s">
        <v>2106</v>
      </c>
      <c r="C158" s="1072" t="s">
        <v>2052</v>
      </c>
      <c r="D158" s="1072" t="s">
        <v>2107</v>
      </c>
      <c r="E158" s="1021">
        <v>15000</v>
      </c>
      <c r="F158" s="1072">
        <v>1</v>
      </c>
      <c r="G158" s="1072">
        <f>F158*E158</f>
        <v>15000</v>
      </c>
      <c r="H158" s="1072"/>
    </row>
    <row r="159" spans="1:8">
      <c r="A159" s="1072" t="s">
        <v>2060</v>
      </c>
      <c r="B159" s="1072" t="s">
        <v>2108</v>
      </c>
      <c r="C159" s="1072"/>
      <c r="D159" s="1072" t="s">
        <v>2109</v>
      </c>
      <c r="E159" s="1021">
        <v>13000</v>
      </c>
      <c r="F159" s="1072">
        <v>1</v>
      </c>
      <c r="G159" s="1072">
        <f>F159*E159</f>
        <v>13000</v>
      </c>
      <c r="H159" s="1072"/>
    </row>
    <row r="160" spans="1:8" ht="45">
      <c r="A160" s="1072" t="s">
        <v>2063</v>
      </c>
      <c r="B160" s="1072" t="s">
        <v>2056</v>
      </c>
      <c r="C160" s="1072" t="s">
        <v>2057</v>
      </c>
      <c r="D160" s="1072" t="s">
        <v>2110</v>
      </c>
      <c r="E160" s="1021">
        <v>2000</v>
      </c>
      <c r="F160" s="1072">
        <v>1</v>
      </c>
      <c r="G160" s="1072">
        <f t="shared" ref="G160:G165" si="20">F160*E160</f>
        <v>2000</v>
      </c>
      <c r="H160" s="1072" t="s">
        <v>2059</v>
      </c>
    </row>
    <row r="161" spans="1:8" ht="56.25">
      <c r="A161" s="1072" t="s">
        <v>2068</v>
      </c>
      <c r="B161" s="1072" t="s">
        <v>2194</v>
      </c>
      <c r="C161" s="1072" t="s">
        <v>2112</v>
      </c>
      <c r="D161" s="1072"/>
      <c r="E161" s="1021">
        <v>100</v>
      </c>
      <c r="F161" s="1072">
        <v>40</v>
      </c>
      <c r="G161" s="1072">
        <f t="shared" si="20"/>
        <v>4000</v>
      </c>
      <c r="H161" s="1072" t="s">
        <v>2195</v>
      </c>
    </row>
    <row r="162" spans="1:8" ht="22.5">
      <c r="A162" s="1072" t="s">
        <v>2085</v>
      </c>
      <c r="B162" s="1072" t="s">
        <v>2113</v>
      </c>
      <c r="C162" s="1072" t="s">
        <v>2078</v>
      </c>
      <c r="D162" s="1072" t="s">
        <v>2114</v>
      </c>
      <c r="E162" s="1021">
        <v>900</v>
      </c>
      <c r="F162" s="1072">
        <v>10</v>
      </c>
      <c r="G162" s="1072">
        <f t="shared" si="20"/>
        <v>9000</v>
      </c>
      <c r="H162" s="1072"/>
    </row>
    <row r="163" spans="1:8" ht="22.5">
      <c r="A163" s="1072" t="s">
        <v>2088</v>
      </c>
      <c r="B163" s="1072" t="s">
        <v>2196</v>
      </c>
      <c r="C163" s="1072" t="s">
        <v>2082</v>
      </c>
      <c r="D163" s="1072" t="s">
        <v>2116</v>
      </c>
      <c r="E163" s="1021">
        <v>1200</v>
      </c>
      <c r="F163" s="1072">
        <v>6</v>
      </c>
      <c r="G163" s="1072">
        <f t="shared" si="20"/>
        <v>7200</v>
      </c>
      <c r="H163" s="1072" t="s">
        <v>2120</v>
      </c>
    </row>
    <row r="164" spans="1:8">
      <c r="A164" s="1072" t="s">
        <v>2092</v>
      </c>
      <c r="B164" s="1072" t="s">
        <v>2086</v>
      </c>
      <c r="C164" s="1072" t="s">
        <v>2082</v>
      </c>
      <c r="D164" s="1072" t="s">
        <v>2087</v>
      </c>
      <c r="E164" s="1021">
        <v>700</v>
      </c>
      <c r="F164" s="1072">
        <v>1</v>
      </c>
      <c r="G164" s="1072">
        <f t="shared" si="20"/>
        <v>700</v>
      </c>
      <c r="H164" s="1072"/>
    </row>
    <row r="165" spans="1:8" ht="45">
      <c r="A165" s="1072" t="s">
        <v>2095</v>
      </c>
      <c r="B165" s="1072" t="s">
        <v>2102</v>
      </c>
      <c r="C165" s="1072" t="s">
        <v>1965</v>
      </c>
      <c r="D165" s="1072" t="s">
        <v>2103</v>
      </c>
      <c r="E165" s="1021">
        <v>7000</v>
      </c>
      <c r="F165" s="1072">
        <v>1</v>
      </c>
      <c r="G165" s="1072">
        <f t="shared" si="20"/>
        <v>7000</v>
      </c>
      <c r="H165" s="1072" t="s">
        <v>2104</v>
      </c>
    </row>
    <row r="166" spans="1:8">
      <c r="A166" s="1071"/>
      <c r="B166" s="1071" t="s">
        <v>130</v>
      </c>
      <c r="C166" s="1071"/>
      <c r="D166" s="1071"/>
      <c r="E166" s="1023"/>
      <c r="F166" s="1071"/>
      <c r="G166" s="1071">
        <f>SUM(G157:G165)</f>
        <v>79900</v>
      </c>
      <c r="H166" s="1071"/>
    </row>
    <row r="167" spans="1:8" ht="45">
      <c r="A167" s="1071">
        <v>4</v>
      </c>
      <c r="B167" s="1071" t="s">
        <v>2122</v>
      </c>
      <c r="C167" s="1071" t="s">
        <v>1096</v>
      </c>
      <c r="D167" s="1071"/>
      <c r="E167" s="1021"/>
      <c r="F167" s="1071">
        <v>1</v>
      </c>
      <c r="G167" s="1072"/>
      <c r="H167" s="1072"/>
    </row>
    <row r="168" spans="1:8" ht="112.5">
      <c r="A168" s="1072" t="s">
        <v>2050</v>
      </c>
      <c r="B168" s="1072" t="s">
        <v>2051</v>
      </c>
      <c r="C168" s="1072" t="s">
        <v>2052</v>
      </c>
      <c r="D168" s="1022" t="s">
        <v>2186</v>
      </c>
      <c r="E168" s="1021">
        <v>22000</v>
      </c>
      <c r="F168" s="1072">
        <v>1</v>
      </c>
      <c r="G168" s="1072">
        <f t="shared" ref="G168:G176" si="21">F168*E168</f>
        <v>22000</v>
      </c>
      <c r="H168" s="1072" t="s">
        <v>2054</v>
      </c>
    </row>
    <row r="169" spans="1:8" ht="22.5">
      <c r="A169" s="1072" t="s">
        <v>2055</v>
      </c>
      <c r="B169" s="1072" t="s">
        <v>2073</v>
      </c>
      <c r="C169" s="1072" t="s">
        <v>2057</v>
      </c>
      <c r="D169" s="1072" t="s">
        <v>2123</v>
      </c>
      <c r="E169" s="1021">
        <v>2500</v>
      </c>
      <c r="F169" s="1072">
        <v>1</v>
      </c>
      <c r="G169" s="1072">
        <f t="shared" si="21"/>
        <v>2500</v>
      </c>
      <c r="H169" s="1072"/>
    </row>
    <row r="170" spans="1:8" ht="22.5">
      <c r="A170" s="1072" t="s">
        <v>2060</v>
      </c>
      <c r="B170" s="1072" t="s">
        <v>2124</v>
      </c>
      <c r="C170" s="1072" t="s">
        <v>2052</v>
      </c>
      <c r="D170" s="1072" t="s">
        <v>2197</v>
      </c>
      <c r="E170" s="1021">
        <v>350</v>
      </c>
      <c r="F170" s="1072">
        <v>40</v>
      </c>
      <c r="G170" s="1072">
        <f t="shared" si="21"/>
        <v>14000</v>
      </c>
      <c r="H170" s="1072"/>
    </row>
    <row r="171" spans="1:8" ht="45">
      <c r="A171" s="1072" t="s">
        <v>2063</v>
      </c>
      <c r="B171" s="1072" t="s">
        <v>1983</v>
      </c>
      <c r="C171" s="1072" t="s">
        <v>2078</v>
      </c>
      <c r="D171" s="1072" t="s">
        <v>2079</v>
      </c>
      <c r="E171" s="1021">
        <v>6500</v>
      </c>
      <c r="F171" s="1072">
        <v>1</v>
      </c>
      <c r="G171" s="1072">
        <f t="shared" si="21"/>
        <v>6500</v>
      </c>
      <c r="H171" s="1072" t="s">
        <v>2080</v>
      </c>
    </row>
    <row r="172" spans="1:8" ht="22.5">
      <c r="A172" s="1072" t="s">
        <v>2068</v>
      </c>
      <c r="B172" s="1072" t="s">
        <v>2125</v>
      </c>
      <c r="C172" s="1072" t="s">
        <v>2065</v>
      </c>
      <c r="D172" s="1072" t="s">
        <v>2126</v>
      </c>
      <c r="E172" s="1021">
        <v>1500</v>
      </c>
      <c r="F172" s="1072">
        <v>1</v>
      </c>
      <c r="G172" s="1072">
        <f t="shared" si="21"/>
        <v>1500</v>
      </c>
      <c r="H172" s="1072"/>
    </row>
    <row r="173" spans="1:8" ht="22.5">
      <c r="A173" s="1072" t="s">
        <v>2085</v>
      </c>
      <c r="B173" s="1072" t="s">
        <v>2127</v>
      </c>
      <c r="C173" s="1072" t="s">
        <v>2057</v>
      </c>
      <c r="D173" s="1072" t="s">
        <v>2128</v>
      </c>
      <c r="E173" s="1021">
        <v>2500</v>
      </c>
      <c r="F173" s="1072">
        <v>1</v>
      </c>
      <c r="G173" s="1072">
        <f t="shared" si="21"/>
        <v>2500</v>
      </c>
      <c r="H173" s="1072"/>
    </row>
    <row r="174" spans="1:8" ht="22.5">
      <c r="A174" s="1072" t="s">
        <v>2088</v>
      </c>
      <c r="B174" s="1072" t="s">
        <v>2129</v>
      </c>
      <c r="C174" s="1072" t="s">
        <v>2082</v>
      </c>
      <c r="D174" s="1072" t="s">
        <v>2130</v>
      </c>
      <c r="E174" s="1021">
        <v>1200</v>
      </c>
      <c r="F174" s="1072">
        <v>6</v>
      </c>
      <c r="G174" s="1072">
        <f t="shared" si="21"/>
        <v>7200</v>
      </c>
      <c r="H174" s="1072" t="s">
        <v>2120</v>
      </c>
    </row>
    <row r="175" spans="1:8">
      <c r="A175" s="1072" t="s">
        <v>2092</v>
      </c>
      <c r="B175" s="1072" t="s">
        <v>2131</v>
      </c>
      <c r="C175" s="1072" t="s">
        <v>2082</v>
      </c>
      <c r="D175" s="1072" t="s">
        <v>2132</v>
      </c>
      <c r="E175" s="1021">
        <v>1200</v>
      </c>
      <c r="F175" s="1072">
        <v>2</v>
      </c>
      <c r="G175" s="1072">
        <f t="shared" si="21"/>
        <v>2400</v>
      </c>
      <c r="H175" s="1072"/>
    </row>
    <row r="176" spans="1:8" ht="45">
      <c r="A176" s="1072" t="s">
        <v>2095</v>
      </c>
      <c r="B176" s="1072" t="s">
        <v>2102</v>
      </c>
      <c r="C176" s="1072" t="s">
        <v>1965</v>
      </c>
      <c r="D176" s="1072" t="s">
        <v>2103</v>
      </c>
      <c r="E176" s="1021">
        <v>7000</v>
      </c>
      <c r="F176" s="1072">
        <v>1</v>
      </c>
      <c r="G176" s="1072">
        <f t="shared" si="21"/>
        <v>7000</v>
      </c>
      <c r="H176" s="1072" t="s">
        <v>2104</v>
      </c>
    </row>
    <row r="177" spans="1:8">
      <c r="A177" s="1071"/>
      <c r="B177" s="1071" t="s">
        <v>130</v>
      </c>
      <c r="C177" s="1071"/>
      <c r="D177" s="1071"/>
      <c r="E177" s="1023"/>
      <c r="F177" s="1071"/>
      <c r="G177" s="1071">
        <f>SUM(G168:G176)</f>
        <v>65600</v>
      </c>
      <c r="H177" s="1071"/>
    </row>
    <row r="178" spans="1:8" ht="33.75">
      <c r="A178" s="1071" t="s">
        <v>2198</v>
      </c>
      <c r="B178" s="1071" t="s">
        <v>2159</v>
      </c>
      <c r="C178" s="1071"/>
      <c r="D178" s="1071"/>
      <c r="E178" s="1021"/>
      <c r="F178" s="1071"/>
      <c r="G178" s="1072"/>
      <c r="H178" s="1071"/>
    </row>
    <row r="179" spans="1:8" ht="22.5">
      <c r="A179" s="1071">
        <v>5</v>
      </c>
      <c r="B179" s="1071" t="s">
        <v>2160</v>
      </c>
      <c r="C179" s="1071" t="s">
        <v>1096</v>
      </c>
      <c r="D179" s="1071"/>
      <c r="E179" s="1021"/>
      <c r="F179" s="1071">
        <v>1</v>
      </c>
      <c r="G179" s="1072"/>
      <c r="H179" s="1071" t="s">
        <v>2161</v>
      </c>
    </row>
    <row r="180" spans="1:8" ht="22.5">
      <c r="A180" s="1072" t="s">
        <v>2050</v>
      </c>
      <c r="B180" s="1072" t="s">
        <v>2100</v>
      </c>
      <c r="C180" s="1072" t="s">
        <v>2052</v>
      </c>
      <c r="D180" s="1072"/>
      <c r="E180" s="1021">
        <v>1600</v>
      </c>
      <c r="F180" s="1072">
        <v>8</v>
      </c>
      <c r="G180" s="1072">
        <f>F180*E180</f>
        <v>12800</v>
      </c>
      <c r="H180" s="1072" t="s">
        <v>2162</v>
      </c>
    </row>
    <row r="181" spans="1:8">
      <c r="A181" s="1072" t="s">
        <v>2055</v>
      </c>
      <c r="B181" s="1072" t="s">
        <v>2163</v>
      </c>
      <c r="C181" s="1072" t="s">
        <v>2082</v>
      </c>
      <c r="D181" s="1072" t="s">
        <v>2164</v>
      </c>
      <c r="E181" s="1021">
        <v>700</v>
      </c>
      <c r="F181" s="1072">
        <v>4</v>
      </c>
      <c r="G181" s="1072">
        <f>F181*E181</f>
        <v>2800</v>
      </c>
      <c r="H181" s="1072"/>
    </row>
    <row r="182" spans="1:8" ht="22.5">
      <c r="A182" s="1072" t="s">
        <v>2060</v>
      </c>
      <c r="B182" s="1072" t="s">
        <v>2166</v>
      </c>
      <c r="C182" s="1072" t="s">
        <v>1965</v>
      </c>
      <c r="D182" s="1072" t="s">
        <v>2167</v>
      </c>
      <c r="E182" s="1021">
        <v>5000</v>
      </c>
      <c r="F182" s="1072">
        <v>8</v>
      </c>
      <c r="G182" s="1072">
        <f>F182*E182</f>
        <v>40000</v>
      </c>
      <c r="H182" s="1072" t="s">
        <v>2168</v>
      </c>
    </row>
    <row r="183" spans="1:8">
      <c r="A183" s="1072" t="s">
        <v>2068</v>
      </c>
      <c r="B183" s="1072" t="s">
        <v>2199</v>
      </c>
      <c r="C183" s="1072" t="s">
        <v>1965</v>
      </c>
      <c r="D183" s="1072" t="s">
        <v>2200</v>
      </c>
      <c r="E183" s="1021">
        <v>1200</v>
      </c>
      <c r="F183" s="1072">
        <v>1</v>
      </c>
      <c r="G183" s="1072">
        <f>F183*E183</f>
        <v>1200</v>
      </c>
      <c r="H183" s="1072"/>
    </row>
    <row r="184" spans="1:8" ht="45">
      <c r="A184" s="1072" t="s">
        <v>2088</v>
      </c>
      <c r="B184" s="1072" t="s">
        <v>2102</v>
      </c>
      <c r="C184" s="1072" t="s">
        <v>1965</v>
      </c>
      <c r="D184" s="1072" t="s">
        <v>2103</v>
      </c>
      <c r="E184" s="1021">
        <v>7000</v>
      </c>
      <c r="F184" s="1072">
        <v>2</v>
      </c>
      <c r="G184" s="1072">
        <f>F184*E184</f>
        <v>14000</v>
      </c>
      <c r="H184" s="1072" t="s">
        <v>2169</v>
      </c>
    </row>
    <row r="185" spans="1:8">
      <c r="A185" s="1071"/>
      <c r="B185" s="1071" t="s">
        <v>130</v>
      </c>
      <c r="C185" s="1071"/>
      <c r="D185" s="1071"/>
      <c r="E185" s="1023"/>
      <c r="F185" s="1071"/>
      <c r="G185" s="1071">
        <f>SUM(G180:G184)</f>
        <v>70800</v>
      </c>
      <c r="H185" s="1071"/>
    </row>
    <row r="186" spans="1:8" ht="22.5">
      <c r="A186" s="1071">
        <v>6</v>
      </c>
      <c r="B186" s="1071" t="s">
        <v>2201</v>
      </c>
      <c r="C186" s="1071" t="s">
        <v>1096</v>
      </c>
      <c r="D186" s="1071" t="s">
        <v>2202</v>
      </c>
      <c r="E186" s="1021"/>
      <c r="F186" s="1071"/>
      <c r="G186" s="1072"/>
      <c r="H186" s="1071"/>
    </row>
    <row r="187" spans="1:8" ht="22.5">
      <c r="A187" s="1072" t="s">
        <v>2050</v>
      </c>
      <c r="B187" s="1072" t="s">
        <v>2203</v>
      </c>
      <c r="C187" s="1072" t="s">
        <v>2052</v>
      </c>
      <c r="D187" s="1072"/>
      <c r="E187" s="1021">
        <v>2500</v>
      </c>
      <c r="F187" s="1072">
        <v>2</v>
      </c>
      <c r="G187" s="1072">
        <f t="shared" ref="G187:G198" si="22">F187*E187</f>
        <v>5000</v>
      </c>
      <c r="H187" s="1072" t="s">
        <v>2162</v>
      </c>
    </row>
    <row r="188" spans="1:8" ht="22.5">
      <c r="A188" s="1072" t="s">
        <v>2055</v>
      </c>
      <c r="B188" s="1072" t="s">
        <v>2204</v>
      </c>
      <c r="C188" s="1072" t="s">
        <v>2082</v>
      </c>
      <c r="D188" s="1072" t="s">
        <v>2164</v>
      </c>
      <c r="E188" s="1021">
        <v>1500</v>
      </c>
      <c r="F188" s="1072">
        <v>2</v>
      </c>
      <c r="G188" s="1072">
        <f t="shared" si="22"/>
        <v>3000</v>
      </c>
      <c r="H188" s="1072" t="s">
        <v>2205</v>
      </c>
    </row>
    <row r="189" spans="1:8">
      <c r="A189" s="1072" t="s">
        <v>2060</v>
      </c>
      <c r="B189" s="1072" t="s">
        <v>2206</v>
      </c>
      <c r="C189" s="1072" t="s">
        <v>2052</v>
      </c>
      <c r="D189" s="1072" t="s">
        <v>2207</v>
      </c>
      <c r="E189" s="1021">
        <v>2000</v>
      </c>
      <c r="F189" s="1072">
        <v>2</v>
      </c>
      <c r="G189" s="1072">
        <f t="shared" si="22"/>
        <v>4000</v>
      </c>
      <c r="H189" s="1072" t="s">
        <v>2120</v>
      </c>
    </row>
    <row r="190" spans="1:8">
      <c r="A190" s="1072" t="s">
        <v>2088</v>
      </c>
      <c r="B190" s="1072" t="s">
        <v>2146</v>
      </c>
      <c r="C190" s="1072" t="s">
        <v>2057</v>
      </c>
      <c r="D190" s="1072" t="s">
        <v>2208</v>
      </c>
      <c r="E190" s="1021">
        <v>1500</v>
      </c>
      <c r="F190" s="1072">
        <v>1</v>
      </c>
      <c r="G190" s="1072">
        <f t="shared" si="22"/>
        <v>1500</v>
      </c>
      <c r="H190" s="1072"/>
    </row>
    <row r="191" spans="1:8">
      <c r="A191" s="1072" t="s">
        <v>2092</v>
      </c>
      <c r="B191" s="1072" t="s">
        <v>2002</v>
      </c>
      <c r="C191" s="1072" t="s">
        <v>2082</v>
      </c>
      <c r="D191" s="1072" t="s">
        <v>2209</v>
      </c>
      <c r="E191" s="1021">
        <v>1200</v>
      </c>
      <c r="F191" s="1072">
        <v>4</v>
      </c>
      <c r="G191" s="1072">
        <f t="shared" si="22"/>
        <v>4800</v>
      </c>
      <c r="H191" s="1072"/>
    </row>
    <row r="192" spans="1:8">
      <c r="A192" s="1072" t="s">
        <v>2099</v>
      </c>
      <c r="B192" s="1072" t="s">
        <v>2140</v>
      </c>
      <c r="C192" s="1072" t="s">
        <v>1965</v>
      </c>
      <c r="D192" s="1072" t="s">
        <v>2210</v>
      </c>
      <c r="E192" s="1021">
        <v>5000</v>
      </c>
      <c r="F192" s="1072">
        <v>2</v>
      </c>
      <c r="G192" s="1072">
        <f t="shared" si="22"/>
        <v>10000</v>
      </c>
      <c r="H192" s="1072"/>
    </row>
    <row r="193" spans="1:8">
      <c r="A193" s="1072" t="s">
        <v>2101</v>
      </c>
      <c r="B193" s="1072" t="s">
        <v>2199</v>
      </c>
      <c r="C193" s="1072" t="s">
        <v>1965</v>
      </c>
      <c r="D193" s="1072" t="s">
        <v>2200</v>
      </c>
      <c r="E193" s="1021">
        <v>1200</v>
      </c>
      <c r="F193" s="1072">
        <v>2</v>
      </c>
      <c r="G193" s="1072">
        <f t="shared" si="22"/>
        <v>2400</v>
      </c>
      <c r="H193" s="1072"/>
    </row>
    <row r="194" spans="1:8" ht="22.5">
      <c r="A194" s="1072" t="s">
        <v>2211</v>
      </c>
      <c r="B194" s="1072" t="s">
        <v>2212</v>
      </c>
      <c r="C194" s="1072" t="s">
        <v>1965</v>
      </c>
      <c r="D194" s="1072" t="s">
        <v>2213</v>
      </c>
      <c r="E194" s="1021">
        <v>5000</v>
      </c>
      <c r="F194" s="1072">
        <v>1</v>
      </c>
      <c r="G194" s="1072">
        <f t="shared" si="22"/>
        <v>5000</v>
      </c>
      <c r="H194" s="1072" t="s">
        <v>2214</v>
      </c>
    </row>
    <row r="195" spans="1:8">
      <c r="A195" s="1072" t="s">
        <v>2215</v>
      </c>
      <c r="B195" s="1072" t="s">
        <v>2216</v>
      </c>
      <c r="C195" s="1072" t="s">
        <v>1965</v>
      </c>
      <c r="D195" s="1072"/>
      <c r="E195" s="1021">
        <v>15000</v>
      </c>
      <c r="F195" s="1072">
        <v>1</v>
      </c>
      <c r="G195" s="1072">
        <f t="shared" si="22"/>
        <v>15000</v>
      </c>
      <c r="H195" s="1072"/>
    </row>
    <row r="196" spans="1:8" ht="22.5">
      <c r="A196" s="1072" t="s">
        <v>2217</v>
      </c>
      <c r="B196" s="1072" t="s">
        <v>2218</v>
      </c>
      <c r="C196" s="1072" t="s">
        <v>1965</v>
      </c>
      <c r="D196" s="1072" t="s">
        <v>2219</v>
      </c>
      <c r="E196" s="1021">
        <v>35000</v>
      </c>
      <c r="F196" s="1072">
        <v>1</v>
      </c>
      <c r="G196" s="1072">
        <f t="shared" si="22"/>
        <v>35000</v>
      </c>
      <c r="H196" s="1072"/>
    </row>
    <row r="197" spans="1:8">
      <c r="A197" s="1072" t="s">
        <v>2220</v>
      </c>
      <c r="B197" s="1072" t="s">
        <v>2221</v>
      </c>
      <c r="C197" s="1072" t="s">
        <v>1965</v>
      </c>
      <c r="D197" s="1072"/>
      <c r="E197" s="1021">
        <v>2000</v>
      </c>
      <c r="F197" s="1072">
        <v>1</v>
      </c>
      <c r="G197" s="1072">
        <f t="shared" si="22"/>
        <v>2000</v>
      </c>
      <c r="H197" s="1072"/>
    </row>
    <row r="198" spans="1:8" ht="45">
      <c r="A198" s="1072" t="s">
        <v>2222</v>
      </c>
      <c r="B198" s="1072" t="s">
        <v>2102</v>
      </c>
      <c r="C198" s="1072" t="s">
        <v>1965</v>
      </c>
      <c r="D198" s="1072" t="s">
        <v>2223</v>
      </c>
      <c r="E198" s="1021">
        <v>6000</v>
      </c>
      <c r="F198" s="1072">
        <v>4</v>
      </c>
      <c r="G198" s="1072">
        <f t="shared" si="22"/>
        <v>24000</v>
      </c>
      <c r="H198" s="1072" t="s">
        <v>2104</v>
      </c>
    </row>
    <row r="199" spans="1:8">
      <c r="A199" s="1071"/>
      <c r="B199" s="1071" t="s">
        <v>130</v>
      </c>
      <c r="C199" s="1071"/>
      <c r="D199" s="1071"/>
      <c r="E199" s="1023"/>
      <c r="F199" s="1071"/>
      <c r="G199" s="1071">
        <f>SUM(G187:G198)</f>
        <v>111700</v>
      </c>
      <c r="H199" s="1071"/>
    </row>
    <row r="200" spans="1:8" ht="22.5">
      <c r="A200" s="1071">
        <v>7</v>
      </c>
      <c r="B200" s="1071" t="s">
        <v>2224</v>
      </c>
      <c r="C200" s="1071" t="s">
        <v>1096</v>
      </c>
      <c r="D200" s="1071"/>
      <c r="E200" s="1021"/>
      <c r="F200" s="1071">
        <v>1</v>
      </c>
      <c r="G200" s="1072"/>
      <c r="H200" s="1071"/>
    </row>
    <row r="201" spans="1:8">
      <c r="A201" s="1072" t="s">
        <v>2050</v>
      </c>
      <c r="B201" s="1072" t="s">
        <v>2225</v>
      </c>
      <c r="C201" s="1072" t="s">
        <v>2078</v>
      </c>
      <c r="D201" s="1072"/>
      <c r="E201" s="1021">
        <v>8000</v>
      </c>
      <c r="F201" s="1072">
        <v>1</v>
      </c>
      <c r="G201" s="1072">
        <f>F201*E201</f>
        <v>8000</v>
      </c>
      <c r="H201" s="1072"/>
    </row>
    <row r="202" spans="1:8">
      <c r="A202" s="1072" t="s">
        <v>2055</v>
      </c>
      <c r="B202" s="1072" t="s">
        <v>2226</v>
      </c>
      <c r="C202" s="1072" t="s">
        <v>2227</v>
      </c>
      <c r="D202" s="1072"/>
      <c r="E202" s="1021">
        <v>300</v>
      </c>
      <c r="F202" s="1072">
        <v>10</v>
      </c>
      <c r="G202" s="1072">
        <f>F202*E202</f>
        <v>3000</v>
      </c>
      <c r="H202" s="1072"/>
    </row>
    <row r="203" spans="1:8">
      <c r="A203" s="1072" t="s">
        <v>2060</v>
      </c>
      <c r="B203" s="1072" t="s">
        <v>2228</v>
      </c>
      <c r="C203" s="1072" t="s">
        <v>2082</v>
      </c>
      <c r="D203" s="1072" t="s">
        <v>2229</v>
      </c>
      <c r="E203" s="1021">
        <v>700</v>
      </c>
      <c r="F203" s="1072">
        <v>1</v>
      </c>
      <c r="G203" s="1072">
        <f>F203*E203</f>
        <v>700</v>
      </c>
      <c r="H203" s="1072"/>
    </row>
    <row r="204" spans="1:8" ht="45">
      <c r="A204" s="1072" t="s">
        <v>2063</v>
      </c>
      <c r="B204" s="1072" t="s">
        <v>2230</v>
      </c>
      <c r="C204" s="1072" t="s">
        <v>2052</v>
      </c>
      <c r="D204" s="1072" t="s">
        <v>2231</v>
      </c>
      <c r="E204" s="1021">
        <v>30000</v>
      </c>
      <c r="F204" s="1072">
        <v>1</v>
      </c>
      <c r="G204" s="1072">
        <f>F204*E204</f>
        <v>30000</v>
      </c>
      <c r="H204" s="1072" t="s">
        <v>2232</v>
      </c>
    </row>
    <row r="205" spans="1:8" ht="45">
      <c r="A205" s="1072" t="s">
        <v>2068</v>
      </c>
      <c r="B205" s="1072" t="s">
        <v>2102</v>
      </c>
      <c r="C205" s="1072" t="s">
        <v>1965</v>
      </c>
      <c r="D205" s="1072" t="s">
        <v>2103</v>
      </c>
      <c r="E205" s="1021">
        <v>7000</v>
      </c>
      <c r="F205" s="1072">
        <v>2</v>
      </c>
      <c r="G205" s="1072">
        <f>F205*E205</f>
        <v>14000</v>
      </c>
      <c r="H205" s="1072" t="s">
        <v>2104</v>
      </c>
    </row>
    <row r="206" spans="1:8">
      <c r="A206" s="1071"/>
      <c r="B206" s="1071" t="s">
        <v>130</v>
      </c>
      <c r="C206" s="1071"/>
      <c r="D206" s="1071"/>
      <c r="E206" s="1023"/>
      <c r="F206" s="1071"/>
      <c r="G206" s="1071">
        <f>SUM(G201:G205)</f>
        <v>55700</v>
      </c>
      <c r="H206" s="1071"/>
    </row>
    <row r="207" spans="1:8" ht="22.5">
      <c r="A207" s="1071">
        <v>8</v>
      </c>
      <c r="B207" s="1071" t="s">
        <v>2233</v>
      </c>
      <c r="C207" s="1071" t="s">
        <v>1096</v>
      </c>
      <c r="D207" s="1071"/>
      <c r="E207" s="1021"/>
      <c r="F207" s="1071">
        <v>1</v>
      </c>
      <c r="G207" s="1072"/>
      <c r="H207" s="1071"/>
    </row>
    <row r="208" spans="1:8">
      <c r="A208" s="1072" t="s">
        <v>2050</v>
      </c>
      <c r="B208" s="1072" t="s">
        <v>2100</v>
      </c>
      <c r="C208" s="1072" t="s">
        <v>2052</v>
      </c>
      <c r="D208" s="1072"/>
      <c r="E208" s="1021">
        <v>1600</v>
      </c>
      <c r="F208" s="1072">
        <v>1</v>
      </c>
      <c r="G208" s="1072">
        <f t="shared" ref="G208:G213" si="23">F208*E208</f>
        <v>1600</v>
      </c>
      <c r="H208" s="1072"/>
    </row>
    <row r="209" spans="1:8" ht="78.75">
      <c r="A209" s="1072" t="s">
        <v>2055</v>
      </c>
      <c r="B209" s="1072" t="s">
        <v>2140</v>
      </c>
      <c r="C209" s="1072" t="s">
        <v>1965</v>
      </c>
      <c r="D209" s="1072" t="s">
        <v>2210</v>
      </c>
      <c r="E209" s="1021">
        <v>5000</v>
      </c>
      <c r="F209" s="1072">
        <v>1</v>
      </c>
      <c r="G209" s="1072">
        <f t="shared" si="23"/>
        <v>5000</v>
      </c>
      <c r="H209" s="1072" t="s">
        <v>2234</v>
      </c>
    </row>
    <row r="210" spans="1:8">
      <c r="A210" s="1072" t="s">
        <v>2060</v>
      </c>
      <c r="B210" s="1072" t="s">
        <v>2199</v>
      </c>
      <c r="C210" s="1072" t="s">
        <v>1965</v>
      </c>
      <c r="D210" s="1072" t="s">
        <v>2235</v>
      </c>
      <c r="E210" s="1021">
        <v>1200</v>
      </c>
      <c r="F210" s="1072">
        <v>1</v>
      </c>
      <c r="G210" s="1072">
        <f t="shared" si="23"/>
        <v>1200</v>
      </c>
      <c r="H210" s="1022"/>
    </row>
    <row r="211" spans="1:8">
      <c r="A211" s="1072" t="s">
        <v>2063</v>
      </c>
      <c r="B211" s="1072" t="s">
        <v>2086</v>
      </c>
      <c r="C211" s="1072" t="s">
        <v>2082</v>
      </c>
      <c r="D211" s="1072"/>
      <c r="E211" s="1021">
        <v>700</v>
      </c>
      <c r="F211" s="1072">
        <v>1</v>
      </c>
      <c r="G211" s="1072">
        <f t="shared" si="23"/>
        <v>700</v>
      </c>
      <c r="H211" s="1072"/>
    </row>
    <row r="212" spans="1:8" ht="67.5">
      <c r="A212" s="1072" t="s">
        <v>2068</v>
      </c>
      <c r="B212" s="1072" t="s">
        <v>2236</v>
      </c>
      <c r="C212" s="1072" t="s">
        <v>1965</v>
      </c>
      <c r="D212" s="1072" t="s">
        <v>2237</v>
      </c>
      <c r="E212" s="1021">
        <v>2200</v>
      </c>
      <c r="F212" s="1072">
        <v>1</v>
      </c>
      <c r="G212" s="1072">
        <f t="shared" si="23"/>
        <v>2200</v>
      </c>
      <c r="H212" s="1022" t="s">
        <v>2238</v>
      </c>
    </row>
    <row r="213" spans="1:8" ht="45">
      <c r="A213" s="1072" t="s">
        <v>2088</v>
      </c>
      <c r="B213" s="1072" t="s">
        <v>2102</v>
      </c>
      <c r="C213" s="1072" t="s">
        <v>1965</v>
      </c>
      <c r="D213" s="1072" t="s">
        <v>2223</v>
      </c>
      <c r="E213" s="1021">
        <v>6000</v>
      </c>
      <c r="F213" s="1072">
        <v>1</v>
      </c>
      <c r="G213" s="1072">
        <f t="shared" si="23"/>
        <v>6000</v>
      </c>
      <c r="H213" s="1072" t="s">
        <v>2104</v>
      </c>
    </row>
    <row r="214" spans="1:8">
      <c r="A214" s="1071"/>
      <c r="B214" s="1071" t="s">
        <v>130</v>
      </c>
      <c r="C214" s="1071"/>
      <c r="D214" s="1071"/>
      <c r="E214" s="1023"/>
      <c r="F214" s="1071"/>
      <c r="G214" s="1071">
        <f>SUM(G208:G213)</f>
        <v>16700</v>
      </c>
      <c r="H214" s="1071"/>
    </row>
    <row r="215" spans="1:8" ht="22.5">
      <c r="A215" s="1071">
        <v>9</v>
      </c>
      <c r="B215" s="1071" t="s">
        <v>1987</v>
      </c>
      <c r="C215" s="1071" t="s">
        <v>1096</v>
      </c>
      <c r="D215" s="1071"/>
      <c r="E215" s="1021"/>
      <c r="F215" s="1071">
        <v>1</v>
      </c>
      <c r="G215" s="1072"/>
      <c r="H215" s="1071"/>
    </row>
    <row r="216" spans="1:8">
      <c r="A216" s="1072" t="s">
        <v>2050</v>
      </c>
      <c r="B216" s="1072" t="s">
        <v>2100</v>
      </c>
      <c r="C216" s="1072" t="s">
        <v>2052</v>
      </c>
      <c r="D216" s="1072"/>
      <c r="E216" s="1021">
        <v>1600</v>
      </c>
      <c r="F216" s="1072">
        <v>1</v>
      </c>
      <c r="G216" s="1072">
        <f>F216*E216</f>
        <v>1600</v>
      </c>
      <c r="H216" s="1072"/>
    </row>
    <row r="217" spans="1:8">
      <c r="A217" s="1072" t="s">
        <v>2055</v>
      </c>
      <c r="B217" s="1072" t="s">
        <v>2140</v>
      </c>
      <c r="C217" s="1072" t="s">
        <v>1965</v>
      </c>
      <c r="D217" s="1072" t="s">
        <v>2210</v>
      </c>
      <c r="E217" s="1021">
        <v>5000</v>
      </c>
      <c r="F217" s="1072">
        <v>1</v>
      </c>
      <c r="G217" s="1072">
        <f>F217*E217</f>
        <v>5000</v>
      </c>
      <c r="H217" s="1072"/>
    </row>
    <row r="218" spans="1:8">
      <c r="A218" s="1072" t="s">
        <v>2060</v>
      </c>
      <c r="B218" s="1072" t="s">
        <v>2119</v>
      </c>
      <c r="C218" s="1072" t="s">
        <v>2082</v>
      </c>
      <c r="D218" s="1072" t="s">
        <v>2116</v>
      </c>
      <c r="E218" s="1021">
        <v>1200</v>
      </c>
      <c r="F218" s="1072">
        <v>4</v>
      </c>
      <c r="G218" s="1072">
        <f>F218*E218</f>
        <v>4800</v>
      </c>
      <c r="H218" s="1072" t="s">
        <v>2120</v>
      </c>
    </row>
    <row r="219" spans="1:8">
      <c r="A219" s="1072" t="s">
        <v>2063</v>
      </c>
      <c r="B219" s="1072" t="s">
        <v>2002</v>
      </c>
      <c r="C219" s="1072" t="s">
        <v>2082</v>
      </c>
      <c r="D219" s="1072" t="s">
        <v>2209</v>
      </c>
      <c r="E219" s="1021">
        <v>1200</v>
      </c>
      <c r="F219" s="1072">
        <v>4</v>
      </c>
      <c r="G219" s="1072">
        <f>F219*E219</f>
        <v>4800</v>
      </c>
      <c r="H219" s="1072" t="s">
        <v>2120</v>
      </c>
    </row>
    <row r="220" spans="1:8">
      <c r="A220" s="1071"/>
      <c r="B220" s="1071" t="s">
        <v>130</v>
      </c>
      <c r="C220" s="1071"/>
      <c r="D220" s="1071"/>
      <c r="E220" s="1023"/>
      <c r="F220" s="1071"/>
      <c r="G220" s="1071">
        <f>SUM(G216:G219)</f>
        <v>16200</v>
      </c>
      <c r="H220" s="1071"/>
    </row>
    <row r="221" spans="1:8">
      <c r="A221" s="1071">
        <v>10</v>
      </c>
      <c r="B221" s="1071" t="s">
        <v>2239</v>
      </c>
      <c r="C221" s="1071"/>
      <c r="D221" s="1071"/>
      <c r="E221" s="1023"/>
      <c r="F221" s="1071"/>
      <c r="G221" s="1071"/>
      <c r="H221" s="1071"/>
    </row>
    <row r="222" spans="1:8" ht="78.75">
      <c r="A222" s="1072" t="s">
        <v>2050</v>
      </c>
      <c r="B222" s="1072" t="s">
        <v>2240</v>
      </c>
      <c r="C222" s="1072" t="s">
        <v>2155</v>
      </c>
      <c r="D222" s="1072"/>
      <c r="E222" s="1021">
        <v>94200</v>
      </c>
      <c r="F222" s="1072">
        <v>1</v>
      </c>
      <c r="G222" s="1072">
        <f>E222*F222</f>
        <v>94200</v>
      </c>
      <c r="H222" s="1072" t="s">
        <v>2177</v>
      </c>
    </row>
    <row r="223" spans="1:8" ht="22.5">
      <c r="A223" s="1072" t="s">
        <v>2241</v>
      </c>
      <c r="B223" s="1072" t="s">
        <v>2242</v>
      </c>
      <c r="C223" s="1072"/>
      <c r="D223" s="1072"/>
      <c r="E223" s="1021">
        <v>18000</v>
      </c>
      <c r="F223" s="1072">
        <v>1</v>
      </c>
      <c r="G223" s="1072">
        <f>E223*F223</f>
        <v>18000</v>
      </c>
      <c r="H223" s="1072"/>
    </row>
    <row r="224" spans="1:8">
      <c r="A224" s="1071"/>
      <c r="B224" s="1071" t="s">
        <v>130</v>
      </c>
      <c r="C224" s="1071"/>
      <c r="D224" s="1071"/>
      <c r="E224" s="1023"/>
      <c r="F224" s="1071"/>
      <c r="G224" s="1071">
        <f>SUM(G222:G223)</f>
        <v>112200</v>
      </c>
      <c r="H224" s="1071"/>
    </row>
    <row r="225" spans="1:8" ht="33.75">
      <c r="A225" s="1071">
        <v>11</v>
      </c>
      <c r="B225" s="1071" t="s">
        <v>2243</v>
      </c>
      <c r="C225" s="1071"/>
      <c r="D225" s="1071"/>
      <c r="E225" s="1021"/>
      <c r="F225" s="1071"/>
      <c r="G225" s="1072"/>
      <c r="H225" s="1071"/>
    </row>
    <row r="226" spans="1:8" ht="45">
      <c r="A226" s="1072" t="s">
        <v>2050</v>
      </c>
      <c r="B226" s="1072" t="s">
        <v>2244</v>
      </c>
      <c r="C226" s="1072" t="s">
        <v>2155</v>
      </c>
      <c r="D226" s="1072" t="s">
        <v>2245</v>
      </c>
      <c r="E226" s="1021">
        <v>240000</v>
      </c>
      <c r="F226" s="1072">
        <v>1</v>
      </c>
      <c r="G226" s="1072">
        <f>F226*E226</f>
        <v>240000</v>
      </c>
      <c r="H226" s="1072" t="s">
        <v>2246</v>
      </c>
    </row>
    <row r="227" spans="1:8" ht="101.25">
      <c r="A227" s="1072" t="s">
        <v>2055</v>
      </c>
      <c r="B227" s="1072" t="s">
        <v>2247</v>
      </c>
      <c r="C227" s="1072" t="s">
        <v>2082</v>
      </c>
      <c r="D227" s="1072"/>
      <c r="E227" s="1021">
        <v>30000</v>
      </c>
      <c r="F227" s="1072">
        <v>1</v>
      </c>
      <c r="G227" s="1072">
        <f>F227*E227</f>
        <v>30000</v>
      </c>
      <c r="H227" s="1072" t="s">
        <v>2248</v>
      </c>
    </row>
    <row r="228" spans="1:8" ht="78.75">
      <c r="A228" s="1072" t="s">
        <v>2060</v>
      </c>
      <c r="B228" s="1072" t="s">
        <v>2249</v>
      </c>
      <c r="C228" s="1072" t="s">
        <v>2082</v>
      </c>
      <c r="D228" s="1072"/>
      <c r="E228" s="1021">
        <v>20000</v>
      </c>
      <c r="F228" s="1072">
        <v>1</v>
      </c>
      <c r="G228" s="1072">
        <f>F228*E228</f>
        <v>20000</v>
      </c>
      <c r="H228" s="1072" t="s">
        <v>2250</v>
      </c>
    </row>
    <row r="229" spans="1:8">
      <c r="A229" s="1072"/>
      <c r="B229" s="1071" t="s">
        <v>130</v>
      </c>
      <c r="C229" s="1073"/>
      <c r="D229" s="1073"/>
      <c r="E229" s="1066"/>
      <c r="F229" s="1073"/>
      <c r="G229" s="1074">
        <f>SUM(G226:G228)</f>
        <v>290000</v>
      </c>
      <c r="H229" s="1073"/>
    </row>
    <row r="230" spans="1:8" ht="22.5">
      <c r="A230" s="1071">
        <v>11</v>
      </c>
      <c r="B230" s="1071" t="s">
        <v>2251</v>
      </c>
      <c r="C230" s="1071"/>
      <c r="D230" s="1071"/>
      <c r="E230" s="1021"/>
      <c r="F230" s="1071"/>
      <c r="G230" s="1072"/>
      <c r="H230" s="1071"/>
    </row>
    <row r="231" spans="1:8" ht="67.5">
      <c r="A231" s="1072" t="s">
        <v>2050</v>
      </c>
      <c r="B231" s="1072" t="s">
        <v>2252</v>
      </c>
      <c r="C231" s="1072" t="s">
        <v>2155</v>
      </c>
      <c r="D231" s="1072"/>
      <c r="E231" s="1021">
        <v>260000</v>
      </c>
      <c r="F231" s="1072">
        <v>1</v>
      </c>
      <c r="G231" s="1072">
        <f>E231*F231</f>
        <v>260000</v>
      </c>
      <c r="H231" s="1072" t="s">
        <v>2253</v>
      </c>
    </row>
    <row r="232" spans="1:8" ht="67.5">
      <c r="A232" s="1072" t="s">
        <v>2055</v>
      </c>
      <c r="B232" s="1072" t="s">
        <v>2254</v>
      </c>
      <c r="C232" s="1072" t="s">
        <v>2155</v>
      </c>
      <c r="D232" s="1072" t="s">
        <v>2255</v>
      </c>
      <c r="E232" s="1021">
        <v>940000</v>
      </c>
      <c r="F232" s="1072">
        <v>1</v>
      </c>
      <c r="G232" s="1072">
        <f>E232*F232</f>
        <v>940000</v>
      </c>
      <c r="H232" s="1072" t="s">
        <v>2253</v>
      </c>
    </row>
    <row r="233" spans="1:8">
      <c r="A233" s="1072"/>
      <c r="B233" s="1071" t="s">
        <v>130</v>
      </c>
      <c r="C233" s="1072"/>
      <c r="D233" s="1072"/>
      <c r="E233" s="1021"/>
      <c r="F233" s="1072"/>
      <c r="G233" s="1071">
        <f>SUM(G231:G232)</f>
        <v>1200000</v>
      </c>
      <c r="H233" s="1072"/>
    </row>
    <row r="234" spans="1:8" ht="24">
      <c r="A234" s="1071">
        <v>12</v>
      </c>
      <c r="B234" s="1075" t="s">
        <v>2256</v>
      </c>
      <c r="C234" s="1071"/>
      <c r="D234" s="1071"/>
      <c r="E234" s="1023"/>
      <c r="F234" s="1071"/>
      <c r="G234" s="1071"/>
      <c r="H234" s="1071"/>
    </row>
    <row r="235" spans="1:8" ht="22.5">
      <c r="A235" s="1072"/>
      <c r="B235" s="1072" t="s">
        <v>2257</v>
      </c>
      <c r="C235" s="1072"/>
      <c r="D235" s="1072"/>
      <c r="E235" s="1021">
        <v>40000</v>
      </c>
      <c r="F235" s="1072">
        <v>1</v>
      </c>
      <c r="G235" s="1072">
        <v>40000</v>
      </c>
      <c r="H235" s="1072"/>
    </row>
    <row r="236" spans="1:8">
      <c r="A236" s="1072"/>
      <c r="B236" s="1071" t="s">
        <v>130</v>
      </c>
      <c r="C236" s="1072"/>
      <c r="D236" s="1072"/>
      <c r="E236" s="1021"/>
      <c r="F236" s="1072"/>
      <c r="G236" s="1071">
        <v>40000</v>
      </c>
      <c r="H236" s="1072"/>
    </row>
    <row r="237" spans="1:8">
      <c r="A237" s="1072"/>
      <c r="B237" s="1071" t="s">
        <v>1136</v>
      </c>
      <c r="C237" s="1071"/>
      <c r="D237" s="1071" t="s">
        <v>2161</v>
      </c>
      <c r="E237" s="1071"/>
      <c r="F237" s="1071"/>
      <c r="G237" s="1071">
        <f>G224+G220+G214+G206+G199+G185+G177+G166+G155+G143+G229+G233+G236</f>
        <v>2228000</v>
      </c>
      <c r="H237" s="682"/>
    </row>
  </sheetData>
  <autoFilter ref="A2:M28"/>
  <mergeCells count="17">
    <mergeCell ref="A133:H133"/>
    <mergeCell ref="A134:A135"/>
    <mergeCell ref="B134:B135"/>
    <mergeCell ref="C134:C135"/>
    <mergeCell ref="D134:D135"/>
    <mergeCell ref="E134:E135"/>
    <mergeCell ref="F134:G134"/>
    <mergeCell ref="H134:H135"/>
    <mergeCell ref="A1:N1"/>
    <mergeCell ref="A30:H30"/>
    <mergeCell ref="A31:A32"/>
    <mergeCell ref="B31:B32"/>
    <mergeCell ref="C31:C32"/>
    <mergeCell ref="D31:D32"/>
    <mergeCell ref="E31:E32"/>
    <mergeCell ref="F31:G31"/>
    <mergeCell ref="H31:H32"/>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activeCell="P2" sqref="P2"/>
    </sheetView>
  </sheetViews>
  <sheetFormatPr defaultColWidth="8.875" defaultRowHeight="13.5"/>
  <cols>
    <col min="1" max="1" width="3.875" style="684" customWidth="1"/>
    <col min="2" max="2" width="8.375" style="684" customWidth="1"/>
    <col min="3" max="3" width="10" style="684" customWidth="1"/>
    <col min="4" max="4" width="24.125" style="745" customWidth="1"/>
    <col min="5" max="5" width="12" style="684" customWidth="1"/>
    <col min="6" max="6" width="17.125" style="684" customWidth="1"/>
    <col min="7" max="7" width="25.375" style="684" customWidth="1"/>
    <col min="8" max="8" width="6" style="684" customWidth="1"/>
    <col min="9" max="9" width="7.875" style="746" customWidth="1"/>
    <col min="10" max="10" width="6" style="684" customWidth="1"/>
    <col min="11" max="11" width="12" style="746" customWidth="1"/>
    <col min="12" max="12" width="12.25" style="684" customWidth="1"/>
    <col min="13" max="13" width="9" style="684" customWidth="1"/>
    <col min="14" max="14" width="10.75" style="745" customWidth="1"/>
    <col min="15" max="16384" width="8.875" style="684"/>
  </cols>
  <sheetData>
    <row r="1" spans="1:14" s="689" customFormat="1" ht="30" customHeight="1">
      <c r="A1" s="1534" t="s">
        <v>2616</v>
      </c>
      <c r="B1" s="1534"/>
      <c r="C1" s="1534"/>
      <c r="D1" s="1534"/>
      <c r="E1" s="1534"/>
      <c r="F1" s="1534"/>
      <c r="G1" s="1534"/>
      <c r="H1" s="1534"/>
      <c r="I1" s="1534"/>
      <c r="J1" s="1534"/>
      <c r="K1" s="1534"/>
      <c r="L1" s="1492"/>
      <c r="M1" s="1492"/>
      <c r="N1" s="1492"/>
    </row>
    <row r="2" spans="1:14" s="933" customFormat="1" ht="36">
      <c r="A2" s="934" t="s">
        <v>2559</v>
      </c>
      <c r="B2" s="559" t="s">
        <v>2784</v>
      </c>
      <c r="C2" s="559" t="s">
        <v>2785</v>
      </c>
      <c r="D2" s="935" t="s">
        <v>2560</v>
      </c>
      <c r="E2" s="936" t="s">
        <v>180</v>
      </c>
      <c r="F2" s="936" t="s">
        <v>575</v>
      </c>
      <c r="G2" s="935" t="s">
        <v>576</v>
      </c>
      <c r="H2" s="935" t="s">
        <v>577</v>
      </c>
      <c r="I2" s="936" t="s">
        <v>579</v>
      </c>
      <c r="J2" s="936" t="s">
        <v>578</v>
      </c>
      <c r="K2" s="936" t="s">
        <v>580</v>
      </c>
      <c r="L2" s="937" t="s">
        <v>2579</v>
      </c>
      <c r="M2" s="562" t="s">
        <v>2783</v>
      </c>
      <c r="N2" s="936" t="s">
        <v>1889</v>
      </c>
    </row>
    <row r="3" spans="1:14" s="943" customFormat="1" ht="20.100000000000001" customHeight="1">
      <c r="A3" s="968">
        <v>1</v>
      </c>
      <c r="B3" s="969" t="s">
        <v>2617</v>
      </c>
      <c r="C3" s="968" t="s">
        <v>2618</v>
      </c>
      <c r="D3" s="1008" t="s">
        <v>2026</v>
      </c>
      <c r="E3" s="1013" t="s">
        <v>2536</v>
      </c>
      <c r="F3" s="1042" t="s">
        <v>2027</v>
      </c>
      <c r="G3" s="698" t="s">
        <v>2028</v>
      </c>
      <c r="H3" s="698"/>
      <c r="I3" s="971">
        <v>102550</v>
      </c>
      <c r="J3" s="972">
        <v>1</v>
      </c>
      <c r="K3" s="971">
        <f t="shared" ref="K3:K5" si="0">J3*I3</f>
        <v>102550</v>
      </c>
      <c r="L3" s="941">
        <f>K3</f>
        <v>102550</v>
      </c>
      <c r="M3" s="941">
        <f>K3-L3</f>
        <v>0</v>
      </c>
      <c r="N3" s="939"/>
    </row>
    <row r="4" spans="1:14" s="943" customFormat="1" ht="20.100000000000001" customHeight="1">
      <c r="A4" s="968">
        <v>1</v>
      </c>
      <c r="B4" s="969" t="s">
        <v>2617</v>
      </c>
      <c r="C4" s="968" t="s">
        <v>2618</v>
      </c>
      <c r="D4" s="1008" t="s">
        <v>2026</v>
      </c>
      <c r="E4" s="1013" t="s">
        <v>2536</v>
      </c>
      <c r="F4" s="1042" t="s">
        <v>2027</v>
      </c>
      <c r="G4" s="698" t="s">
        <v>2029</v>
      </c>
      <c r="H4" s="698"/>
      <c r="I4" s="971">
        <v>135050</v>
      </c>
      <c r="J4" s="972">
        <v>1</v>
      </c>
      <c r="K4" s="971">
        <f t="shared" si="0"/>
        <v>135050</v>
      </c>
      <c r="L4" s="941">
        <f t="shared" ref="L4:L19" si="1">K4</f>
        <v>135050</v>
      </c>
      <c r="M4" s="941">
        <f>K4-L4</f>
        <v>0</v>
      </c>
      <c r="N4" s="939"/>
    </row>
    <row r="5" spans="1:14" s="943" customFormat="1" ht="20.100000000000001" customHeight="1">
      <c r="A5" s="968">
        <v>1</v>
      </c>
      <c r="B5" s="969" t="s">
        <v>2617</v>
      </c>
      <c r="C5" s="968" t="s">
        <v>2618</v>
      </c>
      <c r="D5" s="1076" t="s">
        <v>2026</v>
      </c>
      <c r="E5" s="1013" t="s">
        <v>2536</v>
      </c>
      <c r="F5" s="1013" t="s">
        <v>2027</v>
      </c>
      <c r="G5" s="938" t="s">
        <v>2030</v>
      </c>
      <c r="H5" s="970"/>
      <c r="I5" s="971">
        <v>1260027</v>
      </c>
      <c r="J5" s="972">
        <v>1</v>
      </c>
      <c r="K5" s="971">
        <f t="shared" si="0"/>
        <v>1260027</v>
      </c>
      <c r="L5" s="941">
        <f t="shared" si="1"/>
        <v>1260027</v>
      </c>
      <c r="M5" s="941">
        <f>K5-L5</f>
        <v>0</v>
      </c>
      <c r="N5" s="939" t="s">
        <v>2780</v>
      </c>
    </row>
    <row r="6" spans="1:14" s="1011" customFormat="1" ht="20.100000000000001" customHeight="1">
      <c r="A6" s="1044"/>
      <c r="B6" s="1077"/>
      <c r="C6" s="1044"/>
      <c r="D6" s="1078" t="s">
        <v>2262</v>
      </c>
      <c r="E6" s="988"/>
      <c r="F6" s="988"/>
      <c r="G6" s="989"/>
      <c r="H6" s="1079"/>
      <c r="I6" s="1049"/>
      <c r="J6" s="1050"/>
      <c r="K6" s="1049">
        <f>SUM(K3:K5)</f>
        <v>1497627</v>
      </c>
      <c r="L6" s="980">
        <f t="shared" ref="L6:M6" si="2">SUM(L3:L5)</f>
        <v>1497627</v>
      </c>
      <c r="M6" s="980">
        <f t="shared" si="2"/>
        <v>0</v>
      </c>
      <c r="N6" s="980"/>
    </row>
    <row r="7" spans="1:14" s="943" customFormat="1" ht="20.100000000000001" customHeight="1">
      <c r="A7" s="982">
        <v>2</v>
      </c>
      <c r="B7" s="983" t="s">
        <v>2617</v>
      </c>
      <c r="C7" s="982" t="s">
        <v>2618</v>
      </c>
      <c r="D7" s="1080" t="s">
        <v>1865</v>
      </c>
      <c r="E7" s="1013" t="s">
        <v>2536</v>
      </c>
      <c r="F7" s="1013" t="s">
        <v>2027</v>
      </c>
      <c r="G7" s="938" t="s">
        <v>2031</v>
      </c>
      <c r="H7" s="984"/>
      <c r="I7" s="985">
        <v>757598</v>
      </c>
      <c r="J7" s="986">
        <v>1</v>
      </c>
      <c r="K7" s="1081">
        <f>J7*I7</f>
        <v>757598</v>
      </c>
      <c r="L7" s="941">
        <f t="shared" si="1"/>
        <v>757598</v>
      </c>
      <c r="M7" s="941">
        <f>K7-L7</f>
        <v>0</v>
      </c>
      <c r="N7" s="939" t="s">
        <v>2780</v>
      </c>
    </row>
    <row r="8" spans="1:14" s="943" customFormat="1" ht="20.100000000000001" customHeight="1">
      <c r="A8" s="982">
        <v>2</v>
      </c>
      <c r="B8" s="983" t="s">
        <v>2617</v>
      </c>
      <c r="C8" s="982" t="s">
        <v>2618</v>
      </c>
      <c r="D8" s="1080" t="s">
        <v>1865</v>
      </c>
      <c r="E8" s="1006" t="s">
        <v>2536</v>
      </c>
      <c r="F8" s="704" t="s">
        <v>2032</v>
      </c>
      <c r="G8" s="704" t="s">
        <v>2032</v>
      </c>
      <c r="H8" s="706" t="s">
        <v>2024</v>
      </c>
      <c r="I8" s="940">
        <v>343116</v>
      </c>
      <c r="J8" s="949">
        <v>1</v>
      </c>
      <c r="K8" s="1007">
        <f t="shared" ref="K8" si="3">J8*I8</f>
        <v>343116</v>
      </c>
      <c r="L8" s="941">
        <f t="shared" si="1"/>
        <v>343116</v>
      </c>
      <c r="M8" s="941">
        <f>K8-L8</f>
        <v>0</v>
      </c>
      <c r="N8" s="939" t="s">
        <v>2780</v>
      </c>
    </row>
    <row r="9" spans="1:14" s="943" customFormat="1" ht="20.100000000000001" customHeight="1">
      <c r="A9" s="934"/>
      <c r="B9" s="934"/>
      <c r="C9" s="958"/>
      <c r="D9" s="958" t="s">
        <v>2262</v>
      </c>
      <c r="E9" s="934"/>
      <c r="F9" s="934"/>
      <c r="G9" s="1033"/>
      <c r="H9" s="1033"/>
      <c r="I9" s="934"/>
      <c r="J9" s="934"/>
      <c r="K9" s="1082">
        <f>SUM(K7:K8)</f>
        <v>1100714</v>
      </c>
      <c r="L9" s="1082">
        <f t="shared" ref="L9:M9" si="4">SUM(L7:L8)</f>
        <v>1100714</v>
      </c>
      <c r="M9" s="1082">
        <f t="shared" si="4"/>
        <v>0</v>
      </c>
      <c r="N9" s="1082"/>
    </row>
    <row r="10" spans="1:14" s="943" customFormat="1" ht="20.100000000000001" customHeight="1">
      <c r="A10" s="968">
        <v>3</v>
      </c>
      <c r="B10" s="968" t="s">
        <v>2617</v>
      </c>
      <c r="C10" s="968" t="s">
        <v>2618</v>
      </c>
      <c r="D10" s="1013" t="s">
        <v>2033</v>
      </c>
      <c r="E10" s="1013" t="s">
        <v>2536</v>
      </c>
      <c r="F10" s="1013" t="s">
        <v>2027</v>
      </c>
      <c r="G10" s="938" t="s">
        <v>2031</v>
      </c>
      <c r="H10" s="984"/>
      <c r="I10" s="985">
        <v>757598</v>
      </c>
      <c r="J10" s="968">
        <v>1</v>
      </c>
      <c r="K10" s="991">
        <f>J10*I10</f>
        <v>757598</v>
      </c>
      <c r="L10" s="941">
        <f t="shared" si="1"/>
        <v>757598</v>
      </c>
      <c r="M10" s="941">
        <f>K10-L10</f>
        <v>0</v>
      </c>
      <c r="N10" s="939" t="s">
        <v>2780</v>
      </c>
    </row>
    <row r="11" spans="1:14" s="943" customFormat="1" ht="20.100000000000001" customHeight="1">
      <c r="A11" s="958"/>
      <c r="B11" s="941"/>
      <c r="C11" s="958"/>
      <c r="D11" s="958" t="s">
        <v>2262</v>
      </c>
      <c r="E11" s="989"/>
      <c r="F11" s="989"/>
      <c r="G11" s="989"/>
      <c r="H11" s="958"/>
      <c r="I11" s="946"/>
      <c r="J11" s="958"/>
      <c r="K11" s="946">
        <f>SUM(K10:K10)</f>
        <v>757598</v>
      </c>
      <c r="L11" s="946">
        <f t="shared" ref="L11:M11" si="5">SUM(L10:L10)</f>
        <v>757598</v>
      </c>
      <c r="M11" s="946">
        <f t="shared" si="5"/>
        <v>0</v>
      </c>
      <c r="N11" s="946"/>
    </row>
    <row r="12" spans="1:14" s="943" customFormat="1" ht="20.100000000000001" customHeight="1">
      <c r="A12" s="968">
        <v>4</v>
      </c>
      <c r="B12" s="968" t="s">
        <v>2617</v>
      </c>
      <c r="C12" s="968" t="s">
        <v>1881</v>
      </c>
      <c r="D12" s="1013" t="s">
        <v>2619</v>
      </c>
      <c r="E12" s="1013" t="s">
        <v>2536</v>
      </c>
      <c r="F12" s="1083" t="s">
        <v>2244</v>
      </c>
      <c r="G12" s="1083" t="s">
        <v>2244</v>
      </c>
      <c r="H12" s="1083" t="s">
        <v>2024</v>
      </c>
      <c r="I12" s="994">
        <v>150000</v>
      </c>
      <c r="J12" s="1084">
        <v>1</v>
      </c>
      <c r="K12" s="994">
        <f>I12*J12</f>
        <v>150000</v>
      </c>
      <c r="L12" s="941">
        <f t="shared" si="1"/>
        <v>150000</v>
      </c>
      <c r="M12" s="941">
        <f>K12-L12</f>
        <v>0</v>
      </c>
      <c r="N12" s="938"/>
    </row>
    <row r="13" spans="1:14" s="943" customFormat="1" ht="20.100000000000001" customHeight="1">
      <c r="A13" s="974"/>
      <c r="B13" s="974"/>
      <c r="C13" s="968"/>
      <c r="D13" s="958" t="s">
        <v>2262</v>
      </c>
      <c r="E13" s="988"/>
      <c r="F13" s="988"/>
      <c r="G13" s="989"/>
      <c r="H13" s="989"/>
      <c r="I13" s="980"/>
      <c r="J13" s="974"/>
      <c r="K13" s="980">
        <f>SUM(K12:K12)</f>
        <v>150000</v>
      </c>
      <c r="L13" s="980">
        <f t="shared" ref="L13:M13" si="6">SUM(L12:L12)</f>
        <v>150000</v>
      </c>
      <c r="M13" s="980">
        <f t="shared" si="6"/>
        <v>0</v>
      </c>
      <c r="N13" s="980"/>
    </row>
    <row r="14" spans="1:14" s="943" customFormat="1" ht="20.100000000000001" customHeight="1">
      <c r="A14" s="968">
        <v>5</v>
      </c>
      <c r="B14" s="968" t="s">
        <v>2617</v>
      </c>
      <c r="C14" s="968" t="s">
        <v>1881</v>
      </c>
      <c r="D14" s="1013" t="s">
        <v>2620</v>
      </c>
      <c r="E14" s="1013" t="s">
        <v>2536</v>
      </c>
      <c r="F14" s="939" t="s">
        <v>2034</v>
      </c>
      <c r="G14" s="939" t="s">
        <v>2034</v>
      </c>
      <c r="H14" s="938"/>
      <c r="I14" s="991">
        <v>100000</v>
      </c>
      <c r="J14" s="968">
        <v>1</v>
      </c>
      <c r="K14" s="991">
        <f>I14*J14</f>
        <v>100000</v>
      </c>
      <c r="L14" s="941">
        <f t="shared" si="1"/>
        <v>100000</v>
      </c>
      <c r="M14" s="941">
        <f>K14-L14</f>
        <v>0</v>
      </c>
      <c r="N14" s="1013"/>
    </row>
    <row r="15" spans="1:14" s="943" customFormat="1" ht="20.100000000000001" customHeight="1">
      <c r="A15" s="958"/>
      <c r="B15" s="941"/>
      <c r="C15" s="958"/>
      <c r="D15" s="958" t="s">
        <v>2262</v>
      </c>
      <c r="E15" s="989"/>
      <c r="F15" s="989"/>
      <c r="G15" s="989"/>
      <c r="H15" s="958"/>
      <c r="I15" s="946"/>
      <c r="J15" s="958"/>
      <c r="K15" s="946">
        <f>SUM(K14:K14)</f>
        <v>100000</v>
      </c>
      <c r="L15" s="946">
        <f t="shared" ref="L15:M15" si="7">SUM(L14:L14)</f>
        <v>100000</v>
      </c>
      <c r="M15" s="946">
        <f t="shared" si="7"/>
        <v>0</v>
      </c>
      <c r="N15" s="946"/>
    </row>
    <row r="16" spans="1:14" s="943" customFormat="1" ht="20.100000000000001" customHeight="1">
      <c r="A16" s="968">
        <v>6</v>
      </c>
      <c r="B16" s="968" t="s">
        <v>2617</v>
      </c>
      <c r="C16" s="968" t="s">
        <v>1881</v>
      </c>
      <c r="D16" s="1013" t="s">
        <v>2621</v>
      </c>
      <c r="E16" s="1013" t="s">
        <v>2536</v>
      </c>
      <c r="F16" s="1013" t="s">
        <v>2279</v>
      </c>
      <c r="G16" s="938" t="s">
        <v>2279</v>
      </c>
      <c r="H16" s="938" t="s">
        <v>2024</v>
      </c>
      <c r="I16" s="991">
        <v>120000</v>
      </c>
      <c r="J16" s="968">
        <v>1</v>
      </c>
      <c r="K16" s="991">
        <f>I16*J16</f>
        <v>120000</v>
      </c>
      <c r="L16" s="941">
        <f t="shared" si="1"/>
        <v>120000</v>
      </c>
      <c r="M16" s="941">
        <f>K16-L16</f>
        <v>0</v>
      </c>
      <c r="N16" s="993"/>
    </row>
    <row r="17" spans="1:14" s="943" customFormat="1" ht="20.100000000000001" customHeight="1">
      <c r="A17" s="968">
        <v>6</v>
      </c>
      <c r="B17" s="968" t="s">
        <v>2617</v>
      </c>
      <c r="C17" s="968" t="s">
        <v>1881</v>
      </c>
      <c r="D17" s="1013" t="s">
        <v>2621</v>
      </c>
      <c r="E17" s="1013" t="s">
        <v>2536</v>
      </c>
      <c r="F17" s="938" t="s">
        <v>2035</v>
      </c>
      <c r="G17" s="938" t="s">
        <v>2035</v>
      </c>
      <c r="H17" s="938" t="s">
        <v>1965</v>
      </c>
      <c r="I17" s="991">
        <v>30000</v>
      </c>
      <c r="J17" s="968">
        <v>1</v>
      </c>
      <c r="K17" s="991">
        <f>I17*J17</f>
        <v>30000</v>
      </c>
      <c r="L17" s="941">
        <f t="shared" si="1"/>
        <v>30000</v>
      </c>
      <c r="M17" s="941">
        <f>K17-L17</f>
        <v>0</v>
      </c>
      <c r="N17" s="993"/>
    </row>
    <row r="18" spans="1:14" s="943" customFormat="1" ht="20.100000000000001" customHeight="1">
      <c r="A18" s="968">
        <v>6</v>
      </c>
      <c r="B18" s="968" t="s">
        <v>2617</v>
      </c>
      <c r="C18" s="968" t="s">
        <v>1881</v>
      </c>
      <c r="D18" s="1013" t="s">
        <v>2622</v>
      </c>
      <c r="E18" s="1013" t="s">
        <v>2536</v>
      </c>
      <c r="F18" s="938" t="s">
        <v>2539</v>
      </c>
      <c r="G18" s="938" t="s">
        <v>2539</v>
      </c>
      <c r="H18" s="1085"/>
      <c r="I18" s="991">
        <v>15000</v>
      </c>
      <c r="J18" s="968">
        <v>10</v>
      </c>
      <c r="K18" s="991">
        <f>I18*J18</f>
        <v>150000</v>
      </c>
      <c r="L18" s="941">
        <f t="shared" si="1"/>
        <v>150000</v>
      </c>
      <c r="M18" s="941">
        <f>K18-L18</f>
        <v>0</v>
      </c>
      <c r="N18" s="1013"/>
    </row>
    <row r="19" spans="1:14" s="943" customFormat="1" ht="20.100000000000001" customHeight="1">
      <c r="A19" s="968">
        <v>6</v>
      </c>
      <c r="B19" s="968" t="s">
        <v>2617</v>
      </c>
      <c r="C19" s="968" t="s">
        <v>1881</v>
      </c>
      <c r="D19" s="1013" t="s">
        <v>2621</v>
      </c>
      <c r="E19" s="1013" t="s">
        <v>2536</v>
      </c>
      <c r="F19" s="939" t="s">
        <v>2034</v>
      </c>
      <c r="G19" s="939" t="s">
        <v>2034</v>
      </c>
      <c r="H19" s="1085" t="s">
        <v>2024</v>
      </c>
      <c r="I19" s="991">
        <v>100000</v>
      </c>
      <c r="J19" s="968">
        <v>1</v>
      </c>
      <c r="K19" s="991">
        <f>I19*J19</f>
        <v>100000</v>
      </c>
      <c r="L19" s="941">
        <f t="shared" si="1"/>
        <v>100000</v>
      </c>
      <c r="M19" s="941">
        <f>K19-L19</f>
        <v>0</v>
      </c>
      <c r="N19" s="993"/>
    </row>
    <row r="20" spans="1:14" s="943" customFormat="1" ht="20.100000000000001" customHeight="1">
      <c r="A20" s="1054"/>
      <c r="B20" s="1054"/>
      <c r="C20" s="960"/>
      <c r="D20" s="1086" t="s">
        <v>2262</v>
      </c>
      <c r="E20" s="1087"/>
      <c r="F20" s="1087"/>
      <c r="G20" s="1088"/>
      <c r="H20" s="1088"/>
      <c r="I20" s="1089"/>
      <c r="J20" s="1054"/>
      <c r="K20" s="1090">
        <f>SUM(K16:K19)</f>
        <v>400000</v>
      </c>
      <c r="L20" s="980">
        <f t="shared" ref="L20:M20" si="8">SUM(L16:L19)</f>
        <v>400000</v>
      </c>
      <c r="M20" s="980">
        <f t="shared" si="8"/>
        <v>0</v>
      </c>
      <c r="N20" s="980"/>
    </row>
    <row r="21" spans="1:14" s="943" customFormat="1" ht="20.100000000000001" customHeight="1">
      <c r="A21" s="941"/>
      <c r="B21" s="941"/>
      <c r="C21" s="941"/>
      <c r="D21" s="958" t="s">
        <v>1405</v>
      </c>
      <c r="E21" s="941"/>
      <c r="F21" s="941"/>
      <c r="G21" s="941"/>
      <c r="H21" s="941"/>
      <c r="I21" s="994"/>
      <c r="J21" s="941"/>
      <c r="K21" s="1091">
        <f>SUM(K20,K13,K15,K11,K9,K6)</f>
        <v>4005939</v>
      </c>
      <c r="L21" s="1092">
        <f t="shared" ref="L21:M21" si="9">SUM(L20,L13,L15,L11,L9,L6)</f>
        <v>4005939</v>
      </c>
      <c r="M21" s="1092">
        <f t="shared" si="9"/>
        <v>0</v>
      </c>
      <c r="N21" s="1092"/>
    </row>
  </sheetData>
  <autoFilter ref="A2:M21"/>
  <mergeCells count="1">
    <mergeCell ref="A1:N1"/>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2"/>
  <sheetViews>
    <sheetView workbookViewId="0">
      <selection activeCell="L42" sqref="L42:M42"/>
    </sheetView>
  </sheetViews>
  <sheetFormatPr defaultRowHeight="13.5"/>
  <cols>
    <col min="1" max="1" width="4.875" style="1093" customWidth="1"/>
    <col min="2" max="2" width="7.375" style="1093" customWidth="1"/>
    <col min="3" max="3" width="8.125" style="1093" customWidth="1"/>
    <col min="4" max="4" width="21.125" style="1093" customWidth="1"/>
    <col min="5" max="5" width="12.25" style="1093" customWidth="1"/>
    <col min="6" max="6" width="21.375" style="1093" customWidth="1"/>
    <col min="7" max="7" width="19.75" style="1093" customWidth="1"/>
    <col min="8" max="8" width="7.25" style="1093" customWidth="1"/>
    <col min="9" max="9" width="8.125" style="1093" customWidth="1"/>
    <col min="10" max="10" width="9" style="1093"/>
    <col min="11" max="11" width="13.25" style="1093" customWidth="1"/>
    <col min="12" max="12" width="12.5" style="1093" customWidth="1"/>
    <col min="13" max="13" width="9.875" style="1093" customWidth="1"/>
    <col min="14" max="14" width="11.875" style="1093" customWidth="1"/>
    <col min="15" max="16384" width="9" style="1093"/>
  </cols>
  <sheetData>
    <row r="1" spans="1:14" ht="30" customHeight="1">
      <c r="A1" s="1516" t="s">
        <v>2762</v>
      </c>
      <c r="B1" s="1516"/>
      <c r="C1" s="1516"/>
      <c r="D1" s="1516"/>
      <c r="E1" s="1516"/>
      <c r="F1" s="1516"/>
      <c r="G1" s="1516"/>
      <c r="H1" s="1516"/>
      <c r="I1" s="1516"/>
      <c r="J1" s="1516"/>
      <c r="K1" s="1516"/>
      <c r="L1" s="1535"/>
      <c r="M1" s="1535"/>
      <c r="N1" s="1481"/>
    </row>
    <row r="2" spans="1:14" s="753" customFormat="1" ht="36">
      <c r="A2" s="958" t="s">
        <v>2559</v>
      </c>
      <c r="B2" s="559" t="s">
        <v>2784</v>
      </c>
      <c r="C2" s="559" t="s">
        <v>2785</v>
      </c>
      <c r="D2" s="1033" t="s">
        <v>2560</v>
      </c>
      <c r="E2" s="934" t="s">
        <v>180</v>
      </c>
      <c r="F2" s="934" t="s">
        <v>575</v>
      </c>
      <c r="G2" s="1033" t="s">
        <v>576</v>
      </c>
      <c r="H2" s="1033" t="s">
        <v>577</v>
      </c>
      <c r="I2" s="934" t="s">
        <v>579</v>
      </c>
      <c r="J2" s="934" t="s">
        <v>578</v>
      </c>
      <c r="K2" s="934" t="s">
        <v>580</v>
      </c>
      <c r="L2" s="937" t="s">
        <v>2579</v>
      </c>
      <c r="M2" s="937" t="s">
        <v>2783</v>
      </c>
      <c r="N2" s="934" t="s">
        <v>1889</v>
      </c>
    </row>
    <row r="3" spans="1:14" s="753" customFormat="1" ht="20.100000000000001" customHeight="1">
      <c r="A3" s="949">
        <v>1</v>
      </c>
      <c r="B3" s="949" t="s">
        <v>2763</v>
      </c>
      <c r="C3" s="949" t="s">
        <v>1737</v>
      </c>
      <c r="D3" s="938" t="s">
        <v>1655</v>
      </c>
      <c r="E3" s="938" t="s">
        <v>2536</v>
      </c>
      <c r="F3" s="939" t="s">
        <v>2555</v>
      </c>
      <c r="G3" s="939" t="s">
        <v>2556</v>
      </c>
      <c r="H3" s="938"/>
      <c r="I3" s="940">
        <v>7600</v>
      </c>
      <c r="J3" s="949">
        <v>48</v>
      </c>
      <c r="K3" s="940">
        <f>J3*I3</f>
        <v>364800</v>
      </c>
      <c r="L3" s="759">
        <f>K3</f>
        <v>364800</v>
      </c>
      <c r="M3" s="759"/>
      <c r="N3" s="939"/>
    </row>
    <row r="4" spans="1:14" s="753" customFormat="1" ht="20.100000000000001" customHeight="1">
      <c r="A4" s="949"/>
      <c r="B4" s="933"/>
      <c r="C4" s="949"/>
      <c r="D4" s="958" t="s">
        <v>130</v>
      </c>
      <c r="E4" s="949"/>
      <c r="F4" s="938"/>
      <c r="G4" s="938"/>
      <c r="H4" s="938"/>
      <c r="I4" s="940"/>
      <c r="J4" s="949"/>
      <c r="K4" s="946">
        <f>SUM(K3:K3)</f>
        <v>364800</v>
      </c>
      <c r="L4" s="946">
        <f t="shared" ref="L4:M4" si="0">SUM(L3:L3)</f>
        <v>364800</v>
      </c>
      <c r="M4" s="946">
        <f t="shared" si="0"/>
        <v>0</v>
      </c>
      <c r="N4" s="989"/>
    </row>
    <row r="5" spans="1:14" s="753" customFormat="1" ht="20.100000000000001" customHeight="1">
      <c r="A5" s="949">
        <v>2</v>
      </c>
      <c r="B5" s="949" t="s">
        <v>2763</v>
      </c>
      <c r="C5" s="949" t="s">
        <v>1737</v>
      </c>
      <c r="D5" s="938" t="s">
        <v>1653</v>
      </c>
      <c r="E5" s="938" t="s">
        <v>2536</v>
      </c>
      <c r="F5" s="948" t="s">
        <v>2563</v>
      </c>
      <c r="G5" s="948" t="s">
        <v>2563</v>
      </c>
      <c r="H5" s="938"/>
      <c r="I5" s="940">
        <v>140000</v>
      </c>
      <c r="J5" s="949">
        <v>1</v>
      </c>
      <c r="K5" s="950">
        <f>I5*J5</f>
        <v>140000</v>
      </c>
      <c r="L5" s="759">
        <f>K5</f>
        <v>140000</v>
      </c>
      <c r="M5" s="759"/>
      <c r="N5" s="939"/>
    </row>
    <row r="6" spans="1:14" s="753" customFormat="1" ht="20.100000000000001" customHeight="1">
      <c r="A6" s="949">
        <v>2</v>
      </c>
      <c r="B6" s="949" t="s">
        <v>2763</v>
      </c>
      <c r="C6" s="949" t="s">
        <v>1737</v>
      </c>
      <c r="D6" s="938" t="s">
        <v>1653</v>
      </c>
      <c r="E6" s="938" t="s">
        <v>2536</v>
      </c>
      <c r="F6" s="939" t="s">
        <v>2555</v>
      </c>
      <c r="G6" s="939" t="s">
        <v>2556</v>
      </c>
      <c r="H6" s="938"/>
      <c r="I6" s="940">
        <v>7600</v>
      </c>
      <c r="J6" s="949">
        <v>43</v>
      </c>
      <c r="K6" s="940">
        <f>J6*I6</f>
        <v>326800</v>
      </c>
      <c r="L6" s="759">
        <f>K6</f>
        <v>326800</v>
      </c>
      <c r="M6" s="759"/>
      <c r="N6" s="939"/>
    </row>
    <row r="7" spans="1:14" s="753" customFormat="1" ht="20.100000000000001" customHeight="1">
      <c r="A7" s="949"/>
      <c r="B7" s="1094"/>
      <c r="C7" s="949"/>
      <c r="D7" s="958" t="s">
        <v>130</v>
      </c>
      <c r="E7" s="949"/>
      <c r="F7" s="938"/>
      <c r="G7" s="938"/>
      <c r="H7" s="938"/>
      <c r="I7" s="940"/>
      <c r="J7" s="949"/>
      <c r="K7" s="946">
        <f>SUM(K5:K6)</f>
        <v>466800</v>
      </c>
      <c r="L7" s="946">
        <f t="shared" ref="L7:M7" si="1">SUM(L5:L6)</f>
        <v>466800</v>
      </c>
      <c r="M7" s="946">
        <f t="shared" si="1"/>
        <v>0</v>
      </c>
      <c r="N7" s="989"/>
    </row>
    <row r="8" spans="1:14" s="753" customFormat="1" ht="20.100000000000001" customHeight="1">
      <c r="A8" s="949">
        <v>3</v>
      </c>
      <c r="B8" s="949" t="s">
        <v>2763</v>
      </c>
      <c r="C8" s="949" t="s">
        <v>1737</v>
      </c>
      <c r="D8" s="938" t="s">
        <v>2764</v>
      </c>
      <c r="E8" s="938" t="s">
        <v>2536</v>
      </c>
      <c r="F8" s="939" t="s">
        <v>2555</v>
      </c>
      <c r="G8" s="939" t="s">
        <v>2556</v>
      </c>
      <c r="H8" s="938"/>
      <c r="I8" s="940">
        <v>7600</v>
      </c>
      <c r="J8" s="949">
        <v>96</v>
      </c>
      <c r="K8" s="940">
        <f>J8*I8</f>
        <v>729600</v>
      </c>
      <c r="L8" s="759">
        <f>K8</f>
        <v>729600</v>
      </c>
      <c r="M8" s="759"/>
      <c r="N8" s="939"/>
    </row>
    <row r="9" spans="1:14" s="753" customFormat="1" ht="20.100000000000001" customHeight="1">
      <c r="A9" s="949">
        <v>3</v>
      </c>
      <c r="B9" s="949" t="s">
        <v>2763</v>
      </c>
      <c r="C9" s="949" t="s">
        <v>1737</v>
      </c>
      <c r="D9" s="938" t="s">
        <v>2764</v>
      </c>
      <c r="E9" s="938" t="s">
        <v>2536</v>
      </c>
      <c r="F9" s="938" t="s">
        <v>2723</v>
      </c>
      <c r="G9" s="938" t="s">
        <v>2286</v>
      </c>
      <c r="H9" s="938" t="s">
        <v>2038</v>
      </c>
      <c r="I9" s="940">
        <v>281000</v>
      </c>
      <c r="J9" s="949">
        <v>1</v>
      </c>
      <c r="K9" s="940">
        <f>J9*I9</f>
        <v>281000</v>
      </c>
      <c r="L9" s="759">
        <f>K9</f>
        <v>281000</v>
      </c>
      <c r="M9" s="759"/>
      <c r="N9" s="993" t="s">
        <v>2287</v>
      </c>
    </row>
    <row r="10" spans="1:14" s="753" customFormat="1" ht="20.100000000000001" customHeight="1">
      <c r="A10" s="949"/>
      <c r="B10" s="933"/>
      <c r="C10" s="949"/>
      <c r="D10" s="958" t="s">
        <v>130</v>
      </c>
      <c r="E10" s="949"/>
      <c r="F10" s="938"/>
      <c r="G10" s="938"/>
      <c r="H10" s="938"/>
      <c r="I10" s="940"/>
      <c r="J10" s="949"/>
      <c r="K10" s="946">
        <f>SUM(K8:K9)</f>
        <v>1010600</v>
      </c>
      <c r="L10" s="946">
        <f t="shared" ref="L10:M10" si="2">SUM(L8:L9)</f>
        <v>1010600</v>
      </c>
      <c r="M10" s="946">
        <f t="shared" si="2"/>
        <v>0</v>
      </c>
      <c r="N10" s="989"/>
    </row>
    <row r="11" spans="1:14" s="753" customFormat="1" ht="20.100000000000001" customHeight="1">
      <c r="A11" s="949">
        <v>4</v>
      </c>
      <c r="B11" s="949" t="s">
        <v>2763</v>
      </c>
      <c r="C11" s="949" t="s">
        <v>1708</v>
      </c>
      <c r="D11" s="938" t="s">
        <v>2498</v>
      </c>
      <c r="E11" s="938" t="s">
        <v>2536</v>
      </c>
      <c r="F11" s="938" t="s">
        <v>1879</v>
      </c>
      <c r="G11" s="938" t="s">
        <v>1879</v>
      </c>
      <c r="H11" s="938"/>
      <c r="I11" s="940">
        <v>757598</v>
      </c>
      <c r="J11" s="949">
        <v>1</v>
      </c>
      <c r="K11" s="940">
        <f>I11*J11</f>
        <v>757598</v>
      </c>
      <c r="L11" s="759">
        <f>K11</f>
        <v>757598</v>
      </c>
      <c r="M11" s="759"/>
      <c r="N11" s="993" t="s">
        <v>2780</v>
      </c>
    </row>
    <row r="12" spans="1:14" s="753" customFormat="1" ht="20.100000000000001" customHeight="1">
      <c r="A12" s="949">
        <v>4</v>
      </c>
      <c r="B12" s="949" t="s">
        <v>2763</v>
      </c>
      <c r="C12" s="949" t="s">
        <v>1708</v>
      </c>
      <c r="D12" s="938" t="s">
        <v>2498</v>
      </c>
      <c r="E12" s="938" t="s">
        <v>2536</v>
      </c>
      <c r="F12" s="948" t="s">
        <v>2563</v>
      </c>
      <c r="G12" s="948" t="s">
        <v>2563</v>
      </c>
      <c r="H12" s="938"/>
      <c r="I12" s="940">
        <v>140000</v>
      </c>
      <c r="J12" s="949">
        <v>1</v>
      </c>
      <c r="K12" s="950">
        <f>I12*J12</f>
        <v>140000</v>
      </c>
      <c r="L12" s="759">
        <f t="shared" ref="L12:L14" si="3">K12</f>
        <v>140000</v>
      </c>
      <c r="M12" s="759"/>
      <c r="N12" s="939"/>
    </row>
    <row r="13" spans="1:14" s="753" customFormat="1" ht="20.100000000000001" customHeight="1">
      <c r="A13" s="949">
        <v>4</v>
      </c>
      <c r="B13" s="949" t="s">
        <v>2763</v>
      </c>
      <c r="C13" s="949" t="s">
        <v>1708</v>
      </c>
      <c r="D13" s="938" t="s">
        <v>2498</v>
      </c>
      <c r="E13" s="699" t="s">
        <v>2536</v>
      </c>
      <c r="F13" s="704" t="s">
        <v>2258</v>
      </c>
      <c r="G13" s="705" t="s">
        <v>2258</v>
      </c>
      <c r="H13" s="706" t="s">
        <v>2155</v>
      </c>
      <c r="I13" s="700">
        <v>341015.5</v>
      </c>
      <c r="J13" s="697">
        <v>1</v>
      </c>
      <c r="K13" s="1095">
        <f>I13*J13</f>
        <v>341015.5</v>
      </c>
      <c r="L13" s="759">
        <f t="shared" si="3"/>
        <v>341015.5</v>
      </c>
      <c r="M13" s="759"/>
      <c r="N13" s="993" t="s">
        <v>2780</v>
      </c>
    </row>
    <row r="14" spans="1:14" s="753" customFormat="1" ht="20.100000000000001" customHeight="1">
      <c r="A14" s="949">
        <v>4</v>
      </c>
      <c r="B14" s="949" t="s">
        <v>2763</v>
      </c>
      <c r="C14" s="949" t="s">
        <v>1708</v>
      </c>
      <c r="D14" s="938" t="s">
        <v>2765</v>
      </c>
      <c r="E14" s="938" t="s">
        <v>2536</v>
      </c>
      <c r="F14" s="938" t="s">
        <v>2499</v>
      </c>
      <c r="G14" s="938"/>
      <c r="H14" s="938"/>
      <c r="I14" s="940">
        <v>50000</v>
      </c>
      <c r="J14" s="949">
        <v>2</v>
      </c>
      <c r="K14" s="940">
        <f>I14*J14</f>
        <v>100000</v>
      </c>
      <c r="L14" s="759">
        <f t="shared" si="3"/>
        <v>100000</v>
      </c>
      <c r="M14" s="759"/>
      <c r="N14" s="993"/>
    </row>
    <row r="15" spans="1:14" s="753" customFormat="1" ht="20.100000000000001" customHeight="1">
      <c r="A15" s="949"/>
      <c r="B15" s="1094"/>
      <c r="C15" s="949"/>
      <c r="D15" s="958" t="s">
        <v>130</v>
      </c>
      <c r="E15" s="949"/>
      <c r="F15" s="938"/>
      <c r="G15" s="938"/>
      <c r="H15" s="938"/>
      <c r="I15" s="940"/>
      <c r="J15" s="949"/>
      <c r="K15" s="946">
        <f>SUM(K11:K14)</f>
        <v>1338613.5</v>
      </c>
      <c r="L15" s="946">
        <f t="shared" ref="L15:M15" si="4">SUM(L11:L14)</f>
        <v>1338613.5</v>
      </c>
      <c r="M15" s="946">
        <f t="shared" si="4"/>
        <v>0</v>
      </c>
      <c r="N15" s="989"/>
    </row>
    <row r="16" spans="1:14" s="753" customFormat="1" ht="20.100000000000001" customHeight="1">
      <c r="A16" s="949">
        <v>5</v>
      </c>
      <c r="B16" s="949" t="s">
        <v>2500</v>
      </c>
      <c r="C16" s="949" t="s">
        <v>2260</v>
      </c>
      <c r="D16" s="938" t="s">
        <v>2766</v>
      </c>
      <c r="E16" s="938" t="s">
        <v>2536</v>
      </c>
      <c r="F16" s="938" t="s">
        <v>2663</v>
      </c>
      <c r="G16" s="938" t="s">
        <v>2663</v>
      </c>
      <c r="H16" s="938"/>
      <c r="I16" s="940">
        <v>757598</v>
      </c>
      <c r="J16" s="949">
        <v>1</v>
      </c>
      <c r="K16" s="940">
        <f>I16*J16</f>
        <v>757598</v>
      </c>
      <c r="L16" s="759">
        <f>K16</f>
        <v>757598</v>
      </c>
      <c r="M16" s="759"/>
      <c r="N16" s="993" t="s">
        <v>2780</v>
      </c>
    </row>
    <row r="17" spans="1:14" s="753" customFormat="1" ht="20.100000000000001" customHeight="1">
      <c r="A17" s="949">
        <v>5</v>
      </c>
      <c r="B17" s="949" t="s">
        <v>2767</v>
      </c>
      <c r="C17" s="949" t="s">
        <v>2661</v>
      </c>
      <c r="D17" s="938" t="s">
        <v>2768</v>
      </c>
      <c r="E17" s="938" t="s">
        <v>2536</v>
      </c>
      <c r="F17" s="938" t="s">
        <v>2723</v>
      </c>
      <c r="G17" s="938" t="s">
        <v>2724</v>
      </c>
      <c r="H17" s="938"/>
      <c r="I17" s="940">
        <v>181000</v>
      </c>
      <c r="J17" s="949">
        <v>1</v>
      </c>
      <c r="K17" s="940">
        <f>I17*J17</f>
        <v>181000</v>
      </c>
      <c r="L17" s="759">
        <f>K17</f>
        <v>181000</v>
      </c>
      <c r="M17" s="759"/>
      <c r="N17" s="993" t="s">
        <v>2725</v>
      </c>
    </row>
    <row r="18" spans="1:14" s="753" customFormat="1" ht="20.100000000000001" customHeight="1">
      <c r="A18" s="949"/>
      <c r="B18" s="933"/>
      <c r="C18" s="949"/>
      <c r="D18" s="958" t="s">
        <v>130</v>
      </c>
      <c r="E18" s="949"/>
      <c r="F18" s="938"/>
      <c r="G18" s="938"/>
      <c r="H18" s="938"/>
      <c r="I18" s="940"/>
      <c r="J18" s="949"/>
      <c r="K18" s="946">
        <f>SUM(K16:K17)</f>
        <v>938598</v>
      </c>
      <c r="L18" s="946">
        <f t="shared" ref="L18:M18" si="5">SUM(L16:L17)</f>
        <v>938598</v>
      </c>
      <c r="M18" s="946">
        <f t="shared" si="5"/>
        <v>0</v>
      </c>
      <c r="N18" s="989"/>
    </row>
    <row r="19" spans="1:14" s="753" customFormat="1" ht="20.100000000000001" customHeight="1">
      <c r="A19" s="949">
        <v>6</v>
      </c>
      <c r="B19" s="949" t="s">
        <v>2767</v>
      </c>
      <c r="C19" s="949" t="s">
        <v>2769</v>
      </c>
      <c r="D19" s="1096" t="s">
        <v>1846</v>
      </c>
      <c r="E19" s="938" t="s">
        <v>2536</v>
      </c>
      <c r="F19" s="939" t="s">
        <v>2028</v>
      </c>
      <c r="G19" s="939" t="s">
        <v>2028</v>
      </c>
      <c r="H19" s="1005"/>
      <c r="I19" s="940">
        <v>102550</v>
      </c>
      <c r="J19" s="949">
        <v>1</v>
      </c>
      <c r="K19" s="940">
        <f t="shared" ref="K19:K21" si="6">I19*J19</f>
        <v>102550</v>
      </c>
      <c r="L19" s="759">
        <f>K19</f>
        <v>102550</v>
      </c>
      <c r="M19" s="759"/>
      <c r="N19" s="939"/>
    </row>
    <row r="20" spans="1:14" s="753" customFormat="1" ht="20.100000000000001" customHeight="1">
      <c r="A20" s="949">
        <v>6</v>
      </c>
      <c r="B20" s="949" t="s">
        <v>2767</v>
      </c>
      <c r="C20" s="949" t="s">
        <v>2769</v>
      </c>
      <c r="D20" s="1096" t="s">
        <v>1846</v>
      </c>
      <c r="E20" s="938" t="s">
        <v>2536</v>
      </c>
      <c r="F20" s="939" t="s">
        <v>2029</v>
      </c>
      <c r="G20" s="939" t="s">
        <v>2029</v>
      </c>
      <c r="H20" s="1005"/>
      <c r="I20" s="940">
        <v>135050</v>
      </c>
      <c r="J20" s="949">
        <v>1</v>
      </c>
      <c r="K20" s="940">
        <f t="shared" si="6"/>
        <v>135050</v>
      </c>
      <c r="L20" s="759">
        <f t="shared" ref="L20:L21" si="7">K20</f>
        <v>135050</v>
      </c>
      <c r="M20" s="759"/>
      <c r="N20" s="939"/>
    </row>
    <row r="21" spans="1:14" s="753" customFormat="1" ht="20.100000000000001" customHeight="1">
      <c r="A21" s="949">
        <v>6</v>
      </c>
      <c r="B21" s="949" t="s">
        <v>2767</v>
      </c>
      <c r="C21" s="949" t="s">
        <v>2769</v>
      </c>
      <c r="D21" s="1096" t="s">
        <v>1846</v>
      </c>
      <c r="E21" s="938" t="s">
        <v>2536</v>
      </c>
      <c r="F21" s="938" t="s">
        <v>2663</v>
      </c>
      <c r="G21" s="938" t="s">
        <v>2663</v>
      </c>
      <c r="H21" s="938"/>
      <c r="I21" s="940">
        <v>757598</v>
      </c>
      <c r="J21" s="949">
        <v>1</v>
      </c>
      <c r="K21" s="940">
        <f t="shared" si="6"/>
        <v>757598</v>
      </c>
      <c r="L21" s="759">
        <f t="shared" si="7"/>
        <v>757598</v>
      </c>
      <c r="M21" s="759"/>
      <c r="N21" s="993" t="s">
        <v>2780</v>
      </c>
    </row>
    <row r="22" spans="1:14" s="753" customFormat="1" ht="20.100000000000001" customHeight="1">
      <c r="A22" s="949">
        <v>6</v>
      </c>
      <c r="B22" s="949" t="s">
        <v>2767</v>
      </c>
      <c r="C22" s="949" t="s">
        <v>2769</v>
      </c>
      <c r="D22" s="939" t="s">
        <v>2501</v>
      </c>
      <c r="E22" s="938" t="s">
        <v>2536</v>
      </c>
      <c r="F22" s="939" t="s">
        <v>2656</v>
      </c>
      <c r="G22" s="939" t="s">
        <v>2657</v>
      </c>
      <c r="H22" s="1005"/>
      <c r="I22" s="940">
        <v>7600</v>
      </c>
      <c r="J22" s="949">
        <v>40</v>
      </c>
      <c r="K22" s="940">
        <f t="shared" ref="K22:K23" si="8">J22*I22</f>
        <v>304000</v>
      </c>
      <c r="L22" s="759">
        <f>K22</f>
        <v>304000</v>
      </c>
      <c r="M22" s="759"/>
      <c r="N22" s="939"/>
    </row>
    <row r="23" spans="1:14" s="753" customFormat="1" ht="20.100000000000001" customHeight="1">
      <c r="A23" s="949">
        <v>6</v>
      </c>
      <c r="B23" s="949" t="s">
        <v>2767</v>
      </c>
      <c r="C23" s="949" t="s">
        <v>2769</v>
      </c>
      <c r="D23" s="939" t="s">
        <v>2502</v>
      </c>
      <c r="E23" s="938" t="s">
        <v>2536</v>
      </c>
      <c r="F23" s="939" t="s">
        <v>2656</v>
      </c>
      <c r="G23" s="939" t="s">
        <v>2657</v>
      </c>
      <c r="H23" s="1005"/>
      <c r="I23" s="940">
        <v>7600</v>
      </c>
      <c r="J23" s="949">
        <v>41</v>
      </c>
      <c r="K23" s="940">
        <f t="shared" si="8"/>
        <v>311600</v>
      </c>
      <c r="L23" s="759">
        <f>K23</f>
        <v>311600</v>
      </c>
      <c r="M23" s="759"/>
      <c r="N23" s="939"/>
    </row>
    <row r="24" spans="1:14" s="753" customFormat="1" ht="20.100000000000001" customHeight="1">
      <c r="A24" s="949"/>
      <c r="B24" s="933"/>
      <c r="C24" s="949"/>
      <c r="D24" s="958" t="s">
        <v>130</v>
      </c>
      <c r="E24" s="949"/>
      <c r="F24" s="938"/>
      <c r="G24" s="938"/>
      <c r="H24" s="938"/>
      <c r="I24" s="940"/>
      <c r="J24" s="949"/>
      <c r="K24" s="946">
        <f>SUM(K19:K23)</f>
        <v>1610798</v>
      </c>
      <c r="L24" s="946">
        <f t="shared" ref="L24:M24" si="9">SUM(L19:L23)</f>
        <v>1610798</v>
      </c>
      <c r="M24" s="946">
        <f t="shared" si="9"/>
        <v>0</v>
      </c>
      <c r="N24" s="989"/>
    </row>
    <row r="25" spans="1:14" s="753" customFormat="1" ht="20.100000000000001" customHeight="1">
      <c r="A25" s="968">
        <v>7</v>
      </c>
      <c r="B25" s="968" t="s">
        <v>2767</v>
      </c>
      <c r="C25" s="968" t="s">
        <v>2667</v>
      </c>
      <c r="D25" s="1013" t="s">
        <v>2770</v>
      </c>
      <c r="E25" s="938" t="s">
        <v>2536</v>
      </c>
      <c r="F25" s="938" t="s">
        <v>2726</v>
      </c>
      <c r="G25" s="938" t="s">
        <v>2726</v>
      </c>
      <c r="H25" s="938"/>
      <c r="I25" s="991">
        <v>15000</v>
      </c>
      <c r="J25" s="968">
        <v>10</v>
      </c>
      <c r="K25" s="991">
        <f>J25*I25</f>
        <v>150000</v>
      </c>
      <c r="L25" s="759">
        <f>K25</f>
        <v>150000</v>
      </c>
      <c r="M25" s="759"/>
      <c r="N25" s="1013"/>
    </row>
    <row r="26" spans="1:14" s="753" customFormat="1" ht="20.100000000000001" customHeight="1">
      <c r="A26" s="974"/>
      <c r="B26" s="974"/>
      <c r="C26" s="968"/>
      <c r="D26" s="958" t="s">
        <v>130</v>
      </c>
      <c r="E26" s="988"/>
      <c r="F26" s="988"/>
      <c r="G26" s="989"/>
      <c r="H26" s="989"/>
      <c r="I26" s="980"/>
      <c r="J26" s="974"/>
      <c r="K26" s="946">
        <f>SUM(K25:K25)</f>
        <v>150000</v>
      </c>
      <c r="L26" s="946">
        <f t="shared" ref="L26:M26" si="10">SUM(L25:L25)</f>
        <v>150000</v>
      </c>
      <c r="M26" s="946">
        <f t="shared" si="10"/>
        <v>0</v>
      </c>
      <c r="N26" s="989"/>
    </row>
    <row r="27" spans="1:14" s="753" customFormat="1" ht="20.100000000000001" customHeight="1">
      <c r="A27" s="968">
        <v>8</v>
      </c>
      <c r="B27" s="968" t="s">
        <v>2767</v>
      </c>
      <c r="C27" s="968" t="s">
        <v>2667</v>
      </c>
      <c r="D27" s="1013" t="s">
        <v>2771</v>
      </c>
      <c r="E27" s="938" t="s">
        <v>2536</v>
      </c>
      <c r="F27" s="938" t="s">
        <v>2726</v>
      </c>
      <c r="G27" s="938" t="s">
        <v>2726</v>
      </c>
      <c r="H27" s="938"/>
      <c r="I27" s="991">
        <v>15000</v>
      </c>
      <c r="J27" s="968">
        <v>17</v>
      </c>
      <c r="K27" s="991">
        <f>J27*I27</f>
        <v>255000</v>
      </c>
      <c r="L27" s="759">
        <f>K27</f>
        <v>255000</v>
      </c>
      <c r="M27" s="759"/>
      <c r="N27" s="1013"/>
    </row>
    <row r="28" spans="1:14" s="753" customFormat="1" ht="20.100000000000001" customHeight="1">
      <c r="A28" s="974"/>
      <c r="B28" s="974"/>
      <c r="C28" s="968"/>
      <c r="D28" s="958" t="s">
        <v>130</v>
      </c>
      <c r="E28" s="988"/>
      <c r="F28" s="988"/>
      <c r="G28" s="989"/>
      <c r="H28" s="989"/>
      <c r="I28" s="980"/>
      <c r="J28" s="974"/>
      <c r="K28" s="980">
        <f>SUM(K27:K27)</f>
        <v>255000</v>
      </c>
      <c r="L28" s="980">
        <f t="shared" ref="L28:M28" si="11">SUM(L27:L27)</f>
        <v>255000</v>
      </c>
      <c r="M28" s="980">
        <f t="shared" si="11"/>
        <v>0</v>
      </c>
      <c r="N28" s="988"/>
    </row>
    <row r="29" spans="1:14" s="753" customFormat="1" ht="20.100000000000001" customHeight="1">
      <c r="A29" s="968">
        <v>9</v>
      </c>
      <c r="B29" s="968" t="s">
        <v>2767</v>
      </c>
      <c r="C29" s="968" t="s">
        <v>2667</v>
      </c>
      <c r="D29" s="1013" t="s">
        <v>2772</v>
      </c>
      <c r="E29" s="938" t="s">
        <v>2536</v>
      </c>
      <c r="F29" s="1013" t="s">
        <v>2244</v>
      </c>
      <c r="G29" s="1013" t="s">
        <v>2244</v>
      </c>
      <c r="H29" s="938" t="s">
        <v>2773</v>
      </c>
      <c r="I29" s="991">
        <v>150000</v>
      </c>
      <c r="J29" s="968">
        <v>1</v>
      </c>
      <c r="K29" s="991">
        <f>I29*J29</f>
        <v>150000</v>
      </c>
      <c r="L29" s="759">
        <f>K29</f>
        <v>150000</v>
      </c>
      <c r="M29" s="759"/>
      <c r="N29" s="1013"/>
    </row>
    <row r="30" spans="1:14" s="753" customFormat="1" ht="20.100000000000001" customHeight="1">
      <c r="A30" s="968">
        <v>9</v>
      </c>
      <c r="B30" s="968" t="s">
        <v>2767</v>
      </c>
      <c r="C30" s="968" t="s">
        <v>2667</v>
      </c>
      <c r="D30" s="1013" t="s">
        <v>2772</v>
      </c>
      <c r="E30" s="938" t="s">
        <v>2536</v>
      </c>
      <c r="F30" s="938" t="s">
        <v>2726</v>
      </c>
      <c r="G30" s="938" t="s">
        <v>2726</v>
      </c>
      <c r="H30" s="938"/>
      <c r="I30" s="991">
        <v>15000</v>
      </c>
      <c r="J30" s="968">
        <v>12</v>
      </c>
      <c r="K30" s="991">
        <f>I30*J30</f>
        <v>180000</v>
      </c>
      <c r="L30" s="759">
        <f>K30</f>
        <v>180000</v>
      </c>
      <c r="M30" s="759"/>
      <c r="N30" s="1013"/>
    </row>
    <row r="31" spans="1:14" s="753" customFormat="1" ht="20.100000000000001" customHeight="1">
      <c r="A31" s="974"/>
      <c r="B31" s="974"/>
      <c r="C31" s="968"/>
      <c r="D31" s="958" t="s">
        <v>130</v>
      </c>
      <c r="E31" s="988"/>
      <c r="F31" s="988"/>
      <c r="G31" s="989"/>
      <c r="H31" s="989"/>
      <c r="I31" s="980"/>
      <c r="J31" s="974"/>
      <c r="K31" s="980">
        <f>SUM(K29:K30)</f>
        <v>330000</v>
      </c>
      <c r="L31" s="980">
        <f t="shared" ref="L31:M31" si="12">SUM(L29:L30)</f>
        <v>330000</v>
      </c>
      <c r="M31" s="980">
        <f t="shared" si="12"/>
        <v>0</v>
      </c>
      <c r="N31" s="988"/>
    </row>
    <row r="32" spans="1:14" s="753" customFormat="1" ht="20.100000000000001" customHeight="1">
      <c r="A32" s="968">
        <v>10</v>
      </c>
      <c r="B32" s="968" t="s">
        <v>2767</v>
      </c>
      <c r="C32" s="968" t="s">
        <v>2667</v>
      </c>
      <c r="D32" s="1013" t="s">
        <v>2774</v>
      </c>
      <c r="E32" s="938" t="s">
        <v>2536</v>
      </c>
      <c r="F32" s="1013" t="s">
        <v>2775</v>
      </c>
      <c r="G32" s="1013" t="s">
        <v>2775</v>
      </c>
      <c r="H32" s="938"/>
      <c r="I32" s="991">
        <v>50000</v>
      </c>
      <c r="J32" s="968">
        <v>1</v>
      </c>
      <c r="K32" s="991">
        <f>I32*J32</f>
        <v>50000</v>
      </c>
      <c r="L32" s="759">
        <f>K32</f>
        <v>50000</v>
      </c>
      <c r="M32" s="759"/>
      <c r="N32" s="1013"/>
    </row>
    <row r="33" spans="1:14" s="753" customFormat="1" ht="20.100000000000001" customHeight="1">
      <c r="A33" s="974"/>
      <c r="B33" s="974"/>
      <c r="C33" s="968"/>
      <c r="D33" s="958" t="s">
        <v>130</v>
      </c>
      <c r="E33" s="988"/>
      <c r="F33" s="988"/>
      <c r="G33" s="989"/>
      <c r="H33" s="989"/>
      <c r="I33" s="980"/>
      <c r="J33" s="974"/>
      <c r="K33" s="980">
        <f>SUM(K32:K32)</f>
        <v>50000</v>
      </c>
      <c r="L33" s="980">
        <f t="shared" ref="L33:M33" si="13">SUM(L32:L32)</f>
        <v>50000</v>
      </c>
      <c r="M33" s="980">
        <f t="shared" si="13"/>
        <v>0</v>
      </c>
      <c r="N33" s="988"/>
    </row>
    <row r="34" spans="1:14" s="753" customFormat="1" ht="20.100000000000001" customHeight="1">
      <c r="A34" s="968">
        <v>11</v>
      </c>
      <c r="B34" s="968" t="s">
        <v>2767</v>
      </c>
      <c r="C34" s="968" t="s">
        <v>2667</v>
      </c>
      <c r="D34" s="1013" t="s">
        <v>2776</v>
      </c>
      <c r="E34" s="938" t="s">
        <v>2536</v>
      </c>
      <c r="F34" s="938" t="s">
        <v>2727</v>
      </c>
      <c r="G34" s="938" t="s">
        <v>2727</v>
      </c>
      <c r="H34" s="938" t="s">
        <v>2773</v>
      </c>
      <c r="I34" s="1097">
        <v>100000</v>
      </c>
      <c r="J34" s="968">
        <v>1</v>
      </c>
      <c r="K34" s="991">
        <f>I34*J34</f>
        <v>100000</v>
      </c>
      <c r="L34" s="759">
        <f>K34</f>
        <v>100000</v>
      </c>
      <c r="M34" s="759"/>
      <c r="N34" s="1013"/>
    </row>
    <row r="35" spans="1:14" s="753" customFormat="1" ht="20.100000000000001" customHeight="1">
      <c r="A35" s="974"/>
      <c r="B35" s="974"/>
      <c r="C35" s="968"/>
      <c r="D35" s="958" t="s">
        <v>130</v>
      </c>
      <c r="E35" s="988"/>
      <c r="F35" s="988"/>
      <c r="G35" s="989"/>
      <c r="H35" s="989"/>
      <c r="I35" s="980"/>
      <c r="J35" s="974"/>
      <c r="K35" s="980">
        <f>SUM(K34:K34)</f>
        <v>100000</v>
      </c>
      <c r="L35" s="980">
        <f t="shared" ref="L35:M35" si="14">SUM(L34:L34)</f>
        <v>100000</v>
      </c>
      <c r="M35" s="980">
        <f t="shared" si="14"/>
        <v>0</v>
      </c>
      <c r="N35" s="988"/>
    </row>
    <row r="36" spans="1:14" s="753" customFormat="1" ht="20.100000000000001" customHeight="1">
      <c r="A36" s="949">
        <v>12</v>
      </c>
      <c r="B36" s="949" t="s">
        <v>2500</v>
      </c>
      <c r="C36" s="949" t="s">
        <v>2728</v>
      </c>
      <c r="D36" s="938" t="s">
        <v>2777</v>
      </c>
      <c r="E36" s="938" t="s">
        <v>2536</v>
      </c>
      <c r="F36" s="939" t="s">
        <v>2656</v>
      </c>
      <c r="G36" s="939" t="s">
        <v>2657</v>
      </c>
      <c r="H36" s="1098"/>
      <c r="I36" s="991">
        <v>7600</v>
      </c>
      <c r="J36" s="968">
        <v>24</v>
      </c>
      <c r="K36" s="940">
        <f>J36*I36</f>
        <v>182400</v>
      </c>
      <c r="L36" s="759">
        <f>K36</f>
        <v>182400</v>
      </c>
      <c r="M36" s="759"/>
      <c r="N36" s="939"/>
    </row>
    <row r="37" spans="1:14" s="753" customFormat="1" ht="20.100000000000001" customHeight="1">
      <c r="A37" s="958"/>
      <c r="B37" s="958"/>
      <c r="C37" s="958"/>
      <c r="D37" s="958" t="s">
        <v>130</v>
      </c>
      <c r="E37" s="1099"/>
      <c r="F37" s="1099"/>
      <c r="G37" s="989"/>
      <c r="H37" s="989"/>
      <c r="I37" s="980"/>
      <c r="J37" s="974"/>
      <c r="K37" s="946">
        <f>SUM(K36:K36)</f>
        <v>182400</v>
      </c>
      <c r="L37" s="946">
        <f t="shared" ref="L37:M37" si="15">SUM(L36:L36)</f>
        <v>182400</v>
      </c>
      <c r="M37" s="946">
        <f t="shared" si="15"/>
        <v>0</v>
      </c>
      <c r="N37" s="989"/>
    </row>
    <row r="38" spans="1:14" s="753" customFormat="1" ht="20.100000000000001" customHeight="1">
      <c r="A38" s="949">
        <v>13</v>
      </c>
      <c r="B38" s="949" t="s">
        <v>2500</v>
      </c>
      <c r="C38" s="949" t="s">
        <v>2728</v>
      </c>
      <c r="D38" s="938" t="s">
        <v>2778</v>
      </c>
      <c r="E38" s="938" t="s">
        <v>2536</v>
      </c>
      <c r="F38" s="939" t="s">
        <v>2656</v>
      </c>
      <c r="G38" s="939" t="s">
        <v>2657</v>
      </c>
      <c r="H38" s="1100"/>
      <c r="I38" s="991">
        <v>7600</v>
      </c>
      <c r="J38" s="968">
        <v>38</v>
      </c>
      <c r="K38" s="940">
        <f>J38*I38</f>
        <v>288800</v>
      </c>
      <c r="L38" s="759">
        <f>K38</f>
        <v>288800</v>
      </c>
      <c r="M38" s="759"/>
      <c r="N38" s="939"/>
    </row>
    <row r="39" spans="1:14" s="753" customFormat="1" ht="20.100000000000001" customHeight="1">
      <c r="A39" s="958"/>
      <c r="B39" s="958"/>
      <c r="C39" s="958"/>
      <c r="D39" s="958" t="s">
        <v>130</v>
      </c>
      <c r="E39" s="1101"/>
      <c r="F39" s="989"/>
      <c r="G39" s="989"/>
      <c r="H39" s="989"/>
      <c r="I39" s="946"/>
      <c r="J39" s="958"/>
      <c r="K39" s="946">
        <f>SUM(K38:K38)</f>
        <v>288800</v>
      </c>
      <c r="L39" s="946">
        <f t="shared" ref="L39:M39" si="16">SUM(L38:L38)</f>
        <v>288800</v>
      </c>
      <c r="M39" s="946">
        <f t="shared" si="16"/>
        <v>0</v>
      </c>
      <c r="N39" s="989"/>
    </row>
    <row r="40" spans="1:14" s="753" customFormat="1" ht="20.100000000000001" customHeight="1">
      <c r="A40" s="949">
        <v>14</v>
      </c>
      <c r="B40" s="949" t="s">
        <v>2500</v>
      </c>
      <c r="C40" s="949" t="s">
        <v>2667</v>
      </c>
      <c r="D40" s="993" t="s">
        <v>2503</v>
      </c>
      <c r="E40" s="993" t="s">
        <v>2730</v>
      </c>
      <c r="F40" s="993" t="s">
        <v>2730</v>
      </c>
      <c r="G40" s="993" t="s">
        <v>2730</v>
      </c>
      <c r="H40" s="948" t="s">
        <v>2779</v>
      </c>
      <c r="I40" s="994">
        <v>3983500</v>
      </c>
      <c r="J40" s="1084">
        <v>1</v>
      </c>
      <c r="K40" s="833">
        <v>2983500</v>
      </c>
      <c r="L40" s="759">
        <v>773590.5</v>
      </c>
      <c r="M40" s="759">
        <f>K40-L40</f>
        <v>2209909.5</v>
      </c>
      <c r="N40" s="939" t="s">
        <v>2658</v>
      </c>
    </row>
    <row r="41" spans="1:14" s="753" customFormat="1" ht="20.100000000000001" customHeight="1">
      <c r="A41" s="958"/>
      <c r="B41" s="958"/>
      <c r="C41" s="958"/>
      <c r="D41" s="958" t="s">
        <v>130</v>
      </c>
      <c r="E41" s="989"/>
      <c r="F41" s="989"/>
      <c r="G41" s="989"/>
      <c r="H41" s="989"/>
      <c r="I41" s="946"/>
      <c r="J41" s="958"/>
      <c r="K41" s="946">
        <f>SUM(K40)</f>
        <v>2983500</v>
      </c>
      <c r="L41" s="946">
        <f t="shared" ref="L41:M41" si="17">SUM(L40)</f>
        <v>773590.5</v>
      </c>
      <c r="M41" s="946">
        <f t="shared" si="17"/>
        <v>2209909.5</v>
      </c>
      <c r="N41" s="989"/>
    </row>
    <row r="42" spans="1:14" s="753" customFormat="1" ht="20.100000000000001" customHeight="1">
      <c r="A42" s="941"/>
      <c r="B42" s="941"/>
      <c r="C42" s="941"/>
      <c r="D42" s="958" t="s">
        <v>2731</v>
      </c>
      <c r="E42" s="941"/>
      <c r="F42" s="993"/>
      <c r="G42" s="993"/>
      <c r="H42" s="993"/>
      <c r="I42" s="994"/>
      <c r="J42" s="941"/>
      <c r="K42" s="946">
        <f>SUM(K41,K39,K37,K35,K33,K31,K28,K26,K24,K18,K15,K10,K7,K4)</f>
        <v>10069909.5</v>
      </c>
      <c r="L42" s="946">
        <f t="shared" ref="L42:M42" si="18">SUM(L41,L39,L37,L35,L33,L31,L28,L26,L24,L18,L15,L10,L7,L4)</f>
        <v>7860000</v>
      </c>
      <c r="M42" s="946">
        <f t="shared" si="18"/>
        <v>2209909.5</v>
      </c>
      <c r="N42" s="989"/>
    </row>
    <row r="44" spans="1:14" ht="18.75">
      <c r="A44" s="1536" t="s">
        <v>2504</v>
      </c>
      <c r="B44" s="1536"/>
      <c r="C44" s="1536"/>
      <c r="D44" s="1536"/>
      <c r="E44" s="1536"/>
      <c r="F44" s="1536"/>
      <c r="G44" s="1536"/>
      <c r="H44" s="1536"/>
    </row>
    <row r="45" spans="1:14">
      <c r="A45" s="1537" t="s">
        <v>1878</v>
      </c>
      <c r="B45" s="1537" t="s">
        <v>1885</v>
      </c>
      <c r="C45" s="1537" t="s">
        <v>1886</v>
      </c>
      <c r="D45" s="1537" t="s">
        <v>1887</v>
      </c>
      <c r="E45" s="1537" t="s">
        <v>1888</v>
      </c>
      <c r="F45" s="1538" t="s">
        <v>2505</v>
      </c>
      <c r="G45" s="1509"/>
      <c r="H45" s="1539" t="s">
        <v>1889</v>
      </c>
    </row>
    <row r="46" spans="1:14">
      <c r="A46" s="1511"/>
      <c r="B46" s="1511"/>
      <c r="C46" s="1511"/>
      <c r="D46" s="1505"/>
      <c r="E46" s="1505"/>
      <c r="F46" s="1102" t="s">
        <v>2292</v>
      </c>
      <c r="G46" s="1102" t="s">
        <v>2293</v>
      </c>
      <c r="H46" s="1515"/>
    </row>
    <row r="47" spans="1:14" ht="48">
      <c r="A47" s="853" t="s">
        <v>1890</v>
      </c>
      <c r="B47" s="872" t="s">
        <v>1891</v>
      </c>
      <c r="C47" s="855"/>
      <c r="D47" s="856"/>
      <c r="E47" s="914"/>
      <c r="F47" s="1102"/>
      <c r="G47" s="1103"/>
      <c r="H47" s="916"/>
    </row>
    <row r="48" spans="1:14" ht="60">
      <c r="A48" s="857">
        <v>1</v>
      </c>
      <c r="B48" s="860" t="s">
        <v>1892</v>
      </c>
      <c r="C48" s="857" t="s">
        <v>1893</v>
      </c>
      <c r="D48" s="854"/>
      <c r="E48" s="917">
        <v>200000</v>
      </c>
      <c r="F48" s="857">
        <v>1</v>
      </c>
      <c r="G48" s="917">
        <f>E48*F48</f>
        <v>200000</v>
      </c>
      <c r="H48" s="858" t="s">
        <v>1894</v>
      </c>
    </row>
    <row r="49" spans="1:8" ht="60">
      <c r="A49" s="857">
        <v>2</v>
      </c>
      <c r="B49" s="860" t="s">
        <v>1895</v>
      </c>
      <c r="C49" s="857" t="s">
        <v>1893</v>
      </c>
      <c r="D49" s="669"/>
      <c r="E49" s="917">
        <v>100000</v>
      </c>
      <c r="F49" s="857">
        <v>1</v>
      </c>
      <c r="G49" s="917">
        <f t="shared" ref="G49:G51" si="19">E49*F49</f>
        <v>100000</v>
      </c>
      <c r="H49" s="858" t="s">
        <v>1894</v>
      </c>
    </row>
    <row r="50" spans="1:8" ht="60">
      <c r="A50" s="859">
        <v>3</v>
      </c>
      <c r="B50" s="860" t="s">
        <v>1896</v>
      </c>
      <c r="C50" s="857" t="s">
        <v>1893</v>
      </c>
      <c r="D50" s="860" t="s">
        <v>1897</v>
      </c>
      <c r="E50" s="917">
        <v>70000</v>
      </c>
      <c r="F50" s="857">
        <v>1</v>
      </c>
      <c r="G50" s="917">
        <f t="shared" si="19"/>
        <v>70000</v>
      </c>
      <c r="H50" s="858" t="s">
        <v>1894</v>
      </c>
    </row>
    <row r="51" spans="1:8" ht="24">
      <c r="A51" s="857">
        <v>4</v>
      </c>
      <c r="B51" s="860" t="s">
        <v>1898</v>
      </c>
      <c r="C51" s="857" t="s">
        <v>1893</v>
      </c>
      <c r="D51" s="857"/>
      <c r="E51" s="917">
        <v>13000</v>
      </c>
      <c r="F51" s="857">
        <v>1</v>
      </c>
      <c r="G51" s="917">
        <f t="shared" si="19"/>
        <v>13000</v>
      </c>
      <c r="H51" s="858" t="s">
        <v>1899</v>
      </c>
    </row>
    <row r="52" spans="1:8">
      <c r="A52" s="857"/>
      <c r="B52" s="1102" t="s">
        <v>1900</v>
      </c>
      <c r="C52" s="857"/>
      <c r="D52" s="669"/>
      <c r="E52" s="917"/>
      <c r="F52" s="853"/>
      <c r="G52" s="918">
        <f t="shared" ref="G52" si="20">SUM(G48:G51)</f>
        <v>383000</v>
      </c>
      <c r="H52" s="861"/>
    </row>
    <row r="53" spans="1:8" ht="36">
      <c r="A53" s="1104" t="s">
        <v>1901</v>
      </c>
      <c r="B53" s="1105" t="s">
        <v>1902</v>
      </c>
      <c r="C53" s="857"/>
      <c r="D53" s="863"/>
      <c r="E53" s="917"/>
      <c r="F53" s="853"/>
      <c r="G53" s="918"/>
      <c r="H53" s="861"/>
    </row>
    <row r="54" spans="1:8" ht="36">
      <c r="A54" s="1106" t="s">
        <v>1903</v>
      </c>
      <c r="B54" s="877" t="s">
        <v>1904</v>
      </c>
      <c r="C54" s="853"/>
      <c r="D54" s="866"/>
      <c r="E54" s="918"/>
      <c r="F54" s="853"/>
      <c r="G54" s="918"/>
      <c r="H54" s="851"/>
    </row>
    <row r="55" spans="1:8" ht="60">
      <c r="A55" s="1106" t="s">
        <v>1905</v>
      </c>
      <c r="B55" s="877" t="s">
        <v>1906</v>
      </c>
      <c r="C55" s="853"/>
      <c r="D55" s="866"/>
      <c r="E55" s="918"/>
      <c r="F55" s="853"/>
      <c r="G55" s="918"/>
      <c r="H55" s="851"/>
    </row>
    <row r="56" spans="1:8">
      <c r="A56" s="857">
        <v>1</v>
      </c>
      <c r="B56" s="867" t="s">
        <v>1907</v>
      </c>
      <c r="C56" s="857" t="s">
        <v>1908</v>
      </c>
      <c r="D56" s="863"/>
      <c r="E56" s="917">
        <v>80</v>
      </c>
      <c r="F56" s="857">
        <v>4</v>
      </c>
      <c r="G56" s="917">
        <f t="shared" ref="G56:G67" si="21">E56*F56</f>
        <v>320</v>
      </c>
      <c r="H56" s="860"/>
    </row>
    <row r="57" spans="1:8">
      <c r="A57" s="1107">
        <v>2</v>
      </c>
      <c r="B57" s="867" t="s">
        <v>1909</v>
      </c>
      <c r="C57" s="857" t="s">
        <v>1910</v>
      </c>
      <c r="D57" s="860" t="s">
        <v>1911</v>
      </c>
      <c r="E57" s="917">
        <v>13000</v>
      </c>
      <c r="F57" s="857">
        <v>4</v>
      </c>
      <c r="G57" s="917">
        <f t="shared" si="21"/>
        <v>52000</v>
      </c>
      <c r="H57" s="860"/>
    </row>
    <row r="58" spans="1:8">
      <c r="A58" s="857">
        <v>3</v>
      </c>
      <c r="B58" s="867" t="s">
        <v>1912</v>
      </c>
      <c r="C58" s="857" t="s">
        <v>1913</v>
      </c>
      <c r="D58" s="868" t="s">
        <v>1914</v>
      </c>
      <c r="E58" s="917">
        <v>320</v>
      </c>
      <c r="F58" s="857">
        <v>4</v>
      </c>
      <c r="G58" s="917">
        <f t="shared" si="21"/>
        <v>1280</v>
      </c>
      <c r="H58" s="860"/>
    </row>
    <row r="59" spans="1:8">
      <c r="A59" s="1107">
        <v>4</v>
      </c>
      <c r="B59" s="622" t="s">
        <v>1915</v>
      </c>
      <c r="C59" s="857" t="s">
        <v>1916</v>
      </c>
      <c r="D59" s="669" t="s">
        <v>1917</v>
      </c>
      <c r="E59" s="917">
        <v>650</v>
      </c>
      <c r="F59" s="857">
        <v>20</v>
      </c>
      <c r="G59" s="917">
        <f t="shared" si="21"/>
        <v>13000</v>
      </c>
      <c r="H59" s="860"/>
    </row>
    <row r="60" spans="1:8" ht="24">
      <c r="A60" s="857">
        <v>5</v>
      </c>
      <c r="B60" s="1108" t="s">
        <v>1918</v>
      </c>
      <c r="C60" s="857" t="s">
        <v>1919</v>
      </c>
      <c r="D60" s="860" t="s">
        <v>1920</v>
      </c>
      <c r="E60" s="917">
        <v>6000</v>
      </c>
      <c r="F60" s="857">
        <v>4</v>
      </c>
      <c r="G60" s="917">
        <f t="shared" si="21"/>
        <v>24000</v>
      </c>
      <c r="H60" s="860"/>
    </row>
    <row r="61" spans="1:8">
      <c r="A61" s="1107">
        <v>6</v>
      </c>
      <c r="B61" s="869" t="s">
        <v>1921</v>
      </c>
      <c r="C61" s="870" t="s">
        <v>1922</v>
      </c>
      <c r="D61" s="860" t="s">
        <v>1923</v>
      </c>
      <c r="E61" s="917">
        <v>15000</v>
      </c>
      <c r="F61" s="857">
        <v>4</v>
      </c>
      <c r="G61" s="917">
        <f t="shared" si="21"/>
        <v>60000</v>
      </c>
      <c r="H61" s="860"/>
    </row>
    <row r="62" spans="1:8">
      <c r="A62" s="857">
        <v>7</v>
      </c>
      <c r="B62" s="622" t="s">
        <v>1924</v>
      </c>
      <c r="C62" s="870" t="s">
        <v>1922</v>
      </c>
      <c r="D62" s="860" t="s">
        <v>1925</v>
      </c>
      <c r="E62" s="917">
        <v>500</v>
      </c>
      <c r="F62" s="857">
        <v>4</v>
      </c>
      <c r="G62" s="917">
        <f t="shared" si="21"/>
        <v>2000</v>
      </c>
      <c r="H62" s="860"/>
    </row>
    <row r="63" spans="1:8" ht="24">
      <c r="A63" s="1107">
        <v>8</v>
      </c>
      <c r="B63" s="622" t="s">
        <v>1926</v>
      </c>
      <c r="C63" s="870" t="s">
        <v>1916</v>
      </c>
      <c r="D63" s="628" t="s">
        <v>1927</v>
      </c>
      <c r="E63" s="917">
        <v>20000</v>
      </c>
      <c r="F63" s="857">
        <v>4</v>
      </c>
      <c r="G63" s="917">
        <f t="shared" si="21"/>
        <v>80000</v>
      </c>
      <c r="H63" s="860"/>
    </row>
    <row r="64" spans="1:8" ht="24">
      <c r="A64" s="857">
        <v>9</v>
      </c>
      <c r="B64" s="886" t="s">
        <v>2506</v>
      </c>
      <c r="C64" s="857" t="s">
        <v>1922</v>
      </c>
      <c r="D64" s="860"/>
      <c r="E64" s="917">
        <v>2500</v>
      </c>
      <c r="F64" s="857">
        <v>4</v>
      </c>
      <c r="G64" s="917">
        <f t="shared" si="21"/>
        <v>10000</v>
      </c>
      <c r="H64" s="860"/>
    </row>
    <row r="65" spans="1:8" ht="24.75">
      <c r="A65" s="1107">
        <v>10</v>
      </c>
      <c r="B65" s="622" t="s">
        <v>1928</v>
      </c>
      <c r="C65" s="857" t="s">
        <v>1922</v>
      </c>
      <c r="D65" s="669" t="s">
        <v>2323</v>
      </c>
      <c r="E65" s="917">
        <v>7500</v>
      </c>
      <c r="F65" s="857">
        <v>8</v>
      </c>
      <c r="G65" s="917">
        <f t="shared" si="21"/>
        <v>60000</v>
      </c>
      <c r="H65" s="669" t="s">
        <v>2315</v>
      </c>
    </row>
    <row r="66" spans="1:8" ht="24">
      <c r="A66" s="857">
        <v>11</v>
      </c>
      <c r="B66" s="860" t="s">
        <v>2507</v>
      </c>
      <c r="C66" s="1109" t="s">
        <v>1631</v>
      </c>
      <c r="D66" s="628" t="s">
        <v>1930</v>
      </c>
      <c r="E66" s="917">
        <v>700</v>
      </c>
      <c r="F66" s="857">
        <v>4</v>
      </c>
      <c r="G66" s="917">
        <f t="shared" si="21"/>
        <v>2800</v>
      </c>
      <c r="H66" s="860"/>
    </row>
    <row r="67" spans="1:8" ht="24">
      <c r="A67" s="1107">
        <v>12</v>
      </c>
      <c r="B67" s="860" t="s">
        <v>2508</v>
      </c>
      <c r="C67" s="857" t="s">
        <v>1916</v>
      </c>
      <c r="D67" s="669" t="s">
        <v>1917</v>
      </c>
      <c r="E67" s="917">
        <v>650</v>
      </c>
      <c r="F67" s="857">
        <v>20</v>
      </c>
      <c r="G67" s="917">
        <f t="shared" si="21"/>
        <v>13000</v>
      </c>
      <c r="H67" s="860"/>
    </row>
    <row r="68" spans="1:8">
      <c r="A68" s="1110"/>
      <c r="B68" s="1102" t="s">
        <v>1900</v>
      </c>
      <c r="C68" s="853"/>
      <c r="D68" s="866"/>
      <c r="E68" s="918"/>
      <c r="F68" s="853"/>
      <c r="G68" s="918">
        <f>SUM(G56:G67)</f>
        <v>318400</v>
      </c>
      <c r="H68" s="872"/>
    </row>
    <row r="69" spans="1:8" ht="36">
      <c r="A69" s="1110" t="s">
        <v>1931</v>
      </c>
      <c r="B69" s="1105" t="s">
        <v>2509</v>
      </c>
      <c r="C69" s="853"/>
      <c r="D69" s="866"/>
      <c r="E69" s="918"/>
      <c r="F69" s="853"/>
      <c r="G69" s="918"/>
      <c r="H69" s="872"/>
    </row>
    <row r="70" spans="1:8">
      <c r="A70" s="857">
        <v>1</v>
      </c>
      <c r="B70" s="622" t="s">
        <v>2510</v>
      </c>
      <c r="C70" s="857" t="s">
        <v>1908</v>
      </c>
      <c r="D70" s="628" t="s">
        <v>1932</v>
      </c>
      <c r="E70" s="917">
        <v>380</v>
      </c>
      <c r="F70" s="857">
        <v>120</v>
      </c>
      <c r="G70" s="917">
        <f>E70*F70</f>
        <v>45600</v>
      </c>
      <c r="H70" s="860"/>
    </row>
    <row r="71" spans="1:8" ht="24.75">
      <c r="A71" s="1107">
        <v>2</v>
      </c>
      <c r="B71" s="622" t="s">
        <v>1933</v>
      </c>
      <c r="C71" s="857" t="s">
        <v>1922</v>
      </c>
      <c r="D71" s="669" t="s">
        <v>2323</v>
      </c>
      <c r="E71" s="917">
        <v>7500</v>
      </c>
      <c r="F71" s="857">
        <v>4</v>
      </c>
      <c r="G71" s="917">
        <f>E71*F71</f>
        <v>30000</v>
      </c>
      <c r="H71" s="669" t="s">
        <v>2315</v>
      </c>
    </row>
    <row r="72" spans="1:8">
      <c r="A72" s="1110"/>
      <c r="B72" s="1102" t="s">
        <v>1900</v>
      </c>
      <c r="C72" s="873"/>
      <c r="D72" s="866"/>
      <c r="E72" s="918"/>
      <c r="F72" s="853"/>
      <c r="G72" s="918">
        <f t="shared" ref="G72" si="22">SUM(G70:G71)</f>
        <v>75600</v>
      </c>
      <c r="H72" s="872"/>
    </row>
    <row r="73" spans="1:8" ht="48">
      <c r="A73" s="1110" t="s">
        <v>1934</v>
      </c>
      <c r="B73" s="1105" t="s">
        <v>2511</v>
      </c>
      <c r="C73" s="873"/>
      <c r="D73" s="866"/>
      <c r="E73" s="918"/>
      <c r="F73" s="853"/>
      <c r="G73" s="918"/>
      <c r="H73" s="872"/>
    </row>
    <row r="74" spans="1:8" ht="72">
      <c r="A74" s="857">
        <v>1</v>
      </c>
      <c r="B74" s="867" t="s">
        <v>1935</v>
      </c>
      <c r="C74" s="870" t="s">
        <v>1908</v>
      </c>
      <c r="D74" s="628" t="s">
        <v>1936</v>
      </c>
      <c r="E74" s="917">
        <v>2000</v>
      </c>
      <c r="F74" s="857">
        <v>5</v>
      </c>
      <c r="G74" s="917">
        <f>E74*F74</f>
        <v>10000</v>
      </c>
      <c r="H74" s="860" t="s">
        <v>2512</v>
      </c>
    </row>
    <row r="75" spans="1:8">
      <c r="A75" s="1110"/>
      <c r="B75" s="1102" t="s">
        <v>1900</v>
      </c>
      <c r="C75" s="873"/>
      <c r="D75" s="866"/>
      <c r="E75" s="918"/>
      <c r="F75" s="853"/>
      <c r="G75" s="918">
        <f t="shared" ref="G75" si="23">SUM(G74:G74)</f>
        <v>10000</v>
      </c>
      <c r="H75" s="872"/>
    </row>
    <row r="76" spans="1:8" ht="48">
      <c r="A76" s="1110" t="s">
        <v>1937</v>
      </c>
      <c r="B76" s="877" t="s">
        <v>2513</v>
      </c>
      <c r="C76" s="873"/>
      <c r="D76" s="866"/>
      <c r="E76" s="918"/>
      <c r="F76" s="853"/>
      <c r="G76" s="918"/>
      <c r="H76" s="872"/>
    </row>
    <row r="77" spans="1:8" ht="24">
      <c r="A77" s="1107">
        <v>1</v>
      </c>
      <c r="B77" s="622" t="s">
        <v>2514</v>
      </c>
      <c r="C77" s="1109" t="s">
        <v>2270</v>
      </c>
      <c r="D77" s="628" t="s">
        <v>1938</v>
      </c>
      <c r="E77" s="917">
        <v>2400</v>
      </c>
      <c r="F77" s="857">
        <v>4</v>
      </c>
      <c r="G77" s="917">
        <f>E77*F77</f>
        <v>9600</v>
      </c>
      <c r="H77" s="860"/>
    </row>
    <row r="78" spans="1:8">
      <c r="A78" s="1110"/>
      <c r="B78" s="1102" t="s">
        <v>1900</v>
      </c>
      <c r="C78" s="853"/>
      <c r="D78" s="866"/>
      <c r="E78" s="918"/>
      <c r="F78" s="853"/>
      <c r="G78" s="918">
        <f t="shared" ref="G78" si="24">SUM(G77:G77)</f>
        <v>9600</v>
      </c>
      <c r="H78" s="851"/>
    </row>
    <row r="79" spans="1:8" ht="48.75">
      <c r="A79" s="1106" t="s">
        <v>1939</v>
      </c>
      <c r="B79" s="1105" t="s">
        <v>2515</v>
      </c>
      <c r="C79" s="853"/>
      <c r="D79" s="866"/>
      <c r="E79" s="918"/>
      <c r="F79" s="853"/>
      <c r="G79" s="1111"/>
      <c r="H79" s="669" t="s">
        <v>1940</v>
      </c>
    </row>
    <row r="80" spans="1:8" ht="24">
      <c r="A80" s="1107">
        <v>1</v>
      </c>
      <c r="B80" s="867" t="s">
        <v>1941</v>
      </c>
      <c r="C80" s="857" t="s">
        <v>1922</v>
      </c>
      <c r="D80" s="863"/>
      <c r="E80" s="917">
        <v>1500</v>
      </c>
      <c r="F80" s="857">
        <v>4</v>
      </c>
      <c r="G80" s="1112">
        <f>E80*F80</f>
        <v>6000</v>
      </c>
      <c r="H80" s="860" t="s">
        <v>1942</v>
      </c>
    </row>
    <row r="81" spans="1:8">
      <c r="A81" s="1107">
        <v>2</v>
      </c>
      <c r="B81" s="867" t="s">
        <v>1943</v>
      </c>
      <c r="C81" s="857" t="s">
        <v>1922</v>
      </c>
      <c r="D81" s="863"/>
      <c r="E81" s="917">
        <v>2000</v>
      </c>
      <c r="F81" s="857">
        <v>2</v>
      </c>
      <c r="G81" s="917">
        <f>E81*F81</f>
        <v>4000</v>
      </c>
      <c r="H81" s="861"/>
    </row>
    <row r="82" spans="1:8" ht="24">
      <c r="A82" s="1107">
        <v>3</v>
      </c>
      <c r="B82" s="622" t="s">
        <v>2516</v>
      </c>
      <c r="C82" s="1109" t="s">
        <v>2263</v>
      </c>
      <c r="D82" s="628" t="s">
        <v>1944</v>
      </c>
      <c r="E82" s="917">
        <v>2000</v>
      </c>
      <c r="F82" s="857">
        <v>4</v>
      </c>
      <c r="G82" s="917">
        <f>E82*F82</f>
        <v>8000</v>
      </c>
      <c r="H82" s="860" t="s">
        <v>1942</v>
      </c>
    </row>
    <row r="83" spans="1:8" ht="24">
      <c r="A83" s="1107">
        <v>4</v>
      </c>
      <c r="B83" s="622" t="s">
        <v>2276</v>
      </c>
      <c r="C83" s="1109" t="s">
        <v>2266</v>
      </c>
      <c r="D83" s="863"/>
      <c r="E83" s="917">
        <v>1200</v>
      </c>
      <c r="F83" s="857">
        <v>2</v>
      </c>
      <c r="G83" s="917">
        <f>E83*F83</f>
        <v>2400</v>
      </c>
      <c r="H83" s="622" t="s">
        <v>1945</v>
      </c>
    </row>
    <row r="84" spans="1:8" ht="72">
      <c r="A84" s="1107">
        <v>5</v>
      </c>
      <c r="B84" s="622" t="s">
        <v>2517</v>
      </c>
      <c r="C84" s="857" t="s">
        <v>1922</v>
      </c>
      <c r="D84" s="628" t="s">
        <v>1946</v>
      </c>
      <c r="E84" s="917">
        <v>12000</v>
      </c>
      <c r="F84" s="857">
        <v>2</v>
      </c>
      <c r="G84" s="917">
        <f>E84*F84</f>
        <v>24000</v>
      </c>
      <c r="H84" s="622" t="s">
        <v>1947</v>
      </c>
    </row>
    <row r="85" spans="1:8">
      <c r="A85" s="1110"/>
      <c r="B85" s="1102" t="s">
        <v>1900</v>
      </c>
      <c r="C85" s="853"/>
      <c r="D85" s="876"/>
      <c r="E85" s="918"/>
      <c r="F85" s="853"/>
      <c r="G85" s="918">
        <f>SUM(G80:G84)</f>
        <v>44400</v>
      </c>
      <c r="H85" s="877"/>
    </row>
    <row r="86" spans="1:8" ht="24">
      <c r="A86" s="1113" t="s">
        <v>1948</v>
      </c>
      <c r="B86" s="1114" t="s">
        <v>2518</v>
      </c>
      <c r="C86" s="873"/>
      <c r="D86" s="1115"/>
      <c r="E86" s="918"/>
      <c r="F86" s="853"/>
      <c r="G86" s="918"/>
      <c r="H86" s="860" t="s">
        <v>1949</v>
      </c>
    </row>
    <row r="87" spans="1:8" ht="36">
      <c r="A87" s="857">
        <v>1</v>
      </c>
      <c r="B87" s="622" t="s">
        <v>2519</v>
      </c>
      <c r="C87" s="857" t="s">
        <v>1893</v>
      </c>
      <c r="D87" s="860" t="s">
        <v>1950</v>
      </c>
      <c r="E87" s="917">
        <v>350000</v>
      </c>
      <c r="F87" s="857">
        <v>1</v>
      </c>
      <c r="G87" s="917">
        <f>E87*F87</f>
        <v>350000</v>
      </c>
      <c r="H87" s="878"/>
    </row>
    <row r="88" spans="1:8" ht="24">
      <c r="A88" s="879">
        <v>2</v>
      </c>
      <c r="B88" s="622" t="s">
        <v>2520</v>
      </c>
      <c r="C88" s="857" t="s">
        <v>1893</v>
      </c>
      <c r="D88" s="628" t="s">
        <v>1951</v>
      </c>
      <c r="E88" s="917">
        <v>20000</v>
      </c>
      <c r="F88" s="857">
        <v>1</v>
      </c>
      <c r="G88" s="917">
        <f>E88*F88</f>
        <v>20000</v>
      </c>
      <c r="H88" s="861"/>
    </row>
    <row r="89" spans="1:8">
      <c r="A89" s="879">
        <v>3</v>
      </c>
      <c r="B89" s="1116" t="s">
        <v>2521</v>
      </c>
      <c r="C89" s="857" t="s">
        <v>1910</v>
      </c>
      <c r="D89" s="860" t="s">
        <v>1952</v>
      </c>
      <c r="E89" s="917">
        <v>13000</v>
      </c>
      <c r="F89" s="1117">
        <v>1</v>
      </c>
      <c r="G89" s="917">
        <f>E89*F89</f>
        <v>13000</v>
      </c>
      <c r="H89" s="861"/>
    </row>
    <row r="90" spans="1:8" ht="24">
      <c r="A90" s="879">
        <v>4</v>
      </c>
      <c r="B90" s="1116" t="s">
        <v>2522</v>
      </c>
      <c r="C90" s="857" t="s">
        <v>1893</v>
      </c>
      <c r="D90" s="1118" t="s">
        <v>1953</v>
      </c>
      <c r="E90" s="1119">
        <v>20000</v>
      </c>
      <c r="F90" s="875">
        <v>1</v>
      </c>
      <c r="G90" s="917">
        <f>E90*F90</f>
        <v>20000</v>
      </c>
      <c r="H90" s="861"/>
    </row>
    <row r="91" spans="1:8" ht="24.75">
      <c r="A91" s="879">
        <v>5</v>
      </c>
      <c r="B91" s="622" t="s">
        <v>2523</v>
      </c>
      <c r="C91" s="1109" t="s">
        <v>2261</v>
      </c>
      <c r="D91" s="863" t="s">
        <v>2314</v>
      </c>
      <c r="E91" s="917">
        <v>12000</v>
      </c>
      <c r="F91" s="857">
        <v>5</v>
      </c>
      <c r="G91" s="917">
        <f>E91*F91</f>
        <v>60000</v>
      </c>
      <c r="H91" s="669" t="s">
        <v>2315</v>
      </c>
    </row>
    <row r="92" spans="1:8">
      <c r="A92" s="853"/>
      <c r="B92" s="1102" t="s">
        <v>1900</v>
      </c>
      <c r="C92" s="873"/>
      <c r="D92" s="854"/>
      <c r="E92" s="918"/>
      <c r="F92" s="853"/>
      <c r="G92" s="918">
        <f t="shared" ref="G92" si="25">SUM(G87:G91)</f>
        <v>463000</v>
      </c>
      <c r="H92" s="851"/>
    </row>
    <row r="93" spans="1:8" ht="36">
      <c r="A93" s="1106" t="s">
        <v>1954</v>
      </c>
      <c r="B93" s="865" t="s">
        <v>1955</v>
      </c>
      <c r="C93" s="853"/>
      <c r="D93" s="866"/>
      <c r="E93" s="918"/>
      <c r="F93" s="853"/>
      <c r="G93" s="918"/>
      <c r="H93" s="851"/>
    </row>
    <row r="94" spans="1:8" ht="96">
      <c r="A94" s="1107">
        <v>1</v>
      </c>
      <c r="B94" s="622" t="s">
        <v>2524</v>
      </c>
      <c r="C94" s="857" t="s">
        <v>1916</v>
      </c>
      <c r="D94" s="628" t="s">
        <v>1956</v>
      </c>
      <c r="E94" s="917">
        <v>100000</v>
      </c>
      <c r="F94" s="857">
        <v>4</v>
      </c>
      <c r="G94" s="917">
        <f>E94*F94</f>
        <v>400000</v>
      </c>
      <c r="H94" s="860" t="s">
        <v>1957</v>
      </c>
    </row>
    <row r="95" spans="1:8" ht="36">
      <c r="A95" s="1107">
        <v>2</v>
      </c>
      <c r="B95" s="869" t="s">
        <v>1921</v>
      </c>
      <c r="C95" s="870" t="s">
        <v>1922</v>
      </c>
      <c r="D95" s="860" t="s">
        <v>1923</v>
      </c>
      <c r="E95" s="917">
        <v>15000</v>
      </c>
      <c r="F95" s="857">
        <v>3</v>
      </c>
      <c r="G95" s="917">
        <f>E95*F95</f>
        <v>45000</v>
      </c>
      <c r="H95" s="860" t="s">
        <v>1958</v>
      </c>
    </row>
    <row r="96" spans="1:8" ht="24.75">
      <c r="A96" s="857">
        <v>3</v>
      </c>
      <c r="B96" s="858" t="s">
        <v>2525</v>
      </c>
      <c r="C96" s="857" t="s">
        <v>1893</v>
      </c>
      <c r="D96" s="1120" t="s">
        <v>1959</v>
      </c>
      <c r="E96" s="917">
        <v>1920</v>
      </c>
      <c r="F96" s="857">
        <v>4</v>
      </c>
      <c r="G96" s="1112">
        <f>E96*F96</f>
        <v>7680</v>
      </c>
      <c r="H96" s="880"/>
    </row>
    <row r="97" spans="1:8" ht="36">
      <c r="A97" s="1107">
        <v>4</v>
      </c>
      <c r="B97" s="622" t="s">
        <v>2526</v>
      </c>
      <c r="C97" s="857" t="s">
        <v>1922</v>
      </c>
      <c r="D97" s="669" t="s">
        <v>2323</v>
      </c>
      <c r="E97" s="917">
        <v>7500</v>
      </c>
      <c r="F97" s="857">
        <v>4</v>
      </c>
      <c r="G97" s="917">
        <f>E97*F97</f>
        <v>30000</v>
      </c>
      <c r="H97" s="669" t="s">
        <v>2527</v>
      </c>
    </row>
    <row r="98" spans="1:8">
      <c r="A98" s="1110"/>
      <c r="B98" s="1102" t="s">
        <v>1900</v>
      </c>
      <c r="C98" s="853"/>
      <c r="D98" s="866"/>
      <c r="E98" s="918"/>
      <c r="F98" s="853"/>
      <c r="G98" s="918">
        <f>SUM(G94:G97)</f>
        <v>482680</v>
      </c>
      <c r="H98" s="851"/>
    </row>
    <row r="99" spans="1:8" ht="36">
      <c r="A99" s="1106" t="s">
        <v>2267</v>
      </c>
      <c r="B99" s="1105" t="s">
        <v>2528</v>
      </c>
      <c r="C99" s="853"/>
      <c r="D99" s="866"/>
      <c r="E99" s="918"/>
      <c r="F99" s="853"/>
      <c r="G99" s="918"/>
      <c r="H99" s="851"/>
    </row>
    <row r="100" spans="1:8" ht="36">
      <c r="A100" s="1106" t="s">
        <v>1903</v>
      </c>
      <c r="B100" s="1121" t="s">
        <v>1960</v>
      </c>
      <c r="C100" s="853"/>
      <c r="D100" s="866"/>
      <c r="E100" s="918"/>
      <c r="F100" s="853"/>
      <c r="G100" s="918"/>
      <c r="H100" s="851"/>
    </row>
    <row r="101" spans="1:8" ht="36">
      <c r="A101" s="1113" t="s">
        <v>1905</v>
      </c>
      <c r="B101" s="1121" t="s">
        <v>1961</v>
      </c>
      <c r="C101" s="853"/>
      <c r="D101" s="854"/>
      <c r="E101" s="918"/>
      <c r="F101" s="853"/>
      <c r="G101" s="918"/>
      <c r="H101" s="851"/>
    </row>
    <row r="102" spans="1:8" ht="24">
      <c r="A102" s="879">
        <v>1</v>
      </c>
      <c r="B102" s="871" t="s">
        <v>1962</v>
      </c>
      <c r="C102" s="857" t="s">
        <v>1916</v>
      </c>
      <c r="D102" s="883"/>
      <c r="E102" s="917">
        <v>2500</v>
      </c>
      <c r="F102" s="857">
        <v>1</v>
      </c>
      <c r="G102" s="917">
        <f>E102*F102</f>
        <v>2500</v>
      </c>
      <c r="H102" s="860"/>
    </row>
    <row r="103" spans="1:8" ht="24">
      <c r="A103" s="879">
        <v>2</v>
      </c>
      <c r="B103" s="886" t="s">
        <v>2529</v>
      </c>
      <c r="C103" s="857" t="s">
        <v>1908</v>
      </c>
      <c r="D103" s="883"/>
      <c r="E103" s="917">
        <v>1500</v>
      </c>
      <c r="F103" s="857">
        <v>1</v>
      </c>
      <c r="G103" s="917">
        <f>E103*F103</f>
        <v>1500</v>
      </c>
      <c r="H103" s="860"/>
    </row>
    <row r="104" spans="1:8">
      <c r="A104" s="879">
        <v>3</v>
      </c>
      <c r="B104" s="867" t="s">
        <v>1963</v>
      </c>
      <c r="C104" s="857" t="s">
        <v>1916</v>
      </c>
      <c r="D104" s="628" t="s">
        <v>1964</v>
      </c>
      <c r="E104" s="917">
        <v>2000</v>
      </c>
      <c r="F104" s="857">
        <v>1</v>
      </c>
      <c r="G104" s="917">
        <f>E104*F104</f>
        <v>2000</v>
      </c>
      <c r="H104" s="860"/>
    </row>
    <row r="105" spans="1:8" ht="24">
      <c r="A105" s="879">
        <v>4</v>
      </c>
      <c r="B105" s="886" t="s">
        <v>2530</v>
      </c>
      <c r="C105" s="857" t="s">
        <v>1965</v>
      </c>
      <c r="D105" s="860" t="s">
        <v>2496</v>
      </c>
      <c r="E105" s="917">
        <v>5000</v>
      </c>
      <c r="F105" s="857">
        <v>1</v>
      </c>
      <c r="G105" s="917">
        <f>E105*F105</f>
        <v>5000</v>
      </c>
      <c r="H105" s="860"/>
    </row>
    <row r="106" spans="1:8" ht="24">
      <c r="A106" s="879">
        <v>5</v>
      </c>
      <c r="B106" s="622" t="s">
        <v>2531</v>
      </c>
      <c r="C106" s="857" t="s">
        <v>1922</v>
      </c>
      <c r="D106" s="628"/>
      <c r="E106" s="917">
        <v>3000</v>
      </c>
      <c r="F106" s="857">
        <v>1</v>
      </c>
      <c r="G106" s="917">
        <f>E106*F106</f>
        <v>3000</v>
      </c>
      <c r="H106" s="860"/>
    </row>
    <row r="107" spans="1:8">
      <c r="A107" s="884"/>
      <c r="B107" s="1102" t="s">
        <v>1900</v>
      </c>
      <c r="C107" s="853"/>
      <c r="D107" s="885"/>
      <c r="E107" s="918"/>
      <c r="F107" s="853"/>
      <c r="G107" s="918">
        <f t="shared" ref="G107" si="26">SUM(G102:G106)</f>
        <v>14000</v>
      </c>
      <c r="H107" s="872"/>
    </row>
    <row r="108" spans="1:8" ht="36">
      <c r="A108" s="884" t="s">
        <v>1931</v>
      </c>
      <c r="B108" s="1121" t="s">
        <v>1960</v>
      </c>
      <c r="C108" s="853"/>
      <c r="D108" s="885"/>
      <c r="E108" s="918"/>
      <c r="F108" s="853"/>
      <c r="G108" s="918"/>
      <c r="H108" s="872"/>
    </row>
    <row r="109" spans="1:8" ht="96">
      <c r="A109" s="879">
        <v>1</v>
      </c>
      <c r="B109" s="622" t="s">
        <v>2532</v>
      </c>
      <c r="C109" s="857" t="s">
        <v>1916</v>
      </c>
      <c r="D109" s="883" t="s">
        <v>3029</v>
      </c>
      <c r="E109" s="917">
        <v>1600</v>
      </c>
      <c r="F109" s="857">
        <v>14</v>
      </c>
      <c r="G109" s="917">
        <f t="shared" ref="G109:G115" si="27">E109*F109</f>
        <v>22400</v>
      </c>
      <c r="H109" s="886" t="s">
        <v>3030</v>
      </c>
    </row>
    <row r="110" spans="1:8" ht="96">
      <c r="A110" s="879">
        <v>2</v>
      </c>
      <c r="B110" s="622" t="s">
        <v>3031</v>
      </c>
      <c r="C110" s="857" t="s">
        <v>3032</v>
      </c>
      <c r="D110" s="863"/>
      <c r="E110" s="917">
        <v>700</v>
      </c>
      <c r="F110" s="857">
        <v>13</v>
      </c>
      <c r="G110" s="917">
        <f t="shared" si="27"/>
        <v>9100</v>
      </c>
      <c r="H110" s="886" t="s">
        <v>3030</v>
      </c>
    </row>
    <row r="111" spans="1:8" ht="24">
      <c r="A111" s="879">
        <v>3</v>
      </c>
      <c r="B111" s="622" t="s">
        <v>3033</v>
      </c>
      <c r="C111" s="857" t="s">
        <v>3034</v>
      </c>
      <c r="D111" s="860" t="s">
        <v>3035</v>
      </c>
      <c r="E111" s="917">
        <v>5000</v>
      </c>
      <c r="F111" s="857">
        <v>8</v>
      </c>
      <c r="G111" s="917">
        <f t="shared" si="27"/>
        <v>40000</v>
      </c>
      <c r="H111" s="860"/>
    </row>
    <row r="112" spans="1:8" ht="72">
      <c r="A112" s="879">
        <v>4</v>
      </c>
      <c r="B112" s="622" t="s">
        <v>3036</v>
      </c>
      <c r="C112" s="857" t="s">
        <v>3034</v>
      </c>
      <c r="D112" s="863" t="s">
        <v>3037</v>
      </c>
      <c r="E112" s="917">
        <v>5000</v>
      </c>
      <c r="F112" s="857">
        <v>6</v>
      </c>
      <c r="G112" s="917">
        <f t="shared" si="27"/>
        <v>30000</v>
      </c>
      <c r="H112" s="886" t="s">
        <v>3038</v>
      </c>
    </row>
    <row r="113" spans="1:8" ht="24.75">
      <c r="A113" s="879">
        <v>5</v>
      </c>
      <c r="B113" s="867" t="s">
        <v>3039</v>
      </c>
      <c r="C113" s="857" t="s">
        <v>3040</v>
      </c>
      <c r="D113" s="628" t="s">
        <v>3041</v>
      </c>
      <c r="E113" s="917">
        <v>1200</v>
      </c>
      <c r="F113" s="857">
        <v>3</v>
      </c>
      <c r="G113" s="917">
        <f t="shared" si="27"/>
        <v>3600</v>
      </c>
      <c r="H113" s="860" t="s">
        <v>3042</v>
      </c>
    </row>
    <row r="114" spans="1:8" ht="24">
      <c r="A114" s="879">
        <v>6</v>
      </c>
      <c r="B114" s="622" t="s">
        <v>3043</v>
      </c>
      <c r="C114" s="857" t="s">
        <v>3040</v>
      </c>
      <c r="D114" s="628" t="s">
        <v>3044</v>
      </c>
      <c r="E114" s="917">
        <v>5000</v>
      </c>
      <c r="F114" s="857">
        <v>1</v>
      </c>
      <c r="G114" s="917">
        <f t="shared" si="27"/>
        <v>5000</v>
      </c>
      <c r="H114" s="860"/>
    </row>
    <row r="115" spans="1:8" ht="96">
      <c r="A115" s="879">
        <v>8</v>
      </c>
      <c r="B115" s="867" t="s">
        <v>3045</v>
      </c>
      <c r="C115" s="1109" t="s">
        <v>3046</v>
      </c>
      <c r="D115" s="863" t="s">
        <v>3047</v>
      </c>
      <c r="E115" s="917">
        <v>6000</v>
      </c>
      <c r="F115" s="857">
        <v>10</v>
      </c>
      <c r="G115" s="917">
        <f t="shared" si="27"/>
        <v>60000</v>
      </c>
      <c r="H115" s="886" t="s">
        <v>3030</v>
      </c>
    </row>
    <row r="116" spans="1:8">
      <c r="A116" s="884"/>
      <c r="B116" s="1102" t="s">
        <v>3048</v>
      </c>
      <c r="C116" s="1122"/>
      <c r="D116" s="1123"/>
      <c r="E116" s="1111"/>
      <c r="F116" s="1122"/>
      <c r="G116" s="1111">
        <f>SUM(G109:G115)</f>
        <v>170100</v>
      </c>
      <c r="H116" s="1105"/>
    </row>
    <row r="117" spans="1:8">
      <c r="A117" s="884" t="s">
        <v>3049</v>
      </c>
      <c r="B117" s="1105" t="s">
        <v>3050</v>
      </c>
      <c r="C117" s="1122"/>
      <c r="D117" s="1123"/>
      <c r="E117" s="1111"/>
      <c r="F117" s="1122"/>
      <c r="G117" s="1111"/>
      <c r="H117" s="1105"/>
    </row>
    <row r="118" spans="1:8" ht="24">
      <c r="A118" s="879">
        <v>1</v>
      </c>
      <c r="B118" s="1124" t="s">
        <v>3051</v>
      </c>
      <c r="C118" s="1117" t="s">
        <v>3040</v>
      </c>
      <c r="D118" s="1118" t="s">
        <v>3052</v>
      </c>
      <c r="E118" s="917">
        <v>5000</v>
      </c>
      <c r="F118" s="857">
        <v>1</v>
      </c>
      <c r="G118" s="917">
        <f t="shared" ref="G118:G121" si="28">E118*F118</f>
        <v>5000</v>
      </c>
      <c r="H118" s="1125"/>
    </row>
    <row r="119" spans="1:8" ht="24">
      <c r="A119" s="879">
        <v>2</v>
      </c>
      <c r="B119" s="1126" t="s">
        <v>1970</v>
      </c>
      <c r="C119" s="1117" t="s">
        <v>3040</v>
      </c>
      <c r="D119" s="1118" t="s">
        <v>3052</v>
      </c>
      <c r="E119" s="1112">
        <v>1500</v>
      </c>
      <c r="F119" s="1117">
        <v>1</v>
      </c>
      <c r="G119" s="1112">
        <f t="shared" si="28"/>
        <v>1500</v>
      </c>
      <c r="H119" s="1125"/>
    </row>
    <row r="120" spans="1:8">
      <c r="A120" s="879">
        <v>3</v>
      </c>
      <c r="B120" s="871" t="s">
        <v>3053</v>
      </c>
      <c r="C120" s="1117" t="s">
        <v>3040</v>
      </c>
      <c r="D120" s="1118" t="s">
        <v>3052</v>
      </c>
      <c r="E120" s="1112">
        <v>3000</v>
      </c>
      <c r="F120" s="1117">
        <v>1</v>
      </c>
      <c r="G120" s="1112">
        <f t="shared" si="28"/>
        <v>3000</v>
      </c>
      <c r="H120" s="1125"/>
    </row>
    <row r="121" spans="1:8">
      <c r="A121" s="879">
        <v>4</v>
      </c>
      <c r="B121" s="622" t="s">
        <v>3054</v>
      </c>
      <c r="C121" s="857" t="s">
        <v>3032</v>
      </c>
      <c r="D121" s="863"/>
      <c r="E121" s="917">
        <v>2000</v>
      </c>
      <c r="F121" s="857">
        <v>1</v>
      </c>
      <c r="G121" s="1112">
        <f t="shared" si="28"/>
        <v>2000</v>
      </c>
      <c r="H121" s="1125"/>
    </row>
    <row r="122" spans="1:8">
      <c r="A122" s="884"/>
      <c r="B122" s="1102" t="s">
        <v>3048</v>
      </c>
      <c r="C122" s="853"/>
      <c r="D122" s="1123"/>
      <c r="E122" s="918"/>
      <c r="F122" s="1122"/>
      <c r="G122" s="1111">
        <f>SUM(G118:G121)</f>
        <v>11500</v>
      </c>
      <c r="H122" s="1105"/>
    </row>
    <row r="123" spans="1:8">
      <c r="A123" s="884" t="s">
        <v>3055</v>
      </c>
      <c r="B123" s="877" t="s">
        <v>3056</v>
      </c>
      <c r="C123" s="853"/>
      <c r="D123" s="1123"/>
      <c r="E123" s="918"/>
      <c r="F123" s="1122"/>
      <c r="G123" s="1111"/>
      <c r="H123" s="1105"/>
    </row>
    <row r="124" spans="1:8">
      <c r="A124" s="879">
        <v>1</v>
      </c>
      <c r="B124" s="867" t="s">
        <v>3057</v>
      </c>
      <c r="C124" s="857" t="s">
        <v>3032</v>
      </c>
      <c r="D124" s="1120"/>
      <c r="E124" s="917">
        <v>700</v>
      </c>
      <c r="F124" s="1117">
        <v>3</v>
      </c>
      <c r="G124" s="917">
        <f>E124*F124</f>
        <v>2100</v>
      </c>
      <c r="H124" s="1125"/>
    </row>
    <row r="125" spans="1:8">
      <c r="A125" s="879">
        <v>2</v>
      </c>
      <c r="B125" s="867" t="s">
        <v>1973</v>
      </c>
      <c r="C125" s="857" t="s">
        <v>3032</v>
      </c>
      <c r="D125" s="863"/>
      <c r="E125" s="917">
        <v>700</v>
      </c>
      <c r="F125" s="857">
        <v>4</v>
      </c>
      <c r="G125" s="917">
        <f>E125*F125</f>
        <v>2800</v>
      </c>
      <c r="H125" s="1125"/>
    </row>
    <row r="126" spans="1:8">
      <c r="A126" s="879">
        <v>3</v>
      </c>
      <c r="B126" s="622" t="s">
        <v>3058</v>
      </c>
      <c r="C126" s="1109" t="s">
        <v>3046</v>
      </c>
      <c r="D126" s="863"/>
      <c r="E126" s="917">
        <v>2000</v>
      </c>
      <c r="F126" s="857">
        <v>1</v>
      </c>
      <c r="G126" s="917">
        <f>E126*F126</f>
        <v>2000</v>
      </c>
      <c r="H126" s="1125"/>
    </row>
    <row r="127" spans="1:8">
      <c r="A127" s="879">
        <v>4</v>
      </c>
      <c r="B127" s="622" t="s">
        <v>3059</v>
      </c>
      <c r="C127" s="1109" t="s">
        <v>3046</v>
      </c>
      <c r="D127" s="863"/>
      <c r="E127" s="917">
        <v>1000</v>
      </c>
      <c r="F127" s="857">
        <v>1</v>
      </c>
      <c r="G127" s="917">
        <f>E127*F127</f>
        <v>1000</v>
      </c>
      <c r="H127" s="1125"/>
    </row>
    <row r="128" spans="1:8" ht="24">
      <c r="A128" s="879">
        <v>5</v>
      </c>
      <c r="B128" s="622" t="s">
        <v>3060</v>
      </c>
      <c r="C128" s="1109" t="s">
        <v>3061</v>
      </c>
      <c r="D128" s="1118" t="s">
        <v>3062</v>
      </c>
      <c r="E128" s="917">
        <v>1000</v>
      </c>
      <c r="F128" s="857">
        <v>1</v>
      </c>
      <c r="G128" s="917">
        <f>E128*F128</f>
        <v>1000</v>
      </c>
      <c r="H128" s="1125"/>
    </row>
    <row r="129" spans="1:8">
      <c r="A129" s="884"/>
      <c r="B129" s="1102" t="s">
        <v>3048</v>
      </c>
      <c r="C129" s="853"/>
      <c r="D129" s="866"/>
      <c r="E129" s="918"/>
      <c r="F129" s="853"/>
      <c r="G129" s="918">
        <f t="shared" ref="G129" si="29">SUM(G124:G128)</f>
        <v>8900</v>
      </c>
      <c r="H129" s="1105"/>
    </row>
    <row r="130" spans="1:8" ht="48">
      <c r="A130" s="884" t="s">
        <v>3063</v>
      </c>
      <c r="B130" s="877" t="s">
        <v>3064</v>
      </c>
      <c r="C130" s="853"/>
      <c r="D130" s="866"/>
      <c r="E130" s="918"/>
      <c r="F130" s="853"/>
      <c r="G130" s="918"/>
      <c r="H130" s="1105"/>
    </row>
    <row r="131" spans="1:8" ht="24">
      <c r="A131" s="879">
        <v>1</v>
      </c>
      <c r="B131" s="622" t="s">
        <v>3065</v>
      </c>
      <c r="C131" s="857" t="s">
        <v>3040</v>
      </c>
      <c r="D131" s="628"/>
      <c r="E131" s="917">
        <v>3000</v>
      </c>
      <c r="F131" s="857">
        <v>1</v>
      </c>
      <c r="G131" s="917">
        <f>E131*F131</f>
        <v>3000</v>
      </c>
      <c r="H131" s="860"/>
    </row>
    <row r="132" spans="1:8">
      <c r="A132" s="879">
        <v>2</v>
      </c>
      <c r="B132" s="867" t="s">
        <v>2385</v>
      </c>
      <c r="C132" s="857" t="s">
        <v>3040</v>
      </c>
      <c r="D132" s="863"/>
      <c r="E132" s="917">
        <v>15000</v>
      </c>
      <c r="F132" s="857">
        <v>1</v>
      </c>
      <c r="G132" s="917">
        <f>E132*F132</f>
        <v>15000</v>
      </c>
      <c r="H132" s="860"/>
    </row>
    <row r="133" spans="1:8" ht="24">
      <c r="A133" s="879">
        <v>3</v>
      </c>
      <c r="B133" s="622" t="s">
        <v>3066</v>
      </c>
      <c r="C133" s="857" t="s">
        <v>3040</v>
      </c>
      <c r="D133" s="628"/>
      <c r="E133" s="927">
        <v>25000</v>
      </c>
      <c r="F133" s="857">
        <v>1</v>
      </c>
      <c r="G133" s="917">
        <f>E133*F133</f>
        <v>25000</v>
      </c>
      <c r="H133" s="860"/>
    </row>
    <row r="134" spans="1:8" ht="24">
      <c r="A134" s="879">
        <v>4</v>
      </c>
      <c r="B134" s="871" t="s">
        <v>3067</v>
      </c>
      <c r="C134" s="857" t="s">
        <v>3040</v>
      </c>
      <c r="D134" s="863" t="s">
        <v>3068</v>
      </c>
      <c r="E134" s="917">
        <v>20000</v>
      </c>
      <c r="F134" s="857">
        <v>1</v>
      </c>
      <c r="G134" s="917">
        <f>E134*F134</f>
        <v>20000</v>
      </c>
      <c r="H134" s="860"/>
    </row>
    <row r="135" spans="1:8" ht="24">
      <c r="A135" s="879">
        <v>5</v>
      </c>
      <c r="B135" s="886" t="s">
        <v>3069</v>
      </c>
      <c r="C135" s="857" t="s">
        <v>3040</v>
      </c>
      <c r="D135" s="890"/>
      <c r="E135" s="917">
        <v>25000</v>
      </c>
      <c r="F135" s="857">
        <v>1</v>
      </c>
      <c r="G135" s="917">
        <f>E135*F135</f>
        <v>25000</v>
      </c>
      <c r="H135" s="860"/>
    </row>
    <row r="136" spans="1:8">
      <c r="A136" s="884"/>
      <c r="B136" s="1102" t="s">
        <v>3048</v>
      </c>
      <c r="C136" s="853"/>
      <c r="D136" s="866"/>
      <c r="E136" s="918"/>
      <c r="F136" s="853"/>
      <c r="G136" s="918">
        <f>SUM(G131:G135)</f>
        <v>88000</v>
      </c>
      <c r="H136" s="851"/>
    </row>
    <row r="137" spans="1:8" ht="24">
      <c r="A137" s="1127" t="s">
        <v>3070</v>
      </c>
      <c r="B137" s="877" t="s">
        <v>3071</v>
      </c>
      <c r="C137" s="853"/>
      <c r="D137" s="866"/>
      <c r="E137" s="918"/>
      <c r="F137" s="853"/>
      <c r="G137" s="918"/>
      <c r="H137" s="851"/>
    </row>
    <row r="138" spans="1:8">
      <c r="A138" s="879">
        <v>1</v>
      </c>
      <c r="B138" s="867" t="s">
        <v>1976</v>
      </c>
      <c r="C138" s="857" t="s">
        <v>3032</v>
      </c>
      <c r="D138" s="863"/>
      <c r="E138" s="917">
        <v>6000</v>
      </c>
      <c r="F138" s="857">
        <v>1</v>
      </c>
      <c r="G138" s="917">
        <f>E138*F138</f>
        <v>6000</v>
      </c>
      <c r="H138" s="861"/>
    </row>
    <row r="139" spans="1:8">
      <c r="A139" s="879">
        <v>2</v>
      </c>
      <c r="B139" s="867" t="s">
        <v>3072</v>
      </c>
      <c r="C139" s="857" t="s">
        <v>3032</v>
      </c>
      <c r="D139" s="863"/>
      <c r="E139" s="917">
        <v>380</v>
      </c>
      <c r="F139" s="857">
        <v>20</v>
      </c>
      <c r="G139" s="917">
        <f>E139*F139</f>
        <v>7600</v>
      </c>
      <c r="H139" s="861"/>
    </row>
    <row r="140" spans="1:8">
      <c r="A140" s="879">
        <v>3</v>
      </c>
      <c r="B140" s="869" t="s">
        <v>3073</v>
      </c>
      <c r="C140" s="870" t="s">
        <v>3040</v>
      </c>
      <c r="D140" s="860" t="s">
        <v>3074</v>
      </c>
      <c r="E140" s="917">
        <v>22000</v>
      </c>
      <c r="F140" s="857">
        <v>1</v>
      </c>
      <c r="G140" s="917">
        <f>E140*F140</f>
        <v>22000</v>
      </c>
      <c r="H140" s="878"/>
    </row>
    <row r="141" spans="1:8" ht="24.75">
      <c r="A141" s="879">
        <v>4</v>
      </c>
      <c r="B141" s="622" t="s">
        <v>3075</v>
      </c>
      <c r="C141" s="1109" t="s">
        <v>3046</v>
      </c>
      <c r="D141" s="1120" t="s">
        <v>3076</v>
      </c>
      <c r="E141" s="917">
        <v>7500</v>
      </c>
      <c r="F141" s="857">
        <v>2</v>
      </c>
      <c r="G141" s="917">
        <f>E141*F141</f>
        <v>15000</v>
      </c>
      <c r="H141" s="669" t="s">
        <v>3077</v>
      </c>
    </row>
    <row r="142" spans="1:8">
      <c r="A142" s="1128"/>
      <c r="B142" s="852" t="s">
        <v>3048</v>
      </c>
      <c r="C142" s="874"/>
      <c r="D142" s="1123"/>
      <c r="E142" s="918"/>
      <c r="F142" s="853"/>
      <c r="G142" s="918">
        <f>SUM(G138:G141)</f>
        <v>50600</v>
      </c>
      <c r="H142" s="852"/>
    </row>
    <row r="143" spans="1:8" ht="36">
      <c r="A143" s="1129" t="s">
        <v>3078</v>
      </c>
      <c r="B143" s="888" t="s">
        <v>3079</v>
      </c>
      <c r="C143" s="1130"/>
      <c r="D143" s="1123"/>
      <c r="E143" s="918"/>
      <c r="F143" s="853"/>
      <c r="G143" s="918"/>
      <c r="H143" s="852"/>
    </row>
    <row r="144" spans="1:8">
      <c r="A144" s="857">
        <v>1</v>
      </c>
      <c r="B144" s="622" t="s">
        <v>3080</v>
      </c>
      <c r="C144" s="1131" t="s">
        <v>3061</v>
      </c>
      <c r="D144" s="1118" t="s">
        <v>3081</v>
      </c>
      <c r="E144" s="917">
        <v>1800</v>
      </c>
      <c r="F144" s="857">
        <v>2</v>
      </c>
      <c r="G144" s="917">
        <f>E144*F144</f>
        <v>3600</v>
      </c>
      <c r="H144" s="894"/>
    </row>
    <row r="145" spans="1:8">
      <c r="A145" s="857">
        <v>3</v>
      </c>
      <c r="B145" s="867" t="s">
        <v>3082</v>
      </c>
      <c r="C145" s="1131" t="s">
        <v>3083</v>
      </c>
      <c r="D145" s="1120"/>
      <c r="E145" s="917">
        <v>1000</v>
      </c>
      <c r="F145" s="857">
        <v>3</v>
      </c>
      <c r="G145" s="917">
        <f>E145*F145</f>
        <v>3000</v>
      </c>
      <c r="H145" s="894"/>
    </row>
    <row r="146" spans="1:8" ht="24">
      <c r="A146" s="857">
        <v>4</v>
      </c>
      <c r="B146" s="622" t="s">
        <v>3084</v>
      </c>
      <c r="C146" s="857" t="s">
        <v>3085</v>
      </c>
      <c r="D146" s="669"/>
      <c r="E146" s="917">
        <v>10000</v>
      </c>
      <c r="F146" s="857">
        <v>1</v>
      </c>
      <c r="G146" s="917">
        <f>E146*F146</f>
        <v>10000</v>
      </c>
      <c r="H146" s="860"/>
    </row>
    <row r="147" spans="1:8" ht="24.75">
      <c r="A147" s="857">
        <v>5</v>
      </c>
      <c r="B147" s="867" t="s">
        <v>3075</v>
      </c>
      <c r="C147" s="1131" t="s">
        <v>3046</v>
      </c>
      <c r="D147" s="1120" t="s">
        <v>3076</v>
      </c>
      <c r="E147" s="917">
        <v>7500</v>
      </c>
      <c r="F147" s="857">
        <v>1</v>
      </c>
      <c r="G147" s="917">
        <f>E147*F147</f>
        <v>7500</v>
      </c>
      <c r="H147" s="669" t="s">
        <v>3077</v>
      </c>
    </row>
    <row r="148" spans="1:8">
      <c r="A148" s="1128"/>
      <c r="B148" s="852" t="s">
        <v>3048</v>
      </c>
      <c r="C148" s="1130"/>
      <c r="D148" s="1123"/>
      <c r="E148" s="918"/>
      <c r="F148" s="853"/>
      <c r="G148" s="918">
        <f t="shared" ref="G148" si="30">SUM(G144:G147)</f>
        <v>24100</v>
      </c>
      <c r="H148" s="852"/>
    </row>
    <row r="149" spans="1:8" ht="36">
      <c r="A149" s="1129" t="s">
        <v>3086</v>
      </c>
      <c r="B149" s="1132" t="s">
        <v>1982</v>
      </c>
      <c r="C149" s="1130"/>
      <c r="D149" s="1123"/>
      <c r="E149" s="918"/>
      <c r="F149" s="853"/>
      <c r="G149" s="918"/>
      <c r="H149" s="852"/>
    </row>
    <row r="150" spans="1:8" ht="36">
      <c r="A150" s="1133">
        <v>1</v>
      </c>
      <c r="B150" s="858" t="s">
        <v>1983</v>
      </c>
      <c r="C150" s="1131" t="s">
        <v>3087</v>
      </c>
      <c r="D150" s="1120" t="s">
        <v>1984</v>
      </c>
      <c r="E150" s="917">
        <v>7500</v>
      </c>
      <c r="F150" s="857">
        <v>1</v>
      </c>
      <c r="G150" s="917">
        <f>E150*F150</f>
        <v>7500</v>
      </c>
      <c r="H150" s="897" t="s">
        <v>3088</v>
      </c>
    </row>
    <row r="151" spans="1:8">
      <c r="A151" s="1128"/>
      <c r="B151" s="852" t="s">
        <v>3048</v>
      </c>
      <c r="C151" s="1130"/>
      <c r="D151" s="1123"/>
      <c r="E151" s="918"/>
      <c r="F151" s="853"/>
      <c r="G151" s="918">
        <f t="shared" ref="G151" si="31">SUM(G150:G150)</f>
        <v>7500</v>
      </c>
      <c r="H151" s="852"/>
    </row>
    <row r="152" spans="1:8" ht="24">
      <c r="A152" s="1113" t="s">
        <v>3089</v>
      </c>
      <c r="B152" s="1132" t="s">
        <v>1987</v>
      </c>
      <c r="C152" s="1130"/>
      <c r="D152" s="1123"/>
      <c r="E152" s="918"/>
      <c r="F152" s="853"/>
      <c r="G152" s="918"/>
      <c r="H152" s="852"/>
    </row>
    <row r="153" spans="1:8">
      <c r="A153" s="857">
        <v>1</v>
      </c>
      <c r="B153" s="622" t="s">
        <v>3090</v>
      </c>
      <c r="C153" s="1109" t="s">
        <v>3083</v>
      </c>
      <c r="D153" s="628" t="s">
        <v>3091</v>
      </c>
      <c r="E153" s="917">
        <v>1500</v>
      </c>
      <c r="F153" s="857">
        <v>2</v>
      </c>
      <c r="G153" s="917">
        <f>E153*F153</f>
        <v>3000</v>
      </c>
      <c r="H153" s="860" t="s">
        <v>3092</v>
      </c>
    </row>
    <row r="154" spans="1:8">
      <c r="A154" s="857">
        <v>2</v>
      </c>
      <c r="B154" s="622" t="s">
        <v>3093</v>
      </c>
      <c r="C154" s="1109" t="s">
        <v>3083</v>
      </c>
      <c r="D154" s="628" t="s">
        <v>3091</v>
      </c>
      <c r="E154" s="917">
        <v>1000</v>
      </c>
      <c r="F154" s="857">
        <v>2</v>
      </c>
      <c r="G154" s="917">
        <f>E154*F154</f>
        <v>2000</v>
      </c>
      <c r="H154" s="860" t="s">
        <v>3092</v>
      </c>
    </row>
    <row r="155" spans="1:8">
      <c r="A155" s="1128"/>
      <c r="B155" s="1102" t="s">
        <v>3048</v>
      </c>
      <c r="C155" s="1130"/>
      <c r="D155" s="1123"/>
      <c r="E155" s="918"/>
      <c r="F155" s="853"/>
      <c r="G155" s="918">
        <f t="shared" ref="G155" si="32">SUM(G153:G154)</f>
        <v>5000</v>
      </c>
      <c r="H155" s="1102"/>
    </row>
    <row r="156" spans="1:8" ht="24">
      <c r="A156" s="1128" t="s">
        <v>3094</v>
      </c>
      <c r="B156" s="1132" t="s">
        <v>1989</v>
      </c>
      <c r="C156" s="1130"/>
      <c r="D156" s="1123"/>
      <c r="E156" s="918"/>
      <c r="F156" s="853"/>
      <c r="G156" s="918"/>
      <c r="H156" s="1102"/>
    </row>
    <row r="157" spans="1:8">
      <c r="A157" s="1133">
        <v>1</v>
      </c>
      <c r="B157" s="622" t="s">
        <v>3095</v>
      </c>
      <c r="C157" s="870" t="s">
        <v>3034</v>
      </c>
      <c r="D157" s="669" t="s">
        <v>3096</v>
      </c>
      <c r="E157" s="917">
        <v>650</v>
      </c>
      <c r="F157" s="857">
        <v>1</v>
      </c>
      <c r="G157" s="917">
        <f>E157*F157</f>
        <v>650</v>
      </c>
      <c r="H157" s="1125" t="s">
        <v>3097</v>
      </c>
    </row>
    <row r="158" spans="1:8" ht="24">
      <c r="A158" s="1133">
        <v>2</v>
      </c>
      <c r="B158" s="886" t="s">
        <v>3098</v>
      </c>
      <c r="C158" s="857" t="s">
        <v>3034</v>
      </c>
      <c r="D158" s="1124" t="s">
        <v>3099</v>
      </c>
      <c r="E158" s="917">
        <v>20000</v>
      </c>
      <c r="F158" s="857">
        <v>1</v>
      </c>
      <c r="G158" s="917">
        <f>E158*F158</f>
        <v>20000</v>
      </c>
      <c r="H158" s="1125"/>
    </row>
    <row r="159" spans="1:8" ht="24">
      <c r="A159" s="1107">
        <v>3</v>
      </c>
      <c r="B159" s="886" t="s">
        <v>3100</v>
      </c>
      <c r="C159" s="857" t="s">
        <v>3034</v>
      </c>
      <c r="D159" s="1134"/>
      <c r="E159" s="917">
        <v>18000</v>
      </c>
      <c r="F159" s="857">
        <v>1</v>
      </c>
      <c r="G159" s="917">
        <f>E159*F159</f>
        <v>18000</v>
      </c>
      <c r="H159" s="861"/>
    </row>
    <row r="160" spans="1:8">
      <c r="A160" s="1128"/>
      <c r="B160" s="1102" t="s">
        <v>3048</v>
      </c>
      <c r="C160" s="1130"/>
      <c r="D160" s="1123"/>
      <c r="E160" s="918"/>
      <c r="F160" s="853"/>
      <c r="G160" s="918">
        <f t="shared" ref="G160" si="33">SUM(G157:G159)</f>
        <v>38650</v>
      </c>
      <c r="H160" s="1102"/>
    </row>
    <row r="161" spans="1:8" ht="36">
      <c r="A161" s="1113" t="s">
        <v>3101</v>
      </c>
      <c r="B161" s="877" t="s">
        <v>3102</v>
      </c>
      <c r="C161" s="873"/>
      <c r="D161" s="854"/>
      <c r="E161" s="918"/>
      <c r="F161" s="853"/>
      <c r="G161" s="918"/>
      <c r="H161" s="851"/>
    </row>
    <row r="162" spans="1:8" ht="24">
      <c r="A162" s="857">
        <v>2</v>
      </c>
      <c r="B162" s="867" t="s">
        <v>1991</v>
      </c>
      <c r="C162" s="870" t="s">
        <v>3032</v>
      </c>
      <c r="D162" s="628"/>
      <c r="E162" s="917">
        <v>700</v>
      </c>
      <c r="F162" s="857">
        <v>1</v>
      </c>
      <c r="G162" s="917">
        <f t="shared" ref="G162:G167" si="34">E162*F162</f>
        <v>700</v>
      </c>
      <c r="H162" s="861"/>
    </row>
    <row r="163" spans="1:8">
      <c r="A163" s="857">
        <v>3</v>
      </c>
      <c r="B163" s="622" t="s">
        <v>3093</v>
      </c>
      <c r="C163" s="857" t="s">
        <v>3032</v>
      </c>
      <c r="D163" s="669"/>
      <c r="E163" s="917">
        <v>1200</v>
      </c>
      <c r="F163" s="857">
        <v>1</v>
      </c>
      <c r="G163" s="917">
        <f t="shared" si="34"/>
        <v>1200</v>
      </c>
      <c r="H163" s="861"/>
    </row>
    <row r="164" spans="1:8">
      <c r="A164" s="857">
        <v>4</v>
      </c>
      <c r="B164" s="622" t="s">
        <v>3103</v>
      </c>
      <c r="C164" s="1135" t="s">
        <v>3083</v>
      </c>
      <c r="D164" s="669"/>
      <c r="E164" s="917">
        <v>900</v>
      </c>
      <c r="F164" s="857">
        <v>1</v>
      </c>
      <c r="G164" s="917">
        <f t="shared" si="34"/>
        <v>900</v>
      </c>
      <c r="H164" s="861"/>
    </row>
    <row r="165" spans="1:8">
      <c r="A165" s="857">
        <v>5</v>
      </c>
      <c r="B165" s="622" t="s">
        <v>3095</v>
      </c>
      <c r="C165" s="870" t="s">
        <v>3034</v>
      </c>
      <c r="D165" s="669" t="s">
        <v>3096</v>
      </c>
      <c r="E165" s="917">
        <v>650</v>
      </c>
      <c r="F165" s="857">
        <v>1</v>
      </c>
      <c r="G165" s="917">
        <f t="shared" si="34"/>
        <v>650</v>
      </c>
      <c r="H165" s="861"/>
    </row>
    <row r="166" spans="1:8">
      <c r="A166" s="857">
        <v>6</v>
      </c>
      <c r="B166" s="622" t="s">
        <v>3104</v>
      </c>
      <c r="C166" s="857" t="s">
        <v>3105</v>
      </c>
      <c r="D166" s="669" t="s">
        <v>3106</v>
      </c>
      <c r="E166" s="917">
        <v>380</v>
      </c>
      <c r="F166" s="857">
        <v>1</v>
      </c>
      <c r="G166" s="917">
        <f t="shared" si="34"/>
        <v>380</v>
      </c>
      <c r="H166" s="861"/>
    </row>
    <row r="167" spans="1:8" ht="24">
      <c r="A167" s="857">
        <v>8</v>
      </c>
      <c r="B167" s="867" t="s">
        <v>1994</v>
      </c>
      <c r="C167" s="857" t="s">
        <v>3034</v>
      </c>
      <c r="D167" s="669" t="s">
        <v>3107</v>
      </c>
      <c r="E167" s="917">
        <v>20000</v>
      </c>
      <c r="F167" s="857">
        <v>1</v>
      </c>
      <c r="G167" s="917">
        <f t="shared" si="34"/>
        <v>20000</v>
      </c>
      <c r="H167" s="861"/>
    </row>
    <row r="168" spans="1:8">
      <c r="A168" s="853"/>
      <c r="B168" s="1102" t="s">
        <v>3048</v>
      </c>
      <c r="C168" s="853"/>
      <c r="D168" s="872"/>
      <c r="E168" s="918"/>
      <c r="F168" s="853"/>
      <c r="G168" s="918">
        <f>SUM(G162:G167)</f>
        <v>23830</v>
      </c>
      <c r="H168" s="851"/>
    </row>
    <row r="169" spans="1:8" ht="24">
      <c r="A169" s="1128" t="s">
        <v>3108</v>
      </c>
      <c r="B169" s="1132" t="s">
        <v>1997</v>
      </c>
      <c r="C169" s="1130"/>
      <c r="D169" s="1123"/>
      <c r="E169" s="918"/>
      <c r="F169" s="853"/>
      <c r="G169" s="918"/>
      <c r="H169" s="1102"/>
    </row>
    <row r="170" spans="1:8" ht="36">
      <c r="A170" s="1107">
        <v>1</v>
      </c>
      <c r="B170" s="899" t="s">
        <v>3109</v>
      </c>
      <c r="C170" s="900" t="s">
        <v>3040</v>
      </c>
      <c r="D170" s="901" t="s">
        <v>3110</v>
      </c>
      <c r="E170" s="917">
        <v>300000</v>
      </c>
      <c r="F170" s="900">
        <v>1</v>
      </c>
      <c r="G170" s="917">
        <f>E170*F170</f>
        <v>300000</v>
      </c>
      <c r="H170" s="860" t="s">
        <v>3111</v>
      </c>
    </row>
    <row r="171" spans="1:8">
      <c r="A171" s="1128"/>
      <c r="B171" s="1102" t="s">
        <v>3048</v>
      </c>
      <c r="C171" s="1130"/>
      <c r="D171" s="1123"/>
      <c r="E171" s="918"/>
      <c r="F171" s="853"/>
      <c r="G171" s="918">
        <f t="shared" ref="G171" si="35">SUM(G170:G170)</f>
        <v>300000</v>
      </c>
      <c r="H171" s="1102"/>
    </row>
    <row r="172" spans="1:8" ht="24">
      <c r="A172" s="1128" t="s">
        <v>3112</v>
      </c>
      <c r="B172" s="1136" t="s">
        <v>3113</v>
      </c>
      <c r="C172" s="1130"/>
      <c r="D172" s="1123"/>
      <c r="E172" s="918"/>
      <c r="F172" s="853"/>
      <c r="G172" s="918"/>
      <c r="H172" s="1102"/>
    </row>
    <row r="173" spans="1:8" ht="24">
      <c r="A173" s="1107">
        <v>1</v>
      </c>
      <c r="B173" s="622" t="s">
        <v>3114</v>
      </c>
      <c r="C173" s="857" t="s">
        <v>3034</v>
      </c>
      <c r="D173" s="863"/>
      <c r="E173" s="917">
        <v>60000</v>
      </c>
      <c r="F173" s="857">
        <v>1</v>
      </c>
      <c r="G173" s="917">
        <f>E173*F173</f>
        <v>60000</v>
      </c>
      <c r="H173" s="860" t="s">
        <v>3115</v>
      </c>
    </row>
    <row r="174" spans="1:8">
      <c r="A174" s="1128"/>
      <c r="B174" s="1102" t="s">
        <v>3048</v>
      </c>
      <c r="C174" s="1130"/>
      <c r="D174" s="1123"/>
      <c r="E174" s="918"/>
      <c r="F174" s="853"/>
      <c r="G174" s="918">
        <f t="shared" ref="G174" si="36">SUM(G173:G173)</f>
        <v>60000</v>
      </c>
      <c r="H174" s="1102"/>
    </row>
    <row r="175" spans="1:8" ht="36">
      <c r="A175" s="1128" t="s">
        <v>3116</v>
      </c>
      <c r="B175" s="1132" t="s">
        <v>2001</v>
      </c>
      <c r="C175" s="1130"/>
      <c r="D175" s="1123"/>
      <c r="E175" s="918"/>
      <c r="F175" s="853"/>
      <c r="G175" s="918"/>
      <c r="H175" s="1102"/>
    </row>
    <row r="176" spans="1:8">
      <c r="A176" s="1133">
        <v>1</v>
      </c>
      <c r="B176" s="858" t="s">
        <v>2002</v>
      </c>
      <c r="C176" s="1131" t="s">
        <v>3083</v>
      </c>
      <c r="D176" s="628" t="s">
        <v>3091</v>
      </c>
      <c r="E176" s="917">
        <v>1500</v>
      </c>
      <c r="F176" s="857">
        <v>6</v>
      </c>
      <c r="G176" s="917">
        <f>E176*F176</f>
        <v>9000</v>
      </c>
      <c r="H176" s="1137"/>
    </row>
    <row r="177" spans="1:8">
      <c r="A177" s="1128"/>
      <c r="B177" s="1102" t="s">
        <v>3048</v>
      </c>
      <c r="C177" s="1130"/>
      <c r="D177" s="1123"/>
      <c r="E177" s="918"/>
      <c r="F177" s="853"/>
      <c r="G177" s="918">
        <f t="shared" ref="G177" si="37">SUM(G176:G176)</f>
        <v>9000</v>
      </c>
      <c r="H177" s="1102"/>
    </row>
    <row r="178" spans="1:8" ht="24">
      <c r="A178" s="1128" t="s">
        <v>3117</v>
      </c>
      <c r="B178" s="1132" t="s">
        <v>2004</v>
      </c>
      <c r="C178" s="1130"/>
      <c r="D178" s="1123"/>
      <c r="E178" s="918"/>
      <c r="F178" s="853"/>
      <c r="G178" s="918"/>
      <c r="H178" s="1102"/>
    </row>
    <row r="179" spans="1:8">
      <c r="A179" s="1133">
        <v>1</v>
      </c>
      <c r="B179" s="858" t="s">
        <v>2005</v>
      </c>
      <c r="C179" s="1135" t="s">
        <v>3083</v>
      </c>
      <c r="D179" s="1120"/>
      <c r="E179" s="917">
        <v>900</v>
      </c>
      <c r="F179" s="857">
        <v>3</v>
      </c>
      <c r="G179" s="917">
        <f>E179*F179</f>
        <v>2700</v>
      </c>
      <c r="H179" s="1137"/>
    </row>
    <row r="180" spans="1:8">
      <c r="A180" s="1128"/>
      <c r="B180" s="1102" t="s">
        <v>3048</v>
      </c>
      <c r="C180" s="1130"/>
      <c r="D180" s="1123"/>
      <c r="E180" s="918"/>
      <c r="F180" s="853"/>
      <c r="G180" s="918">
        <f t="shared" ref="G180" si="38">SUM(G179:G179)</f>
        <v>2700</v>
      </c>
      <c r="H180" s="1102"/>
    </row>
    <row r="181" spans="1:8" ht="24">
      <c r="A181" s="1128" t="s">
        <v>3118</v>
      </c>
      <c r="B181" s="1132" t="s">
        <v>3119</v>
      </c>
      <c r="C181" s="1130"/>
      <c r="D181" s="1123"/>
      <c r="E181" s="918"/>
      <c r="F181" s="853"/>
      <c r="G181" s="918"/>
      <c r="H181" s="1102"/>
    </row>
    <row r="182" spans="1:8">
      <c r="A182" s="1133">
        <v>1</v>
      </c>
      <c r="B182" s="858" t="s">
        <v>2005</v>
      </c>
      <c r="C182" s="1135" t="s">
        <v>3083</v>
      </c>
      <c r="D182" s="1120"/>
      <c r="E182" s="917">
        <v>900</v>
      </c>
      <c r="F182" s="857">
        <v>1</v>
      </c>
      <c r="G182" s="917">
        <f>E182*F182</f>
        <v>900</v>
      </c>
      <c r="H182" s="1137"/>
    </row>
    <row r="183" spans="1:8">
      <c r="A183" s="1107">
        <v>3</v>
      </c>
      <c r="B183" s="867" t="s">
        <v>2007</v>
      </c>
      <c r="C183" s="857" t="s">
        <v>3034</v>
      </c>
      <c r="D183" s="628" t="s">
        <v>2008</v>
      </c>
      <c r="E183" s="917">
        <v>5000</v>
      </c>
      <c r="F183" s="857">
        <v>1</v>
      </c>
      <c r="G183" s="917">
        <f>E183*F183</f>
        <v>5000</v>
      </c>
      <c r="H183" s="878"/>
    </row>
    <row r="184" spans="1:8">
      <c r="A184" s="1107">
        <v>4</v>
      </c>
      <c r="B184" s="903" t="s">
        <v>3120</v>
      </c>
      <c r="C184" s="904" t="s">
        <v>3034</v>
      </c>
      <c r="D184" s="1134" t="s">
        <v>3121</v>
      </c>
      <c r="E184" s="917">
        <v>14000</v>
      </c>
      <c r="F184" s="857">
        <v>1</v>
      </c>
      <c r="G184" s="917">
        <f>E184*F184</f>
        <v>14000</v>
      </c>
      <c r="H184" s="878"/>
    </row>
    <row r="185" spans="1:8">
      <c r="A185" s="1128"/>
      <c r="B185" s="1102" t="s">
        <v>3048</v>
      </c>
      <c r="C185" s="1130"/>
      <c r="D185" s="1123"/>
      <c r="E185" s="918"/>
      <c r="F185" s="853"/>
      <c r="G185" s="918">
        <f t="shared" ref="G185" si="39">SUM(G182:G184)</f>
        <v>19900</v>
      </c>
      <c r="H185" s="1102"/>
    </row>
    <row r="186" spans="1:8" ht="24">
      <c r="A186" s="1129" t="s">
        <v>3122</v>
      </c>
      <c r="B186" s="1132" t="s">
        <v>3123</v>
      </c>
      <c r="C186" s="1130"/>
      <c r="D186" s="1123"/>
      <c r="E186" s="918"/>
      <c r="F186" s="853"/>
      <c r="G186" s="918"/>
      <c r="H186" s="1102"/>
    </row>
    <row r="187" spans="1:8">
      <c r="A187" s="1107">
        <v>1</v>
      </c>
      <c r="B187" s="867" t="s">
        <v>2011</v>
      </c>
      <c r="C187" s="857" t="s">
        <v>3034</v>
      </c>
      <c r="D187" s="628" t="s">
        <v>3124</v>
      </c>
      <c r="E187" s="917">
        <v>260000</v>
      </c>
      <c r="F187" s="857">
        <v>1</v>
      </c>
      <c r="G187" s="917">
        <f t="shared" ref="G187:G191" si="40">E187*F187</f>
        <v>260000</v>
      </c>
      <c r="H187" s="861"/>
    </row>
    <row r="188" spans="1:8" ht="24">
      <c r="A188" s="1107">
        <v>2</v>
      </c>
      <c r="B188" s="622" t="s">
        <v>3125</v>
      </c>
      <c r="C188" s="1135" t="s">
        <v>3126</v>
      </c>
      <c r="D188" s="863"/>
      <c r="E188" s="917">
        <v>5000</v>
      </c>
      <c r="F188" s="857">
        <v>1</v>
      </c>
      <c r="G188" s="917">
        <f t="shared" si="40"/>
        <v>5000</v>
      </c>
      <c r="H188" s="861"/>
    </row>
    <row r="189" spans="1:8" ht="24">
      <c r="A189" s="1107">
        <v>4</v>
      </c>
      <c r="B189" s="1138" t="s">
        <v>3127</v>
      </c>
      <c r="C189" s="857" t="s">
        <v>3034</v>
      </c>
      <c r="D189" s="863"/>
      <c r="E189" s="917">
        <v>30000</v>
      </c>
      <c r="F189" s="857">
        <v>1</v>
      </c>
      <c r="G189" s="917">
        <f t="shared" si="40"/>
        <v>30000</v>
      </c>
      <c r="H189" s="861"/>
    </row>
    <row r="190" spans="1:8">
      <c r="A190" s="1107">
        <v>6</v>
      </c>
      <c r="B190" s="1139" t="s">
        <v>3128</v>
      </c>
      <c r="C190" s="870"/>
      <c r="D190" s="883"/>
      <c r="E190" s="917">
        <v>16000</v>
      </c>
      <c r="F190" s="857">
        <v>1</v>
      </c>
      <c r="G190" s="917">
        <f t="shared" si="40"/>
        <v>16000</v>
      </c>
      <c r="H190" s="897"/>
    </row>
    <row r="191" spans="1:8" ht="24">
      <c r="A191" s="1107">
        <v>7</v>
      </c>
      <c r="B191" s="1139" t="s">
        <v>3129</v>
      </c>
      <c r="C191" s="870"/>
      <c r="D191" s="883"/>
      <c r="E191" s="917">
        <v>5000</v>
      </c>
      <c r="F191" s="857">
        <v>1</v>
      </c>
      <c r="G191" s="917">
        <f t="shared" si="40"/>
        <v>5000</v>
      </c>
      <c r="H191" s="897"/>
    </row>
    <row r="192" spans="1:8">
      <c r="A192" s="1110"/>
      <c r="B192" s="1102" t="s">
        <v>3048</v>
      </c>
      <c r="C192" s="873"/>
      <c r="D192" s="905"/>
      <c r="E192" s="918"/>
      <c r="F192" s="853"/>
      <c r="G192" s="918">
        <f>SUM(G187:G191)</f>
        <v>316000</v>
      </c>
      <c r="H192" s="851"/>
    </row>
    <row r="193" spans="1:8" ht="36">
      <c r="A193" s="1106" t="s">
        <v>3130</v>
      </c>
      <c r="B193" s="865" t="s">
        <v>3131</v>
      </c>
      <c r="C193" s="853"/>
      <c r="D193" s="905"/>
      <c r="E193" s="918"/>
      <c r="F193" s="853"/>
      <c r="G193" s="918"/>
      <c r="H193" s="851"/>
    </row>
    <row r="194" spans="1:8" ht="36">
      <c r="A194" s="1107">
        <v>1</v>
      </c>
      <c r="B194" s="908" t="s">
        <v>3132</v>
      </c>
      <c r="C194" s="904" t="s">
        <v>2015</v>
      </c>
      <c r="D194" s="1140" t="s">
        <v>3133</v>
      </c>
      <c r="E194" s="917">
        <v>140000</v>
      </c>
      <c r="F194" s="857">
        <v>1</v>
      </c>
      <c r="G194" s="917">
        <f>E194*F194</f>
        <v>140000</v>
      </c>
      <c r="H194" s="669"/>
    </row>
    <row r="195" spans="1:8">
      <c r="A195" s="1107">
        <v>2</v>
      </c>
      <c r="B195" s="899" t="s">
        <v>3134</v>
      </c>
      <c r="C195" s="900" t="s">
        <v>3034</v>
      </c>
      <c r="D195" s="906" t="s">
        <v>3135</v>
      </c>
      <c r="E195" s="917">
        <v>30000</v>
      </c>
      <c r="F195" s="900">
        <v>1</v>
      </c>
      <c r="G195" s="917">
        <f t="shared" ref="G195:G198" si="41">E195*F195</f>
        <v>30000</v>
      </c>
      <c r="H195" s="861"/>
    </row>
    <row r="196" spans="1:8" ht="24">
      <c r="A196" s="1107">
        <v>4</v>
      </c>
      <c r="B196" s="886" t="s">
        <v>3136</v>
      </c>
      <c r="C196" s="1109" t="s">
        <v>3126</v>
      </c>
      <c r="D196" s="907" t="s">
        <v>3137</v>
      </c>
      <c r="E196" s="917">
        <v>8000</v>
      </c>
      <c r="F196" s="857">
        <v>1</v>
      </c>
      <c r="G196" s="917">
        <f t="shared" si="41"/>
        <v>8000</v>
      </c>
      <c r="H196" s="861"/>
    </row>
    <row r="197" spans="1:8">
      <c r="A197" s="1107">
        <v>5</v>
      </c>
      <c r="B197" s="867" t="s">
        <v>3138</v>
      </c>
      <c r="C197" s="857" t="s">
        <v>3085</v>
      </c>
      <c r="D197" s="628" t="s">
        <v>3139</v>
      </c>
      <c r="E197" s="917">
        <v>110540</v>
      </c>
      <c r="F197" s="857">
        <v>1</v>
      </c>
      <c r="G197" s="917">
        <f t="shared" si="41"/>
        <v>110540</v>
      </c>
      <c r="H197" s="861"/>
    </row>
    <row r="198" spans="1:8" ht="36">
      <c r="A198" s="1107">
        <v>6</v>
      </c>
      <c r="B198" s="908" t="s">
        <v>2021</v>
      </c>
      <c r="C198" s="904" t="s">
        <v>2022</v>
      </c>
      <c r="D198" s="897" t="s">
        <v>3140</v>
      </c>
      <c r="E198" s="917">
        <v>90000</v>
      </c>
      <c r="F198" s="857">
        <v>1</v>
      </c>
      <c r="G198" s="917">
        <f t="shared" si="41"/>
        <v>90000</v>
      </c>
      <c r="H198" s="861"/>
    </row>
    <row r="199" spans="1:8">
      <c r="A199" s="1107">
        <v>7</v>
      </c>
      <c r="B199" s="908" t="s">
        <v>3141</v>
      </c>
      <c r="C199" s="909" t="s">
        <v>3142</v>
      </c>
      <c r="D199" s="897"/>
      <c r="E199" s="917">
        <v>150000</v>
      </c>
      <c r="F199" s="900">
        <v>1</v>
      </c>
      <c r="G199" s="917">
        <v>0</v>
      </c>
      <c r="H199" s="861"/>
    </row>
    <row r="200" spans="1:8">
      <c r="A200" s="853"/>
      <c r="B200" s="851" t="s">
        <v>3048</v>
      </c>
      <c r="C200" s="853"/>
      <c r="D200" s="854"/>
      <c r="E200" s="918"/>
      <c r="F200" s="853"/>
      <c r="G200" s="918">
        <f>SUM(G194:G199)</f>
        <v>378540</v>
      </c>
      <c r="H200" s="851"/>
    </row>
    <row r="201" spans="1:8">
      <c r="A201" s="857"/>
      <c r="B201" s="851" t="s">
        <v>3143</v>
      </c>
      <c r="C201" s="857"/>
      <c r="D201" s="669"/>
      <c r="E201" s="917"/>
      <c r="F201" s="853"/>
      <c r="G201" s="918">
        <f>SUM(G200,G192,G185,G180,G177,G174,G171,G168,G160,G155,G151,G148,G142,G136,G129,G122,G116,G107,G98,G92,G85,G78,G75,G72,G68,G52)</f>
        <v>3315000</v>
      </c>
      <c r="H201" s="1141"/>
    </row>
    <row r="202" spans="1:8" ht="24.75">
      <c r="A202" s="1142"/>
      <c r="B202" s="871"/>
      <c r="C202" s="857"/>
      <c r="D202" s="669"/>
      <c r="E202" s="917"/>
      <c r="F202" s="857"/>
      <c r="G202" s="918">
        <f>G201*0.9</f>
        <v>2983500</v>
      </c>
      <c r="H202" s="912" t="s">
        <v>3144</v>
      </c>
    </row>
  </sheetData>
  <autoFilter ref="A2:M42"/>
  <mergeCells count="9">
    <mergeCell ref="A1:N1"/>
    <mergeCell ref="A44:H44"/>
    <mergeCell ref="A45:A46"/>
    <mergeCell ref="B45:B46"/>
    <mergeCell ref="C45:C46"/>
    <mergeCell ref="D45:D46"/>
    <mergeCell ref="E45:E46"/>
    <mergeCell ref="F45:G45"/>
    <mergeCell ref="H45:H46"/>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workbookViewId="0">
      <selection sqref="A1:XFD1048576"/>
    </sheetView>
  </sheetViews>
  <sheetFormatPr defaultColWidth="8.875" defaultRowHeight="15"/>
  <cols>
    <col min="1" max="1" width="4.5" style="1152" customWidth="1"/>
    <col min="2" max="2" width="7.25" style="1152" customWidth="1"/>
    <col min="3" max="3" width="9.5" style="1153" customWidth="1"/>
    <col min="4" max="4" width="17.25" style="1154" customWidth="1"/>
    <col min="5" max="5" width="13.375" style="1154" customWidth="1"/>
    <col min="6" max="6" width="18.25" style="1154" customWidth="1"/>
    <col min="7" max="7" width="20.625" style="1154" customWidth="1"/>
    <col min="8" max="8" width="6.875" style="1154" customWidth="1"/>
    <col min="9" max="9" width="7.75" style="1155" customWidth="1"/>
    <col min="10" max="10" width="5.25" style="1153" customWidth="1"/>
    <col min="11" max="11" width="14.75" style="1155" customWidth="1"/>
    <col min="12" max="12" width="13.25" style="1152" customWidth="1"/>
    <col min="13" max="13" width="9.375" style="1152" customWidth="1"/>
    <col min="14" max="14" width="12.75" style="1152" customWidth="1"/>
    <col min="15" max="16384" width="8.875" style="1152"/>
  </cols>
  <sheetData>
    <row r="1" spans="1:14" s="689" customFormat="1" ht="30" customHeight="1">
      <c r="A1" s="1540" t="s">
        <v>2623</v>
      </c>
      <c r="B1" s="1540"/>
      <c r="C1" s="1540"/>
      <c r="D1" s="1540"/>
      <c r="E1" s="1540"/>
      <c r="F1" s="1540"/>
      <c r="G1" s="1540"/>
      <c r="H1" s="1540"/>
      <c r="I1" s="1540"/>
      <c r="J1" s="1540"/>
      <c r="K1" s="1540"/>
      <c r="L1" s="1481"/>
      <c r="M1" s="1481"/>
      <c r="N1" s="1481"/>
    </row>
    <row r="2" spans="1:14" s="933" customFormat="1" ht="36">
      <c r="A2" s="934" t="s">
        <v>2559</v>
      </c>
      <c r="B2" s="559" t="s">
        <v>2784</v>
      </c>
      <c r="C2" s="559" t="s">
        <v>2785</v>
      </c>
      <c r="D2" s="935" t="s">
        <v>2560</v>
      </c>
      <c r="E2" s="936" t="s">
        <v>180</v>
      </c>
      <c r="F2" s="936" t="s">
        <v>575</v>
      </c>
      <c r="G2" s="935" t="s">
        <v>576</v>
      </c>
      <c r="H2" s="935" t="s">
        <v>577</v>
      </c>
      <c r="I2" s="936" t="s">
        <v>579</v>
      </c>
      <c r="J2" s="936" t="s">
        <v>578</v>
      </c>
      <c r="K2" s="936" t="s">
        <v>580</v>
      </c>
      <c r="L2" s="937" t="s">
        <v>2579</v>
      </c>
      <c r="M2" s="562" t="s">
        <v>2783</v>
      </c>
      <c r="N2" s="936" t="s">
        <v>1889</v>
      </c>
    </row>
    <row r="3" spans="1:14" s="689" customFormat="1" ht="20.100000000000001" customHeight="1">
      <c r="A3" s="739">
        <v>1</v>
      </c>
      <c r="B3" s="739" t="s">
        <v>2635</v>
      </c>
      <c r="C3" s="739" t="s">
        <v>2541</v>
      </c>
      <c r="D3" s="740" t="s">
        <v>2636</v>
      </c>
      <c r="E3" s="740" t="s">
        <v>2536</v>
      </c>
      <c r="F3" s="1143" t="s">
        <v>2603</v>
      </c>
      <c r="G3" s="1143" t="s">
        <v>2603</v>
      </c>
      <c r="H3" s="740"/>
      <c r="I3" s="741">
        <v>140000</v>
      </c>
      <c r="J3" s="739">
        <v>1</v>
      </c>
      <c r="K3" s="741">
        <f>I3*J3</f>
        <v>140000</v>
      </c>
      <c r="L3" s="708">
        <f>K3</f>
        <v>140000</v>
      </c>
      <c r="M3" s="708">
        <f>K3-L3</f>
        <v>0</v>
      </c>
      <c r="N3" s="708"/>
    </row>
    <row r="4" spans="1:14" s="689" customFormat="1" ht="20.100000000000001" customHeight="1">
      <c r="A4" s="685"/>
      <c r="B4" s="708"/>
      <c r="C4" s="685"/>
      <c r="D4" s="685" t="s">
        <v>2543</v>
      </c>
      <c r="E4" s="1144"/>
      <c r="F4" s="1144"/>
      <c r="G4" s="1144"/>
      <c r="H4" s="1144"/>
      <c r="I4" s="713"/>
      <c r="J4" s="685"/>
      <c r="K4" s="713">
        <f>SUM(K3:K3)</f>
        <v>140000</v>
      </c>
      <c r="L4" s="1145">
        <f t="shared" ref="L4:L15" si="0">K4</f>
        <v>140000</v>
      </c>
      <c r="M4" s="708">
        <f>K4-L4</f>
        <v>0</v>
      </c>
      <c r="N4" s="708"/>
    </row>
    <row r="5" spans="1:14" s="689" customFormat="1" ht="20.100000000000001" customHeight="1">
      <c r="A5" s="739">
        <v>2</v>
      </c>
      <c r="B5" s="739" t="s">
        <v>2533</v>
      </c>
      <c r="C5" s="739" t="s">
        <v>2260</v>
      </c>
      <c r="D5" s="740" t="s">
        <v>813</v>
      </c>
      <c r="E5" s="740" t="s">
        <v>2536</v>
      </c>
      <c r="F5" s="1143" t="s">
        <v>2563</v>
      </c>
      <c r="G5" s="1143" t="s">
        <v>2563</v>
      </c>
      <c r="H5" s="740"/>
      <c r="I5" s="741">
        <v>140000</v>
      </c>
      <c r="J5" s="739">
        <v>1</v>
      </c>
      <c r="K5" s="741">
        <f>I5*J5</f>
        <v>140000</v>
      </c>
      <c r="L5" s="708">
        <f t="shared" si="0"/>
        <v>140000</v>
      </c>
      <c r="M5" s="708">
        <f>K5-L5</f>
        <v>0</v>
      </c>
      <c r="N5" s="708"/>
    </row>
    <row r="6" spans="1:14" s="689" customFormat="1" ht="20.100000000000001" customHeight="1">
      <c r="A6" s="685"/>
      <c r="B6" s="708"/>
      <c r="C6" s="685"/>
      <c r="D6" s="685" t="s">
        <v>2564</v>
      </c>
      <c r="E6" s="1144"/>
      <c r="F6" s="1144"/>
      <c r="G6" s="1144"/>
      <c r="H6" s="1144"/>
      <c r="I6" s="713"/>
      <c r="J6" s="685"/>
      <c r="K6" s="713">
        <f>SUM(K5:K5)</f>
        <v>140000</v>
      </c>
      <c r="L6" s="713">
        <f t="shared" ref="L6:M6" si="1">SUM(L5:L5)</f>
        <v>140000</v>
      </c>
      <c r="M6" s="713">
        <f t="shared" si="1"/>
        <v>0</v>
      </c>
      <c r="N6" s="713"/>
    </row>
    <row r="7" spans="1:14" s="933" customFormat="1" ht="20.100000000000001" customHeight="1">
      <c r="A7" s="949">
        <v>3</v>
      </c>
      <c r="B7" s="949" t="s">
        <v>2624</v>
      </c>
      <c r="C7" s="949" t="s">
        <v>2625</v>
      </c>
      <c r="D7" s="938" t="s">
        <v>2626</v>
      </c>
      <c r="E7" s="1013" t="s">
        <v>2536</v>
      </c>
      <c r="F7" s="939" t="s">
        <v>2627</v>
      </c>
      <c r="G7" s="939" t="s">
        <v>2627</v>
      </c>
      <c r="H7" s="1005"/>
      <c r="I7" s="940">
        <v>757598</v>
      </c>
      <c r="J7" s="949">
        <v>1</v>
      </c>
      <c r="K7" s="940">
        <f>J7*I7</f>
        <v>757598</v>
      </c>
      <c r="L7" s="941">
        <f t="shared" si="0"/>
        <v>757598</v>
      </c>
      <c r="M7" s="941">
        <f>K7-L7</f>
        <v>0</v>
      </c>
      <c r="N7" s="939" t="s">
        <v>2780</v>
      </c>
    </row>
    <row r="8" spans="1:14" s="689" customFormat="1" ht="20.100000000000001" customHeight="1">
      <c r="A8" s="739">
        <v>3</v>
      </c>
      <c r="B8" s="739" t="s">
        <v>2624</v>
      </c>
      <c r="C8" s="739" t="s">
        <v>2625</v>
      </c>
      <c r="D8" s="740" t="s">
        <v>2626</v>
      </c>
      <c r="E8" s="1146" t="s">
        <v>2536</v>
      </c>
      <c r="F8" s="704" t="s">
        <v>2628</v>
      </c>
      <c r="G8" s="704" t="s">
        <v>2628</v>
      </c>
      <c r="H8" s="706" t="s">
        <v>2629</v>
      </c>
      <c r="I8" s="741">
        <v>497545</v>
      </c>
      <c r="J8" s="739">
        <v>1</v>
      </c>
      <c r="K8" s="741">
        <f t="shared" ref="K8" si="2">J8*I8</f>
        <v>497545</v>
      </c>
      <c r="L8" s="708">
        <f t="shared" si="0"/>
        <v>497545</v>
      </c>
      <c r="M8" s="708">
        <f>K8-L8</f>
        <v>0</v>
      </c>
      <c r="N8" s="939" t="s">
        <v>2780</v>
      </c>
    </row>
    <row r="9" spans="1:14" s="689" customFormat="1" ht="20.100000000000001" customHeight="1">
      <c r="A9" s="739">
        <v>3</v>
      </c>
      <c r="B9" s="739" t="s">
        <v>2624</v>
      </c>
      <c r="C9" s="739" t="s">
        <v>2625</v>
      </c>
      <c r="D9" s="740" t="s">
        <v>2626</v>
      </c>
      <c r="E9" s="1146" t="s">
        <v>2536</v>
      </c>
      <c r="F9" s="740" t="s">
        <v>2630</v>
      </c>
      <c r="G9" s="740" t="s">
        <v>2630</v>
      </c>
      <c r="H9" s="740" t="s">
        <v>2038</v>
      </c>
      <c r="I9" s="741">
        <v>190000</v>
      </c>
      <c r="J9" s="739">
        <v>1</v>
      </c>
      <c r="K9" s="741">
        <f>I9*J9</f>
        <v>190000</v>
      </c>
      <c r="L9" s="708">
        <f t="shared" si="0"/>
        <v>190000</v>
      </c>
      <c r="M9" s="708">
        <f>K9-L9</f>
        <v>0</v>
      </c>
      <c r="N9" s="743"/>
    </row>
    <row r="10" spans="1:14" s="689" customFormat="1" ht="20.100000000000001" customHeight="1">
      <c r="A10" s="685"/>
      <c r="B10" s="708"/>
      <c r="C10" s="685"/>
      <c r="D10" s="685" t="s">
        <v>2564</v>
      </c>
      <c r="E10" s="1144"/>
      <c r="F10" s="1144"/>
      <c r="G10" s="1144"/>
      <c r="H10" s="1144"/>
      <c r="I10" s="713"/>
      <c r="J10" s="685"/>
      <c r="K10" s="713">
        <f>SUM(K7:K9)</f>
        <v>1445143</v>
      </c>
      <c r="L10" s="713">
        <f t="shared" ref="L10:M10" si="3">SUM(L7:L9)</f>
        <v>1445143</v>
      </c>
      <c r="M10" s="713">
        <f t="shared" si="3"/>
        <v>0</v>
      </c>
      <c r="N10" s="1144"/>
    </row>
    <row r="11" spans="1:14" s="689" customFormat="1" ht="20.100000000000001" customHeight="1">
      <c r="A11" s="715">
        <v>4</v>
      </c>
      <c r="B11" s="715" t="s">
        <v>2624</v>
      </c>
      <c r="C11" s="1147" t="s">
        <v>2565</v>
      </c>
      <c r="D11" s="1146" t="s">
        <v>2631</v>
      </c>
      <c r="E11" s="1146" t="s">
        <v>2536</v>
      </c>
      <c r="F11" s="1148" t="s">
        <v>2632</v>
      </c>
      <c r="G11" s="1148" t="s">
        <v>2632</v>
      </c>
      <c r="H11" s="740" t="s">
        <v>2038</v>
      </c>
      <c r="I11" s="1149">
        <v>100000</v>
      </c>
      <c r="J11" s="715">
        <v>1</v>
      </c>
      <c r="K11" s="1149">
        <v>100000</v>
      </c>
      <c r="L11" s="708">
        <f t="shared" si="0"/>
        <v>100000</v>
      </c>
      <c r="M11" s="708">
        <f>K11-L11</f>
        <v>0</v>
      </c>
      <c r="N11" s="743"/>
    </row>
    <row r="12" spans="1:14" s="689" customFormat="1" ht="20.100000000000001" customHeight="1">
      <c r="A12" s="721"/>
      <c r="B12" s="721"/>
      <c r="C12" s="1147"/>
      <c r="D12" s="685" t="s">
        <v>2564</v>
      </c>
      <c r="E12" s="1150"/>
      <c r="F12" s="1150"/>
      <c r="G12" s="1144"/>
      <c r="H12" s="1144"/>
      <c r="I12" s="726"/>
      <c r="J12" s="721"/>
      <c r="K12" s="726">
        <f>SUM(K11:K11)</f>
        <v>100000</v>
      </c>
      <c r="L12" s="726">
        <f t="shared" ref="L12:M12" si="4">SUM(L11:L11)</f>
        <v>100000</v>
      </c>
      <c r="M12" s="726">
        <f t="shared" si="4"/>
        <v>0</v>
      </c>
      <c r="N12" s="1150"/>
    </row>
    <row r="13" spans="1:14" s="689" customFormat="1" ht="20.100000000000001" customHeight="1">
      <c r="A13" s="715">
        <v>5</v>
      </c>
      <c r="B13" s="715" t="s">
        <v>2624</v>
      </c>
      <c r="C13" s="1147" t="s">
        <v>2565</v>
      </c>
      <c r="D13" s="1146" t="s">
        <v>2633</v>
      </c>
      <c r="E13" s="1146" t="s">
        <v>2536</v>
      </c>
      <c r="F13" s="740" t="s">
        <v>2634</v>
      </c>
      <c r="G13" s="740" t="s">
        <v>2634</v>
      </c>
      <c r="H13" s="740"/>
      <c r="I13" s="1149">
        <v>13000</v>
      </c>
      <c r="J13" s="715">
        <v>17</v>
      </c>
      <c r="K13" s="1149">
        <f>I13*J13</f>
        <v>221000</v>
      </c>
      <c r="L13" s="708">
        <f t="shared" si="0"/>
        <v>221000</v>
      </c>
      <c r="M13" s="708">
        <f>K13-L13</f>
        <v>0</v>
      </c>
      <c r="N13" s="743"/>
    </row>
    <row r="14" spans="1:14" s="689" customFormat="1" ht="20.100000000000001" customHeight="1">
      <c r="A14" s="721"/>
      <c r="B14" s="721"/>
      <c r="C14" s="1147"/>
      <c r="D14" s="685" t="s">
        <v>2564</v>
      </c>
      <c r="E14" s="1150"/>
      <c r="F14" s="1150"/>
      <c r="G14" s="1150"/>
      <c r="H14" s="1144"/>
      <c r="I14" s="726"/>
      <c r="J14" s="721"/>
      <c r="K14" s="726">
        <f>SUM(K13:K13)</f>
        <v>221000</v>
      </c>
      <c r="L14" s="726">
        <f t="shared" ref="L14:M14" si="5">SUM(L13:L13)</f>
        <v>221000</v>
      </c>
      <c r="M14" s="726">
        <f t="shared" si="5"/>
        <v>0</v>
      </c>
      <c r="N14" s="1150"/>
    </row>
    <row r="15" spans="1:14" s="689" customFormat="1" ht="20.100000000000001" customHeight="1">
      <c r="A15" s="715">
        <v>6</v>
      </c>
      <c r="B15" s="1151" t="s">
        <v>2533</v>
      </c>
      <c r="C15" s="1151" t="s">
        <v>2040</v>
      </c>
      <c r="D15" s="1151" t="s">
        <v>2534</v>
      </c>
      <c r="E15" s="1146" t="s">
        <v>2536</v>
      </c>
      <c r="F15" s="1148" t="s">
        <v>2569</v>
      </c>
      <c r="G15" s="1148" t="s">
        <v>2570</v>
      </c>
      <c r="H15" s="1144"/>
      <c r="I15" s="1149">
        <v>7600</v>
      </c>
      <c r="J15" s="715">
        <v>36</v>
      </c>
      <c r="K15" s="1149">
        <f>J15*I15</f>
        <v>273600</v>
      </c>
      <c r="L15" s="708">
        <f t="shared" si="0"/>
        <v>273600</v>
      </c>
      <c r="M15" s="708">
        <f>K15-L15</f>
        <v>0</v>
      </c>
      <c r="N15" s="1148"/>
    </row>
    <row r="16" spans="1:14" s="689" customFormat="1" ht="20.100000000000001" customHeight="1">
      <c r="A16" s="721"/>
      <c r="B16" s="721"/>
      <c r="C16" s="1147"/>
      <c r="D16" s="685" t="s">
        <v>2564</v>
      </c>
      <c r="E16" s="1150"/>
      <c r="F16" s="1150"/>
      <c r="G16" s="1144"/>
      <c r="H16" s="1144"/>
      <c r="I16" s="726"/>
      <c r="J16" s="721"/>
      <c r="K16" s="726">
        <f>SUM(K15:K15)</f>
        <v>273600</v>
      </c>
      <c r="L16" s="726">
        <f t="shared" ref="L16:M16" si="6">SUM(L15:L15)</f>
        <v>273600</v>
      </c>
      <c r="M16" s="726">
        <f t="shared" si="6"/>
        <v>0</v>
      </c>
      <c r="N16" s="726"/>
    </row>
    <row r="17" spans="1:14" s="689" customFormat="1" ht="20.100000000000001" customHeight="1">
      <c r="A17" s="739"/>
      <c r="B17" s="708"/>
      <c r="C17" s="739"/>
      <c r="D17" s="685" t="s">
        <v>2571</v>
      </c>
      <c r="E17" s="740"/>
      <c r="F17" s="740"/>
      <c r="G17" s="740"/>
      <c r="H17" s="740"/>
      <c r="I17" s="741"/>
      <c r="J17" s="739"/>
      <c r="K17" s="713">
        <f>SUM(K3:K16)/2</f>
        <v>2319743</v>
      </c>
      <c r="L17" s="713">
        <f t="shared" ref="L17:M17" si="7">SUM(L3:L16)/2</f>
        <v>2319743</v>
      </c>
      <c r="M17" s="713">
        <f t="shared" si="7"/>
        <v>0</v>
      </c>
      <c r="N17" s="713"/>
    </row>
  </sheetData>
  <mergeCells count="1">
    <mergeCell ref="A1:N1"/>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workbookViewId="0">
      <selection activeCell="I6" sqref="I6:K6"/>
    </sheetView>
  </sheetViews>
  <sheetFormatPr defaultRowHeight="14.25"/>
  <cols>
    <col min="1" max="1" width="5.625" style="1206" customWidth="1"/>
    <col min="2" max="2" width="4.875" style="1206" customWidth="1"/>
    <col min="3" max="3" width="24.375" style="1206" customWidth="1"/>
    <col min="4" max="4" width="14.625" style="1206" customWidth="1"/>
    <col min="5" max="5" width="14.625" style="1207" customWidth="1"/>
    <col min="6" max="6" width="15.25" style="1207" customWidth="1"/>
    <col min="7" max="7" width="13.625" style="1206" customWidth="1"/>
    <col min="8" max="8" width="10.75" style="1206" customWidth="1"/>
    <col min="9" max="9" width="14.5" style="1206" customWidth="1"/>
    <col min="10" max="10" width="14.125" style="1206" customWidth="1"/>
    <col min="11" max="11" width="15.875" style="1208" customWidth="1"/>
    <col min="12" max="16384" width="9" style="1189"/>
  </cols>
  <sheetData>
    <row r="1" spans="1:14" ht="30" customHeight="1">
      <c r="A1" s="1541" t="s">
        <v>1318</v>
      </c>
      <c r="B1" s="1541"/>
      <c r="C1" s="1541"/>
      <c r="D1" s="1541"/>
      <c r="E1" s="1541"/>
      <c r="F1" s="1541"/>
      <c r="G1" s="1541"/>
      <c r="H1" s="1541"/>
      <c r="I1" s="1541"/>
      <c r="J1" s="1541"/>
      <c r="K1" s="1541"/>
    </row>
    <row r="2" spans="1:14" s="1196" customFormat="1" ht="46.5" customHeight="1">
      <c r="A2" s="1190" t="s">
        <v>1319</v>
      </c>
      <c r="B2" s="1191" t="s">
        <v>0</v>
      </c>
      <c r="C2" s="1191" t="s">
        <v>1085</v>
      </c>
      <c r="D2" s="1190" t="s">
        <v>1320</v>
      </c>
      <c r="E2" s="1192" t="s">
        <v>1321</v>
      </c>
      <c r="F2" s="1193" t="s">
        <v>1086</v>
      </c>
      <c r="G2" s="1193" t="s">
        <v>1322</v>
      </c>
      <c r="H2" s="1191" t="s">
        <v>1323</v>
      </c>
      <c r="I2" s="1191" t="s">
        <v>1324</v>
      </c>
      <c r="J2" s="1194" t="s">
        <v>1325</v>
      </c>
      <c r="K2" s="1195" t="s">
        <v>3298</v>
      </c>
    </row>
    <row r="3" spans="1:14" s="1196" customFormat="1" ht="39.950000000000003" customHeight="1">
      <c r="A3" s="1190" t="s">
        <v>3300</v>
      </c>
      <c r="B3" s="1191">
        <v>1</v>
      </c>
      <c r="C3" s="1193" t="s">
        <v>3301</v>
      </c>
      <c r="D3" s="1198">
        <v>2012</v>
      </c>
      <c r="E3" s="1198" t="s">
        <v>3302</v>
      </c>
      <c r="F3" s="1198" t="s">
        <v>3303</v>
      </c>
      <c r="G3" s="1198" t="s">
        <v>3304</v>
      </c>
      <c r="H3" s="1198" t="s">
        <v>3299</v>
      </c>
      <c r="I3" s="515">
        <v>642194</v>
      </c>
      <c r="J3" s="1200">
        <v>641893</v>
      </c>
      <c r="K3" s="1199">
        <v>190411</v>
      </c>
    </row>
    <row r="4" spans="1:14" s="1196" customFormat="1" ht="39.950000000000003" customHeight="1">
      <c r="A4" s="1190" t="s">
        <v>11</v>
      </c>
      <c r="B4" s="1198">
        <v>1</v>
      </c>
      <c r="C4" s="1198" t="s">
        <v>3305</v>
      </c>
      <c r="D4" s="1198">
        <v>1990</v>
      </c>
      <c r="E4" s="1198" t="s">
        <v>3306</v>
      </c>
      <c r="F4" s="1198" t="s">
        <v>3307</v>
      </c>
      <c r="G4" s="1198" t="s">
        <v>1334</v>
      </c>
      <c r="H4" s="1193" t="s">
        <v>1327</v>
      </c>
      <c r="I4" s="1201">
        <v>202346</v>
      </c>
      <c r="J4" s="1202">
        <v>202209</v>
      </c>
      <c r="K4" s="1205">
        <v>53053.37</v>
      </c>
    </row>
    <row r="5" spans="1:14" ht="39.950000000000003" customHeight="1">
      <c r="A5" s="1190" t="s">
        <v>3308</v>
      </c>
      <c r="B5" s="1198">
        <v>1</v>
      </c>
      <c r="C5" s="1197" t="s">
        <v>3309</v>
      </c>
      <c r="D5" s="1198">
        <v>1999</v>
      </c>
      <c r="E5" s="1197" t="s">
        <v>3310</v>
      </c>
      <c r="F5" s="1197" t="s">
        <v>3311</v>
      </c>
      <c r="G5" s="1197" t="s">
        <v>1330</v>
      </c>
      <c r="H5" s="1192" t="s">
        <v>1335</v>
      </c>
      <c r="I5" s="1203">
        <v>1311639</v>
      </c>
      <c r="J5" s="1204">
        <v>1307023</v>
      </c>
      <c r="K5" s="1205">
        <v>326921</v>
      </c>
      <c r="N5" s="1196"/>
    </row>
    <row r="6" spans="1:14" ht="39.950000000000003" customHeight="1">
      <c r="A6" s="1190"/>
      <c r="B6" s="1190"/>
      <c r="C6" s="1190" t="s">
        <v>3442</v>
      </c>
      <c r="D6" s="1190"/>
      <c r="E6" s="1192"/>
      <c r="F6" s="1192"/>
      <c r="G6" s="1190"/>
      <c r="H6" s="1190"/>
      <c r="I6" s="1251">
        <f t="shared" ref="I6:J6" si="0">SUM(I3:I5)</f>
        <v>2156179</v>
      </c>
      <c r="J6" s="1251">
        <f t="shared" si="0"/>
        <v>2151125</v>
      </c>
      <c r="K6" s="1251">
        <f>SUM(K3:K5)</f>
        <v>570385.37</v>
      </c>
    </row>
  </sheetData>
  <mergeCells count="1">
    <mergeCell ref="A1:K1"/>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
  <sheetViews>
    <sheetView workbookViewId="0">
      <selection activeCell="F6" sqref="F6"/>
    </sheetView>
  </sheetViews>
  <sheetFormatPr defaultRowHeight="13.5"/>
  <cols>
    <col min="1" max="1" width="5.5" style="1209" customWidth="1"/>
    <col min="2" max="2" width="4.375" style="1249" customWidth="1"/>
    <col min="3" max="3" width="9.125" style="1249" customWidth="1"/>
    <col min="4" max="4" width="8" style="1249" customWidth="1"/>
    <col min="5" max="5" width="11.375" style="1249" customWidth="1"/>
    <col min="6" max="6" width="23.375" style="1249" customWidth="1"/>
    <col min="7" max="7" width="9" style="1249"/>
    <col min="8" max="8" width="9.25" style="1249" bestFit="1" customWidth="1"/>
    <col min="9" max="9" width="10.75" style="1249" customWidth="1"/>
    <col min="10" max="10" width="12.875" style="1249" customWidth="1"/>
    <col min="11" max="11" width="14.5" style="1249" customWidth="1"/>
    <col min="12" max="12" width="9" style="1209"/>
    <col min="13" max="13" width="9.5" style="1209" bestFit="1" customWidth="1"/>
    <col min="14" max="257" width="9" style="1209"/>
    <col min="258" max="258" width="4.375" style="1209" customWidth="1"/>
    <col min="259" max="259" width="7.25" style="1209" customWidth="1"/>
    <col min="260" max="260" width="8" style="1209" customWidth="1"/>
    <col min="261" max="261" width="11.375" style="1209" customWidth="1"/>
    <col min="262" max="262" width="23.375" style="1209" customWidth="1"/>
    <col min="263" max="263" width="9" style="1209"/>
    <col min="264" max="264" width="9.25" style="1209" bestFit="1" customWidth="1"/>
    <col min="265" max="265" width="10.75" style="1209" customWidth="1"/>
    <col min="266" max="266" width="12.875" style="1209" customWidth="1"/>
    <col min="267" max="267" width="16.25" style="1209" customWidth="1"/>
    <col min="268" max="268" width="9" style="1209"/>
    <col min="269" max="269" width="9.5" style="1209" bestFit="1" customWidth="1"/>
    <col min="270" max="513" width="9" style="1209"/>
    <col min="514" max="514" width="4.375" style="1209" customWidth="1"/>
    <col min="515" max="515" width="7.25" style="1209" customWidth="1"/>
    <col min="516" max="516" width="8" style="1209" customWidth="1"/>
    <col min="517" max="517" width="11.375" style="1209" customWidth="1"/>
    <col min="518" max="518" width="23.375" style="1209" customWidth="1"/>
    <col min="519" max="519" width="9" style="1209"/>
    <col min="520" max="520" width="9.25" style="1209" bestFit="1" customWidth="1"/>
    <col min="521" max="521" width="10.75" style="1209" customWidth="1"/>
    <col min="522" max="522" width="12.875" style="1209" customWidth="1"/>
    <col min="523" max="523" width="16.25" style="1209" customWidth="1"/>
    <col min="524" max="524" width="9" style="1209"/>
    <col min="525" max="525" width="9.5" style="1209" bestFit="1" customWidth="1"/>
    <col min="526" max="769" width="9" style="1209"/>
    <col min="770" max="770" width="4.375" style="1209" customWidth="1"/>
    <col min="771" max="771" width="7.25" style="1209" customWidth="1"/>
    <col min="772" max="772" width="8" style="1209" customWidth="1"/>
    <col min="773" max="773" width="11.375" style="1209" customWidth="1"/>
    <col min="774" max="774" width="23.375" style="1209" customWidth="1"/>
    <col min="775" max="775" width="9" style="1209"/>
    <col min="776" max="776" width="9.25" style="1209" bestFit="1" customWidth="1"/>
    <col min="777" max="777" width="10.75" style="1209" customWidth="1"/>
    <col min="778" max="778" width="12.875" style="1209" customWidth="1"/>
    <col min="779" max="779" width="16.25" style="1209" customWidth="1"/>
    <col min="780" max="780" width="9" style="1209"/>
    <col min="781" max="781" width="9.5" style="1209" bestFit="1" customWidth="1"/>
    <col min="782" max="1025" width="9" style="1209"/>
    <col min="1026" max="1026" width="4.375" style="1209" customWidth="1"/>
    <col min="1027" max="1027" width="7.25" style="1209" customWidth="1"/>
    <col min="1028" max="1028" width="8" style="1209" customWidth="1"/>
    <col min="1029" max="1029" width="11.375" style="1209" customWidth="1"/>
    <col min="1030" max="1030" width="23.375" style="1209" customWidth="1"/>
    <col min="1031" max="1031" width="9" style="1209"/>
    <col min="1032" max="1032" width="9.25" style="1209" bestFit="1" customWidth="1"/>
    <col min="1033" max="1033" width="10.75" style="1209" customWidth="1"/>
    <col min="1034" max="1034" width="12.875" style="1209" customWidth="1"/>
    <col min="1035" max="1035" width="16.25" style="1209" customWidth="1"/>
    <col min="1036" max="1036" width="9" style="1209"/>
    <col min="1037" max="1037" width="9.5" style="1209" bestFit="1" customWidth="1"/>
    <col min="1038" max="1281" width="9" style="1209"/>
    <col min="1282" max="1282" width="4.375" style="1209" customWidth="1"/>
    <col min="1283" max="1283" width="7.25" style="1209" customWidth="1"/>
    <col min="1284" max="1284" width="8" style="1209" customWidth="1"/>
    <col min="1285" max="1285" width="11.375" style="1209" customWidth="1"/>
    <col min="1286" max="1286" width="23.375" style="1209" customWidth="1"/>
    <col min="1287" max="1287" width="9" style="1209"/>
    <col min="1288" max="1288" width="9.25" style="1209" bestFit="1" customWidth="1"/>
    <col min="1289" max="1289" width="10.75" style="1209" customWidth="1"/>
    <col min="1290" max="1290" width="12.875" style="1209" customWidth="1"/>
    <col min="1291" max="1291" width="16.25" style="1209" customWidth="1"/>
    <col min="1292" max="1292" width="9" style="1209"/>
    <col min="1293" max="1293" width="9.5" style="1209" bestFit="1" customWidth="1"/>
    <col min="1294" max="1537" width="9" style="1209"/>
    <col min="1538" max="1538" width="4.375" style="1209" customWidth="1"/>
    <col min="1539" max="1539" width="7.25" style="1209" customWidth="1"/>
    <col min="1540" max="1540" width="8" style="1209" customWidth="1"/>
    <col min="1541" max="1541" width="11.375" style="1209" customWidth="1"/>
    <col min="1542" max="1542" width="23.375" style="1209" customWidth="1"/>
    <col min="1543" max="1543" width="9" style="1209"/>
    <col min="1544" max="1544" width="9.25" style="1209" bestFit="1" customWidth="1"/>
    <col min="1545" max="1545" width="10.75" style="1209" customWidth="1"/>
    <col min="1546" max="1546" width="12.875" style="1209" customWidth="1"/>
    <col min="1547" max="1547" width="16.25" style="1209" customWidth="1"/>
    <col min="1548" max="1548" width="9" style="1209"/>
    <col min="1549" max="1549" width="9.5" style="1209" bestFit="1" customWidth="1"/>
    <col min="1550" max="1793" width="9" style="1209"/>
    <col min="1794" max="1794" width="4.375" style="1209" customWidth="1"/>
    <col min="1795" max="1795" width="7.25" style="1209" customWidth="1"/>
    <col min="1796" max="1796" width="8" style="1209" customWidth="1"/>
    <col min="1797" max="1797" width="11.375" style="1209" customWidth="1"/>
    <col min="1798" max="1798" width="23.375" style="1209" customWidth="1"/>
    <col min="1799" max="1799" width="9" style="1209"/>
    <col min="1800" max="1800" width="9.25" style="1209" bestFit="1" customWidth="1"/>
    <col min="1801" max="1801" width="10.75" style="1209" customWidth="1"/>
    <col min="1802" max="1802" width="12.875" style="1209" customWidth="1"/>
    <col min="1803" max="1803" width="16.25" style="1209" customWidth="1"/>
    <col min="1804" max="1804" width="9" style="1209"/>
    <col min="1805" max="1805" width="9.5" style="1209" bestFit="1" customWidth="1"/>
    <col min="1806" max="2049" width="9" style="1209"/>
    <col min="2050" max="2050" width="4.375" style="1209" customWidth="1"/>
    <col min="2051" max="2051" width="7.25" style="1209" customWidth="1"/>
    <col min="2052" max="2052" width="8" style="1209" customWidth="1"/>
    <col min="2053" max="2053" width="11.375" style="1209" customWidth="1"/>
    <col min="2054" max="2054" width="23.375" style="1209" customWidth="1"/>
    <col min="2055" max="2055" width="9" style="1209"/>
    <col min="2056" max="2056" width="9.25" style="1209" bestFit="1" customWidth="1"/>
    <col min="2057" max="2057" width="10.75" style="1209" customWidth="1"/>
    <col min="2058" max="2058" width="12.875" style="1209" customWidth="1"/>
    <col min="2059" max="2059" width="16.25" style="1209" customWidth="1"/>
    <col min="2060" max="2060" width="9" style="1209"/>
    <col min="2061" max="2061" width="9.5" style="1209" bestFit="1" customWidth="1"/>
    <col min="2062" max="2305" width="9" style="1209"/>
    <col min="2306" max="2306" width="4.375" style="1209" customWidth="1"/>
    <col min="2307" max="2307" width="7.25" style="1209" customWidth="1"/>
    <col min="2308" max="2308" width="8" style="1209" customWidth="1"/>
    <col min="2309" max="2309" width="11.375" style="1209" customWidth="1"/>
    <col min="2310" max="2310" width="23.375" style="1209" customWidth="1"/>
    <col min="2311" max="2311" width="9" style="1209"/>
    <col min="2312" max="2312" width="9.25" style="1209" bestFit="1" customWidth="1"/>
    <col min="2313" max="2313" width="10.75" style="1209" customWidth="1"/>
    <col min="2314" max="2314" width="12.875" style="1209" customWidth="1"/>
    <col min="2315" max="2315" width="16.25" style="1209" customWidth="1"/>
    <col min="2316" max="2316" width="9" style="1209"/>
    <col min="2317" max="2317" width="9.5" style="1209" bestFit="1" customWidth="1"/>
    <col min="2318" max="2561" width="9" style="1209"/>
    <col min="2562" max="2562" width="4.375" style="1209" customWidth="1"/>
    <col min="2563" max="2563" width="7.25" style="1209" customWidth="1"/>
    <col min="2564" max="2564" width="8" style="1209" customWidth="1"/>
    <col min="2565" max="2565" width="11.375" style="1209" customWidth="1"/>
    <col min="2566" max="2566" width="23.375" style="1209" customWidth="1"/>
    <col min="2567" max="2567" width="9" style="1209"/>
    <col min="2568" max="2568" width="9.25" style="1209" bestFit="1" customWidth="1"/>
    <col min="2569" max="2569" width="10.75" style="1209" customWidth="1"/>
    <col min="2570" max="2570" width="12.875" style="1209" customWidth="1"/>
    <col min="2571" max="2571" width="16.25" style="1209" customWidth="1"/>
    <col min="2572" max="2572" width="9" style="1209"/>
    <col min="2573" max="2573" width="9.5" style="1209" bestFit="1" customWidth="1"/>
    <col min="2574" max="2817" width="9" style="1209"/>
    <col min="2818" max="2818" width="4.375" style="1209" customWidth="1"/>
    <col min="2819" max="2819" width="7.25" style="1209" customWidth="1"/>
    <col min="2820" max="2820" width="8" style="1209" customWidth="1"/>
    <col min="2821" max="2821" width="11.375" style="1209" customWidth="1"/>
    <col min="2822" max="2822" width="23.375" style="1209" customWidth="1"/>
    <col min="2823" max="2823" width="9" style="1209"/>
    <col min="2824" max="2824" width="9.25" style="1209" bestFit="1" customWidth="1"/>
    <col min="2825" max="2825" width="10.75" style="1209" customWidth="1"/>
    <col min="2826" max="2826" width="12.875" style="1209" customWidth="1"/>
    <col min="2827" max="2827" width="16.25" style="1209" customWidth="1"/>
    <col min="2828" max="2828" width="9" style="1209"/>
    <col min="2829" max="2829" width="9.5" style="1209" bestFit="1" customWidth="1"/>
    <col min="2830" max="3073" width="9" style="1209"/>
    <col min="3074" max="3074" width="4.375" style="1209" customWidth="1"/>
    <col min="3075" max="3075" width="7.25" style="1209" customWidth="1"/>
    <col min="3076" max="3076" width="8" style="1209" customWidth="1"/>
    <col min="3077" max="3077" width="11.375" style="1209" customWidth="1"/>
    <col min="3078" max="3078" width="23.375" style="1209" customWidth="1"/>
    <col min="3079" max="3079" width="9" style="1209"/>
    <col min="3080" max="3080" width="9.25" style="1209" bestFit="1" customWidth="1"/>
    <col min="3081" max="3081" width="10.75" style="1209" customWidth="1"/>
    <col min="3082" max="3082" width="12.875" style="1209" customWidth="1"/>
    <col min="3083" max="3083" width="16.25" style="1209" customWidth="1"/>
    <col min="3084" max="3084" width="9" style="1209"/>
    <col min="3085" max="3085" width="9.5" style="1209" bestFit="1" customWidth="1"/>
    <col min="3086" max="3329" width="9" style="1209"/>
    <col min="3330" max="3330" width="4.375" style="1209" customWidth="1"/>
    <col min="3331" max="3331" width="7.25" style="1209" customWidth="1"/>
    <col min="3332" max="3332" width="8" style="1209" customWidth="1"/>
    <col min="3333" max="3333" width="11.375" style="1209" customWidth="1"/>
    <col min="3334" max="3334" width="23.375" style="1209" customWidth="1"/>
    <col min="3335" max="3335" width="9" style="1209"/>
    <col min="3336" max="3336" width="9.25" style="1209" bestFit="1" customWidth="1"/>
    <col min="3337" max="3337" width="10.75" style="1209" customWidth="1"/>
    <col min="3338" max="3338" width="12.875" style="1209" customWidth="1"/>
    <col min="3339" max="3339" width="16.25" style="1209" customWidth="1"/>
    <col min="3340" max="3340" width="9" style="1209"/>
    <col min="3341" max="3341" width="9.5" style="1209" bestFit="1" customWidth="1"/>
    <col min="3342" max="3585" width="9" style="1209"/>
    <col min="3586" max="3586" width="4.375" style="1209" customWidth="1"/>
    <col min="3587" max="3587" width="7.25" style="1209" customWidth="1"/>
    <col min="3588" max="3588" width="8" style="1209" customWidth="1"/>
    <col min="3589" max="3589" width="11.375" style="1209" customWidth="1"/>
    <col min="3590" max="3590" width="23.375" style="1209" customWidth="1"/>
    <col min="3591" max="3591" width="9" style="1209"/>
    <col min="3592" max="3592" width="9.25" style="1209" bestFit="1" customWidth="1"/>
    <col min="3593" max="3593" width="10.75" style="1209" customWidth="1"/>
    <col min="3594" max="3594" width="12.875" style="1209" customWidth="1"/>
    <col min="3595" max="3595" width="16.25" style="1209" customWidth="1"/>
    <col min="3596" max="3596" width="9" style="1209"/>
    <col min="3597" max="3597" width="9.5" style="1209" bestFit="1" customWidth="1"/>
    <col min="3598" max="3841" width="9" style="1209"/>
    <col min="3842" max="3842" width="4.375" style="1209" customWidth="1"/>
    <col min="3843" max="3843" width="7.25" style="1209" customWidth="1"/>
    <col min="3844" max="3844" width="8" style="1209" customWidth="1"/>
    <col min="3845" max="3845" width="11.375" style="1209" customWidth="1"/>
    <col min="3846" max="3846" width="23.375" style="1209" customWidth="1"/>
    <col min="3847" max="3847" width="9" style="1209"/>
    <col min="3848" max="3848" width="9.25" style="1209" bestFit="1" customWidth="1"/>
    <col min="3849" max="3849" width="10.75" style="1209" customWidth="1"/>
    <col min="3850" max="3850" width="12.875" style="1209" customWidth="1"/>
    <col min="3851" max="3851" width="16.25" style="1209" customWidth="1"/>
    <col min="3852" max="3852" width="9" style="1209"/>
    <col min="3853" max="3853" width="9.5" style="1209" bestFit="1" customWidth="1"/>
    <col min="3854" max="4097" width="9" style="1209"/>
    <col min="4098" max="4098" width="4.375" style="1209" customWidth="1"/>
    <col min="4099" max="4099" width="7.25" style="1209" customWidth="1"/>
    <col min="4100" max="4100" width="8" style="1209" customWidth="1"/>
    <col min="4101" max="4101" width="11.375" style="1209" customWidth="1"/>
    <col min="4102" max="4102" width="23.375" style="1209" customWidth="1"/>
    <col min="4103" max="4103" width="9" style="1209"/>
    <col min="4104" max="4104" width="9.25" style="1209" bestFit="1" customWidth="1"/>
    <col min="4105" max="4105" width="10.75" style="1209" customWidth="1"/>
    <col min="4106" max="4106" width="12.875" style="1209" customWidth="1"/>
    <col min="4107" max="4107" width="16.25" style="1209" customWidth="1"/>
    <col min="4108" max="4108" width="9" style="1209"/>
    <col min="4109" max="4109" width="9.5" style="1209" bestFit="1" customWidth="1"/>
    <col min="4110" max="4353" width="9" style="1209"/>
    <col min="4354" max="4354" width="4.375" style="1209" customWidth="1"/>
    <col min="4355" max="4355" width="7.25" style="1209" customWidth="1"/>
    <col min="4356" max="4356" width="8" style="1209" customWidth="1"/>
    <col min="4357" max="4357" width="11.375" style="1209" customWidth="1"/>
    <col min="4358" max="4358" width="23.375" style="1209" customWidth="1"/>
    <col min="4359" max="4359" width="9" style="1209"/>
    <col min="4360" max="4360" width="9.25" style="1209" bestFit="1" customWidth="1"/>
    <col min="4361" max="4361" width="10.75" style="1209" customWidth="1"/>
    <col min="4362" max="4362" width="12.875" style="1209" customWidth="1"/>
    <col min="4363" max="4363" width="16.25" style="1209" customWidth="1"/>
    <col min="4364" max="4364" width="9" style="1209"/>
    <col min="4365" max="4365" width="9.5" style="1209" bestFit="1" customWidth="1"/>
    <col min="4366" max="4609" width="9" style="1209"/>
    <col min="4610" max="4610" width="4.375" style="1209" customWidth="1"/>
    <col min="4611" max="4611" width="7.25" style="1209" customWidth="1"/>
    <col min="4612" max="4612" width="8" style="1209" customWidth="1"/>
    <col min="4613" max="4613" width="11.375" style="1209" customWidth="1"/>
    <col min="4614" max="4614" width="23.375" style="1209" customWidth="1"/>
    <col min="4615" max="4615" width="9" style="1209"/>
    <col min="4616" max="4616" width="9.25" style="1209" bestFit="1" customWidth="1"/>
    <col min="4617" max="4617" width="10.75" style="1209" customWidth="1"/>
    <col min="4618" max="4618" width="12.875" style="1209" customWidth="1"/>
    <col min="4619" max="4619" width="16.25" style="1209" customWidth="1"/>
    <col min="4620" max="4620" width="9" style="1209"/>
    <col min="4621" max="4621" width="9.5" style="1209" bestFit="1" customWidth="1"/>
    <col min="4622" max="4865" width="9" style="1209"/>
    <col min="4866" max="4866" width="4.375" style="1209" customWidth="1"/>
    <col min="4867" max="4867" width="7.25" style="1209" customWidth="1"/>
    <col min="4868" max="4868" width="8" style="1209" customWidth="1"/>
    <col min="4869" max="4869" width="11.375" style="1209" customWidth="1"/>
    <col min="4870" max="4870" width="23.375" style="1209" customWidth="1"/>
    <col min="4871" max="4871" width="9" style="1209"/>
    <col min="4872" max="4872" width="9.25" style="1209" bestFit="1" customWidth="1"/>
    <col min="4873" max="4873" width="10.75" style="1209" customWidth="1"/>
    <col min="4874" max="4874" width="12.875" style="1209" customWidth="1"/>
    <col min="4875" max="4875" width="16.25" style="1209" customWidth="1"/>
    <col min="4876" max="4876" width="9" style="1209"/>
    <col min="4877" max="4877" width="9.5" style="1209" bestFit="1" customWidth="1"/>
    <col min="4878" max="5121" width="9" style="1209"/>
    <col min="5122" max="5122" width="4.375" style="1209" customWidth="1"/>
    <col min="5123" max="5123" width="7.25" style="1209" customWidth="1"/>
    <col min="5124" max="5124" width="8" style="1209" customWidth="1"/>
    <col min="5125" max="5125" width="11.375" style="1209" customWidth="1"/>
    <col min="5126" max="5126" width="23.375" style="1209" customWidth="1"/>
    <col min="5127" max="5127" width="9" style="1209"/>
    <col min="5128" max="5128" width="9.25" style="1209" bestFit="1" customWidth="1"/>
    <col min="5129" max="5129" width="10.75" style="1209" customWidth="1"/>
    <col min="5130" max="5130" width="12.875" style="1209" customWidth="1"/>
    <col min="5131" max="5131" width="16.25" style="1209" customWidth="1"/>
    <col min="5132" max="5132" width="9" style="1209"/>
    <col min="5133" max="5133" width="9.5" style="1209" bestFit="1" customWidth="1"/>
    <col min="5134" max="5377" width="9" style="1209"/>
    <col min="5378" max="5378" width="4.375" style="1209" customWidth="1"/>
    <col min="5379" max="5379" width="7.25" style="1209" customWidth="1"/>
    <col min="5380" max="5380" width="8" style="1209" customWidth="1"/>
    <col min="5381" max="5381" width="11.375" style="1209" customWidth="1"/>
    <col min="5382" max="5382" width="23.375" style="1209" customWidth="1"/>
    <col min="5383" max="5383" width="9" style="1209"/>
    <col min="5384" max="5384" width="9.25" style="1209" bestFit="1" customWidth="1"/>
    <col min="5385" max="5385" width="10.75" style="1209" customWidth="1"/>
    <col min="5386" max="5386" width="12.875" style="1209" customWidth="1"/>
    <col min="5387" max="5387" width="16.25" style="1209" customWidth="1"/>
    <col min="5388" max="5388" width="9" style="1209"/>
    <col min="5389" max="5389" width="9.5" style="1209" bestFit="1" customWidth="1"/>
    <col min="5390" max="5633" width="9" style="1209"/>
    <col min="5634" max="5634" width="4.375" style="1209" customWidth="1"/>
    <col min="5635" max="5635" width="7.25" style="1209" customWidth="1"/>
    <col min="5636" max="5636" width="8" style="1209" customWidth="1"/>
    <col min="5637" max="5637" width="11.375" style="1209" customWidth="1"/>
    <col min="5638" max="5638" width="23.375" style="1209" customWidth="1"/>
    <col min="5639" max="5639" width="9" style="1209"/>
    <col min="5640" max="5640" width="9.25" style="1209" bestFit="1" customWidth="1"/>
    <col min="5641" max="5641" width="10.75" style="1209" customWidth="1"/>
    <col min="5642" max="5642" width="12.875" style="1209" customWidth="1"/>
    <col min="5643" max="5643" width="16.25" style="1209" customWidth="1"/>
    <col min="5644" max="5644" width="9" style="1209"/>
    <col min="5645" max="5645" width="9.5" style="1209" bestFit="1" customWidth="1"/>
    <col min="5646" max="5889" width="9" style="1209"/>
    <col min="5890" max="5890" width="4.375" style="1209" customWidth="1"/>
    <col min="5891" max="5891" width="7.25" style="1209" customWidth="1"/>
    <col min="5892" max="5892" width="8" style="1209" customWidth="1"/>
    <col min="5893" max="5893" width="11.375" style="1209" customWidth="1"/>
    <col min="5894" max="5894" width="23.375" style="1209" customWidth="1"/>
    <col min="5895" max="5895" width="9" style="1209"/>
    <col min="5896" max="5896" width="9.25" style="1209" bestFit="1" customWidth="1"/>
    <col min="5897" max="5897" width="10.75" style="1209" customWidth="1"/>
    <col min="5898" max="5898" width="12.875" style="1209" customWidth="1"/>
    <col min="5899" max="5899" width="16.25" style="1209" customWidth="1"/>
    <col min="5900" max="5900" width="9" style="1209"/>
    <col min="5901" max="5901" width="9.5" style="1209" bestFit="1" customWidth="1"/>
    <col min="5902" max="6145" width="9" style="1209"/>
    <col min="6146" max="6146" width="4.375" style="1209" customWidth="1"/>
    <col min="6147" max="6147" width="7.25" style="1209" customWidth="1"/>
    <col min="6148" max="6148" width="8" style="1209" customWidth="1"/>
    <col min="6149" max="6149" width="11.375" style="1209" customWidth="1"/>
    <col min="6150" max="6150" width="23.375" style="1209" customWidth="1"/>
    <col min="6151" max="6151" width="9" style="1209"/>
    <col min="6152" max="6152" width="9.25" style="1209" bestFit="1" customWidth="1"/>
    <col min="6153" max="6153" width="10.75" style="1209" customWidth="1"/>
    <col min="6154" max="6154" width="12.875" style="1209" customWidth="1"/>
    <col min="6155" max="6155" width="16.25" style="1209" customWidth="1"/>
    <col min="6156" max="6156" width="9" style="1209"/>
    <col min="6157" max="6157" width="9.5" style="1209" bestFit="1" customWidth="1"/>
    <col min="6158" max="6401" width="9" style="1209"/>
    <col min="6402" max="6402" width="4.375" style="1209" customWidth="1"/>
    <col min="6403" max="6403" width="7.25" style="1209" customWidth="1"/>
    <col min="6404" max="6404" width="8" style="1209" customWidth="1"/>
    <col min="6405" max="6405" width="11.375" style="1209" customWidth="1"/>
    <col min="6406" max="6406" width="23.375" style="1209" customWidth="1"/>
    <col min="6407" max="6407" width="9" style="1209"/>
    <col min="6408" max="6408" width="9.25" style="1209" bestFit="1" customWidth="1"/>
    <col min="6409" max="6409" width="10.75" style="1209" customWidth="1"/>
    <col min="6410" max="6410" width="12.875" style="1209" customWidth="1"/>
    <col min="6411" max="6411" width="16.25" style="1209" customWidth="1"/>
    <col min="6412" max="6412" width="9" style="1209"/>
    <col min="6413" max="6413" width="9.5" style="1209" bestFit="1" customWidth="1"/>
    <col min="6414" max="6657" width="9" style="1209"/>
    <col min="6658" max="6658" width="4.375" style="1209" customWidth="1"/>
    <col min="6659" max="6659" width="7.25" style="1209" customWidth="1"/>
    <col min="6660" max="6660" width="8" style="1209" customWidth="1"/>
    <col min="6661" max="6661" width="11.375" style="1209" customWidth="1"/>
    <col min="6662" max="6662" width="23.375" style="1209" customWidth="1"/>
    <col min="6663" max="6663" width="9" style="1209"/>
    <col min="6664" max="6664" width="9.25" style="1209" bestFit="1" customWidth="1"/>
    <col min="6665" max="6665" width="10.75" style="1209" customWidth="1"/>
    <col min="6666" max="6666" width="12.875" style="1209" customWidth="1"/>
    <col min="6667" max="6667" width="16.25" style="1209" customWidth="1"/>
    <col min="6668" max="6668" width="9" style="1209"/>
    <col min="6669" max="6669" width="9.5" style="1209" bestFit="1" customWidth="1"/>
    <col min="6670" max="6913" width="9" style="1209"/>
    <col min="6914" max="6914" width="4.375" style="1209" customWidth="1"/>
    <col min="6915" max="6915" width="7.25" style="1209" customWidth="1"/>
    <col min="6916" max="6916" width="8" style="1209" customWidth="1"/>
    <col min="6917" max="6917" width="11.375" style="1209" customWidth="1"/>
    <col min="6918" max="6918" width="23.375" style="1209" customWidth="1"/>
    <col min="6919" max="6919" width="9" style="1209"/>
    <col min="6920" max="6920" width="9.25" style="1209" bestFit="1" customWidth="1"/>
    <col min="6921" max="6921" width="10.75" style="1209" customWidth="1"/>
    <col min="6922" max="6922" width="12.875" style="1209" customWidth="1"/>
    <col min="6923" max="6923" width="16.25" style="1209" customWidth="1"/>
    <col min="6924" max="6924" width="9" style="1209"/>
    <col min="6925" max="6925" width="9.5" style="1209" bestFit="1" customWidth="1"/>
    <col min="6926" max="7169" width="9" style="1209"/>
    <col min="7170" max="7170" width="4.375" style="1209" customWidth="1"/>
    <col min="7171" max="7171" width="7.25" style="1209" customWidth="1"/>
    <col min="7172" max="7172" width="8" style="1209" customWidth="1"/>
    <col min="7173" max="7173" width="11.375" style="1209" customWidth="1"/>
    <col min="7174" max="7174" width="23.375" style="1209" customWidth="1"/>
    <col min="7175" max="7175" width="9" style="1209"/>
    <col min="7176" max="7176" width="9.25" style="1209" bestFit="1" customWidth="1"/>
    <col min="7177" max="7177" width="10.75" style="1209" customWidth="1"/>
    <col min="7178" max="7178" width="12.875" style="1209" customWidth="1"/>
    <col min="7179" max="7179" width="16.25" style="1209" customWidth="1"/>
    <col min="7180" max="7180" width="9" style="1209"/>
    <col min="7181" max="7181" width="9.5" style="1209" bestFit="1" customWidth="1"/>
    <col min="7182" max="7425" width="9" style="1209"/>
    <col min="7426" max="7426" width="4.375" style="1209" customWidth="1"/>
    <col min="7427" max="7427" width="7.25" style="1209" customWidth="1"/>
    <col min="7428" max="7428" width="8" style="1209" customWidth="1"/>
    <col min="7429" max="7429" width="11.375" style="1209" customWidth="1"/>
    <col min="7430" max="7430" width="23.375" style="1209" customWidth="1"/>
    <col min="7431" max="7431" width="9" style="1209"/>
    <col min="7432" max="7432" width="9.25" style="1209" bestFit="1" customWidth="1"/>
    <col min="7433" max="7433" width="10.75" style="1209" customWidth="1"/>
    <col min="7434" max="7434" width="12.875" style="1209" customWidth="1"/>
    <col min="7435" max="7435" width="16.25" style="1209" customWidth="1"/>
    <col min="7436" max="7436" width="9" style="1209"/>
    <col min="7437" max="7437" width="9.5" style="1209" bestFit="1" customWidth="1"/>
    <col min="7438" max="7681" width="9" style="1209"/>
    <col min="7682" max="7682" width="4.375" style="1209" customWidth="1"/>
    <col min="7683" max="7683" width="7.25" style="1209" customWidth="1"/>
    <col min="7684" max="7684" width="8" style="1209" customWidth="1"/>
    <col min="7685" max="7685" width="11.375" style="1209" customWidth="1"/>
    <col min="7686" max="7686" width="23.375" style="1209" customWidth="1"/>
    <col min="7687" max="7687" width="9" style="1209"/>
    <col min="7688" max="7688" width="9.25" style="1209" bestFit="1" customWidth="1"/>
    <col min="7689" max="7689" width="10.75" style="1209" customWidth="1"/>
    <col min="7690" max="7690" width="12.875" style="1209" customWidth="1"/>
    <col min="7691" max="7691" width="16.25" style="1209" customWidth="1"/>
    <col min="7692" max="7692" width="9" style="1209"/>
    <col min="7693" max="7693" width="9.5" style="1209" bestFit="1" customWidth="1"/>
    <col min="7694" max="7937" width="9" style="1209"/>
    <col min="7938" max="7938" width="4.375" style="1209" customWidth="1"/>
    <col min="7939" max="7939" width="7.25" style="1209" customWidth="1"/>
    <col min="7940" max="7940" width="8" style="1209" customWidth="1"/>
    <col min="7941" max="7941" width="11.375" style="1209" customWidth="1"/>
    <col min="7942" max="7942" width="23.375" style="1209" customWidth="1"/>
    <col min="7943" max="7943" width="9" style="1209"/>
    <col min="7944" max="7944" width="9.25" style="1209" bestFit="1" customWidth="1"/>
    <col min="7945" max="7945" width="10.75" style="1209" customWidth="1"/>
    <col min="7946" max="7946" width="12.875" style="1209" customWidth="1"/>
    <col min="7947" max="7947" width="16.25" style="1209" customWidth="1"/>
    <col min="7948" max="7948" width="9" style="1209"/>
    <col min="7949" max="7949" width="9.5" style="1209" bestFit="1" customWidth="1"/>
    <col min="7950" max="8193" width="9" style="1209"/>
    <col min="8194" max="8194" width="4.375" style="1209" customWidth="1"/>
    <col min="8195" max="8195" width="7.25" style="1209" customWidth="1"/>
    <col min="8196" max="8196" width="8" style="1209" customWidth="1"/>
    <col min="8197" max="8197" width="11.375" style="1209" customWidth="1"/>
    <col min="8198" max="8198" width="23.375" style="1209" customWidth="1"/>
    <col min="8199" max="8199" width="9" style="1209"/>
    <col min="8200" max="8200" width="9.25" style="1209" bestFit="1" customWidth="1"/>
    <col min="8201" max="8201" width="10.75" style="1209" customWidth="1"/>
    <col min="8202" max="8202" width="12.875" style="1209" customWidth="1"/>
    <col min="8203" max="8203" width="16.25" style="1209" customWidth="1"/>
    <col min="8204" max="8204" width="9" style="1209"/>
    <col min="8205" max="8205" width="9.5" style="1209" bestFit="1" customWidth="1"/>
    <col min="8206" max="8449" width="9" style="1209"/>
    <col min="8450" max="8450" width="4.375" style="1209" customWidth="1"/>
    <col min="8451" max="8451" width="7.25" style="1209" customWidth="1"/>
    <col min="8452" max="8452" width="8" style="1209" customWidth="1"/>
    <col min="8453" max="8453" width="11.375" style="1209" customWidth="1"/>
    <col min="8454" max="8454" width="23.375" style="1209" customWidth="1"/>
    <col min="8455" max="8455" width="9" style="1209"/>
    <col min="8456" max="8456" width="9.25" style="1209" bestFit="1" customWidth="1"/>
    <col min="8457" max="8457" width="10.75" style="1209" customWidth="1"/>
    <col min="8458" max="8458" width="12.875" style="1209" customWidth="1"/>
    <col min="8459" max="8459" width="16.25" style="1209" customWidth="1"/>
    <col min="8460" max="8460" width="9" style="1209"/>
    <col min="8461" max="8461" width="9.5" style="1209" bestFit="1" customWidth="1"/>
    <col min="8462" max="8705" width="9" style="1209"/>
    <col min="8706" max="8706" width="4.375" style="1209" customWidth="1"/>
    <col min="8707" max="8707" width="7.25" style="1209" customWidth="1"/>
    <col min="8708" max="8708" width="8" style="1209" customWidth="1"/>
    <col min="8709" max="8709" width="11.375" style="1209" customWidth="1"/>
    <col min="8710" max="8710" width="23.375" style="1209" customWidth="1"/>
    <col min="8711" max="8711" width="9" style="1209"/>
    <col min="8712" max="8712" width="9.25" style="1209" bestFit="1" customWidth="1"/>
    <col min="8713" max="8713" width="10.75" style="1209" customWidth="1"/>
    <col min="8714" max="8714" width="12.875" style="1209" customWidth="1"/>
    <col min="8715" max="8715" width="16.25" style="1209" customWidth="1"/>
    <col min="8716" max="8716" width="9" style="1209"/>
    <col min="8717" max="8717" width="9.5" style="1209" bestFit="1" customWidth="1"/>
    <col min="8718" max="8961" width="9" style="1209"/>
    <col min="8962" max="8962" width="4.375" style="1209" customWidth="1"/>
    <col min="8963" max="8963" width="7.25" style="1209" customWidth="1"/>
    <col min="8964" max="8964" width="8" style="1209" customWidth="1"/>
    <col min="8965" max="8965" width="11.375" style="1209" customWidth="1"/>
    <col min="8966" max="8966" width="23.375" style="1209" customWidth="1"/>
    <col min="8967" max="8967" width="9" style="1209"/>
    <col min="8968" max="8968" width="9.25" style="1209" bestFit="1" customWidth="1"/>
    <col min="8969" max="8969" width="10.75" style="1209" customWidth="1"/>
    <col min="8970" max="8970" width="12.875" style="1209" customWidth="1"/>
    <col min="8971" max="8971" width="16.25" style="1209" customWidth="1"/>
    <col min="8972" max="8972" width="9" style="1209"/>
    <col min="8973" max="8973" width="9.5" style="1209" bestFit="1" customWidth="1"/>
    <col min="8974" max="9217" width="9" style="1209"/>
    <col min="9218" max="9218" width="4.375" style="1209" customWidth="1"/>
    <col min="9219" max="9219" width="7.25" style="1209" customWidth="1"/>
    <col min="9220" max="9220" width="8" style="1209" customWidth="1"/>
    <col min="9221" max="9221" width="11.375" style="1209" customWidth="1"/>
    <col min="9222" max="9222" width="23.375" style="1209" customWidth="1"/>
    <col min="9223" max="9223" width="9" style="1209"/>
    <col min="9224" max="9224" width="9.25" style="1209" bestFit="1" customWidth="1"/>
    <col min="9225" max="9225" width="10.75" style="1209" customWidth="1"/>
    <col min="9226" max="9226" width="12.875" style="1209" customWidth="1"/>
    <col min="9227" max="9227" width="16.25" style="1209" customWidth="1"/>
    <col min="9228" max="9228" width="9" style="1209"/>
    <col min="9229" max="9229" width="9.5" style="1209" bestFit="1" customWidth="1"/>
    <col min="9230" max="9473" width="9" style="1209"/>
    <col min="9474" max="9474" width="4.375" style="1209" customWidth="1"/>
    <col min="9475" max="9475" width="7.25" style="1209" customWidth="1"/>
    <col min="9476" max="9476" width="8" style="1209" customWidth="1"/>
    <col min="9477" max="9477" width="11.375" style="1209" customWidth="1"/>
    <col min="9478" max="9478" width="23.375" style="1209" customWidth="1"/>
    <col min="9479" max="9479" width="9" style="1209"/>
    <col min="9480" max="9480" width="9.25" style="1209" bestFit="1" customWidth="1"/>
    <col min="9481" max="9481" width="10.75" style="1209" customWidth="1"/>
    <col min="9482" max="9482" width="12.875" style="1209" customWidth="1"/>
    <col min="9483" max="9483" width="16.25" style="1209" customWidth="1"/>
    <col min="9484" max="9484" width="9" style="1209"/>
    <col min="9485" max="9485" width="9.5" style="1209" bestFit="1" customWidth="1"/>
    <col min="9486" max="9729" width="9" style="1209"/>
    <col min="9730" max="9730" width="4.375" style="1209" customWidth="1"/>
    <col min="9731" max="9731" width="7.25" style="1209" customWidth="1"/>
    <col min="9732" max="9732" width="8" style="1209" customWidth="1"/>
    <col min="9733" max="9733" width="11.375" style="1209" customWidth="1"/>
    <col min="9734" max="9734" width="23.375" style="1209" customWidth="1"/>
    <col min="9735" max="9735" width="9" style="1209"/>
    <col min="9736" max="9736" width="9.25" style="1209" bestFit="1" customWidth="1"/>
    <col min="9737" max="9737" width="10.75" style="1209" customWidth="1"/>
    <col min="9738" max="9738" width="12.875" style="1209" customWidth="1"/>
    <col min="9739" max="9739" width="16.25" style="1209" customWidth="1"/>
    <col min="9740" max="9740" width="9" style="1209"/>
    <col min="9741" max="9741" width="9.5" style="1209" bestFit="1" customWidth="1"/>
    <col min="9742" max="9985" width="9" style="1209"/>
    <col min="9986" max="9986" width="4.375" style="1209" customWidth="1"/>
    <col min="9987" max="9987" width="7.25" style="1209" customWidth="1"/>
    <col min="9988" max="9988" width="8" style="1209" customWidth="1"/>
    <col min="9989" max="9989" width="11.375" style="1209" customWidth="1"/>
    <col min="9990" max="9990" width="23.375" style="1209" customWidth="1"/>
    <col min="9991" max="9991" width="9" style="1209"/>
    <col min="9992" max="9992" width="9.25" style="1209" bestFit="1" customWidth="1"/>
    <col min="9993" max="9993" width="10.75" style="1209" customWidth="1"/>
    <col min="9994" max="9994" width="12.875" style="1209" customWidth="1"/>
    <col min="9995" max="9995" width="16.25" style="1209" customWidth="1"/>
    <col min="9996" max="9996" width="9" style="1209"/>
    <col min="9997" max="9997" width="9.5" style="1209" bestFit="1" customWidth="1"/>
    <col min="9998" max="10241" width="9" style="1209"/>
    <col min="10242" max="10242" width="4.375" style="1209" customWidth="1"/>
    <col min="10243" max="10243" width="7.25" style="1209" customWidth="1"/>
    <col min="10244" max="10244" width="8" style="1209" customWidth="1"/>
    <col min="10245" max="10245" width="11.375" style="1209" customWidth="1"/>
    <col min="10246" max="10246" width="23.375" style="1209" customWidth="1"/>
    <col min="10247" max="10247" width="9" style="1209"/>
    <col min="10248" max="10248" width="9.25" style="1209" bestFit="1" customWidth="1"/>
    <col min="10249" max="10249" width="10.75" style="1209" customWidth="1"/>
    <col min="10250" max="10250" width="12.875" style="1209" customWidth="1"/>
    <col min="10251" max="10251" width="16.25" style="1209" customWidth="1"/>
    <col min="10252" max="10252" width="9" style="1209"/>
    <col min="10253" max="10253" width="9.5" style="1209" bestFit="1" customWidth="1"/>
    <col min="10254" max="10497" width="9" style="1209"/>
    <col min="10498" max="10498" width="4.375" style="1209" customWidth="1"/>
    <col min="10499" max="10499" width="7.25" style="1209" customWidth="1"/>
    <col min="10500" max="10500" width="8" style="1209" customWidth="1"/>
    <col min="10501" max="10501" width="11.375" style="1209" customWidth="1"/>
    <col min="10502" max="10502" width="23.375" style="1209" customWidth="1"/>
    <col min="10503" max="10503" width="9" style="1209"/>
    <col min="10504" max="10504" width="9.25" style="1209" bestFit="1" customWidth="1"/>
    <col min="10505" max="10505" width="10.75" style="1209" customWidth="1"/>
    <col min="10506" max="10506" width="12.875" style="1209" customWidth="1"/>
    <col min="10507" max="10507" width="16.25" style="1209" customWidth="1"/>
    <col min="10508" max="10508" width="9" style="1209"/>
    <col min="10509" max="10509" width="9.5" style="1209" bestFit="1" customWidth="1"/>
    <col min="10510" max="10753" width="9" style="1209"/>
    <col min="10754" max="10754" width="4.375" style="1209" customWidth="1"/>
    <col min="10755" max="10755" width="7.25" style="1209" customWidth="1"/>
    <col min="10756" max="10756" width="8" style="1209" customWidth="1"/>
    <col min="10757" max="10757" width="11.375" style="1209" customWidth="1"/>
    <col min="10758" max="10758" width="23.375" style="1209" customWidth="1"/>
    <col min="10759" max="10759" width="9" style="1209"/>
    <col min="10760" max="10760" width="9.25" style="1209" bestFit="1" customWidth="1"/>
    <col min="10761" max="10761" width="10.75" style="1209" customWidth="1"/>
    <col min="10762" max="10762" width="12.875" style="1209" customWidth="1"/>
    <col min="10763" max="10763" width="16.25" style="1209" customWidth="1"/>
    <col min="10764" max="10764" width="9" style="1209"/>
    <col min="10765" max="10765" width="9.5" style="1209" bestFit="1" customWidth="1"/>
    <col min="10766" max="11009" width="9" style="1209"/>
    <col min="11010" max="11010" width="4.375" style="1209" customWidth="1"/>
    <col min="11011" max="11011" width="7.25" style="1209" customWidth="1"/>
    <col min="11012" max="11012" width="8" style="1209" customWidth="1"/>
    <col min="11013" max="11013" width="11.375" style="1209" customWidth="1"/>
    <col min="11014" max="11014" width="23.375" style="1209" customWidth="1"/>
    <col min="11015" max="11015" width="9" style="1209"/>
    <col min="11016" max="11016" width="9.25" style="1209" bestFit="1" customWidth="1"/>
    <col min="11017" max="11017" width="10.75" style="1209" customWidth="1"/>
    <col min="11018" max="11018" width="12.875" style="1209" customWidth="1"/>
    <col min="11019" max="11019" width="16.25" style="1209" customWidth="1"/>
    <col min="11020" max="11020" width="9" style="1209"/>
    <col min="11021" max="11021" width="9.5" style="1209" bestFit="1" customWidth="1"/>
    <col min="11022" max="11265" width="9" style="1209"/>
    <col min="11266" max="11266" width="4.375" style="1209" customWidth="1"/>
    <col min="11267" max="11267" width="7.25" style="1209" customWidth="1"/>
    <col min="11268" max="11268" width="8" style="1209" customWidth="1"/>
    <col min="11269" max="11269" width="11.375" style="1209" customWidth="1"/>
    <col min="11270" max="11270" width="23.375" style="1209" customWidth="1"/>
    <col min="11271" max="11271" width="9" style="1209"/>
    <col min="11272" max="11272" width="9.25" style="1209" bestFit="1" customWidth="1"/>
    <col min="11273" max="11273" width="10.75" style="1209" customWidth="1"/>
    <col min="11274" max="11274" width="12.875" style="1209" customWidth="1"/>
    <col min="11275" max="11275" width="16.25" style="1209" customWidth="1"/>
    <col min="11276" max="11276" width="9" style="1209"/>
    <col min="11277" max="11277" width="9.5" style="1209" bestFit="1" customWidth="1"/>
    <col min="11278" max="11521" width="9" style="1209"/>
    <col min="11522" max="11522" width="4.375" style="1209" customWidth="1"/>
    <col min="11523" max="11523" width="7.25" style="1209" customWidth="1"/>
    <col min="11524" max="11524" width="8" style="1209" customWidth="1"/>
    <col min="11525" max="11525" width="11.375" style="1209" customWidth="1"/>
    <col min="11526" max="11526" width="23.375" style="1209" customWidth="1"/>
    <col min="11527" max="11527" width="9" style="1209"/>
    <col min="11528" max="11528" width="9.25" style="1209" bestFit="1" customWidth="1"/>
    <col min="11529" max="11529" width="10.75" style="1209" customWidth="1"/>
    <col min="11530" max="11530" width="12.875" style="1209" customWidth="1"/>
    <col min="11531" max="11531" width="16.25" style="1209" customWidth="1"/>
    <col min="11532" max="11532" width="9" style="1209"/>
    <col min="11533" max="11533" width="9.5" style="1209" bestFit="1" customWidth="1"/>
    <col min="11534" max="11777" width="9" style="1209"/>
    <col min="11778" max="11778" width="4.375" style="1209" customWidth="1"/>
    <col min="11779" max="11779" width="7.25" style="1209" customWidth="1"/>
    <col min="11780" max="11780" width="8" style="1209" customWidth="1"/>
    <col min="11781" max="11781" width="11.375" style="1209" customWidth="1"/>
    <col min="11782" max="11782" width="23.375" style="1209" customWidth="1"/>
    <col min="11783" max="11783" width="9" style="1209"/>
    <col min="11784" max="11784" width="9.25" style="1209" bestFit="1" customWidth="1"/>
    <col min="11785" max="11785" width="10.75" style="1209" customWidth="1"/>
    <col min="11786" max="11786" width="12.875" style="1209" customWidth="1"/>
    <col min="11787" max="11787" width="16.25" style="1209" customWidth="1"/>
    <col min="11788" max="11788" width="9" style="1209"/>
    <col min="11789" max="11789" width="9.5" style="1209" bestFit="1" customWidth="1"/>
    <col min="11790" max="12033" width="9" style="1209"/>
    <col min="12034" max="12034" width="4.375" style="1209" customWidth="1"/>
    <col min="12035" max="12035" width="7.25" style="1209" customWidth="1"/>
    <col min="12036" max="12036" width="8" style="1209" customWidth="1"/>
    <col min="12037" max="12037" width="11.375" style="1209" customWidth="1"/>
    <col min="12038" max="12038" width="23.375" style="1209" customWidth="1"/>
    <col min="12039" max="12039" width="9" style="1209"/>
    <col min="12040" max="12040" width="9.25" style="1209" bestFit="1" customWidth="1"/>
    <col min="12041" max="12041" width="10.75" style="1209" customWidth="1"/>
    <col min="12042" max="12042" width="12.875" style="1209" customWidth="1"/>
    <col min="12043" max="12043" width="16.25" style="1209" customWidth="1"/>
    <col min="12044" max="12044" width="9" style="1209"/>
    <col min="12045" max="12045" width="9.5" style="1209" bestFit="1" customWidth="1"/>
    <col min="12046" max="12289" width="9" style="1209"/>
    <col min="12290" max="12290" width="4.375" style="1209" customWidth="1"/>
    <col min="12291" max="12291" width="7.25" style="1209" customWidth="1"/>
    <col min="12292" max="12292" width="8" style="1209" customWidth="1"/>
    <col min="12293" max="12293" width="11.375" style="1209" customWidth="1"/>
    <col min="12294" max="12294" width="23.375" style="1209" customWidth="1"/>
    <col min="12295" max="12295" width="9" style="1209"/>
    <col min="12296" max="12296" width="9.25" style="1209" bestFit="1" customWidth="1"/>
    <col min="12297" max="12297" width="10.75" style="1209" customWidth="1"/>
    <col min="12298" max="12298" width="12.875" style="1209" customWidth="1"/>
    <col min="12299" max="12299" width="16.25" style="1209" customWidth="1"/>
    <col min="12300" max="12300" width="9" style="1209"/>
    <col min="12301" max="12301" width="9.5" style="1209" bestFit="1" customWidth="1"/>
    <col min="12302" max="12545" width="9" style="1209"/>
    <col min="12546" max="12546" width="4.375" style="1209" customWidth="1"/>
    <col min="12547" max="12547" width="7.25" style="1209" customWidth="1"/>
    <col min="12548" max="12548" width="8" style="1209" customWidth="1"/>
    <col min="12549" max="12549" width="11.375" style="1209" customWidth="1"/>
    <col min="12550" max="12550" width="23.375" style="1209" customWidth="1"/>
    <col min="12551" max="12551" width="9" style="1209"/>
    <col min="12552" max="12552" width="9.25" style="1209" bestFit="1" customWidth="1"/>
    <col min="12553" max="12553" width="10.75" style="1209" customWidth="1"/>
    <col min="12554" max="12554" width="12.875" style="1209" customWidth="1"/>
    <col min="12555" max="12555" width="16.25" style="1209" customWidth="1"/>
    <col min="12556" max="12556" width="9" style="1209"/>
    <col min="12557" max="12557" width="9.5" style="1209" bestFit="1" customWidth="1"/>
    <col min="12558" max="12801" width="9" style="1209"/>
    <col min="12802" max="12802" width="4.375" style="1209" customWidth="1"/>
    <col min="12803" max="12803" width="7.25" style="1209" customWidth="1"/>
    <col min="12804" max="12804" width="8" style="1209" customWidth="1"/>
    <col min="12805" max="12805" width="11.375" style="1209" customWidth="1"/>
    <col min="12806" max="12806" width="23.375" style="1209" customWidth="1"/>
    <col min="12807" max="12807" width="9" style="1209"/>
    <col min="12808" max="12808" width="9.25" style="1209" bestFit="1" customWidth="1"/>
    <col min="12809" max="12809" width="10.75" style="1209" customWidth="1"/>
    <col min="12810" max="12810" width="12.875" style="1209" customWidth="1"/>
    <col min="12811" max="12811" width="16.25" style="1209" customWidth="1"/>
    <col min="12812" max="12812" width="9" style="1209"/>
    <col min="12813" max="12813" width="9.5" style="1209" bestFit="1" customWidth="1"/>
    <col min="12814" max="13057" width="9" style="1209"/>
    <col min="13058" max="13058" width="4.375" style="1209" customWidth="1"/>
    <col min="13059" max="13059" width="7.25" style="1209" customWidth="1"/>
    <col min="13060" max="13060" width="8" style="1209" customWidth="1"/>
    <col min="13061" max="13061" width="11.375" style="1209" customWidth="1"/>
    <col min="13062" max="13062" width="23.375" style="1209" customWidth="1"/>
    <col min="13063" max="13063" width="9" style="1209"/>
    <col min="13064" max="13064" width="9.25" style="1209" bestFit="1" customWidth="1"/>
    <col min="13065" max="13065" width="10.75" style="1209" customWidth="1"/>
    <col min="13066" max="13066" width="12.875" style="1209" customWidth="1"/>
    <col min="13067" max="13067" width="16.25" style="1209" customWidth="1"/>
    <col min="13068" max="13068" width="9" style="1209"/>
    <col min="13069" max="13069" width="9.5" style="1209" bestFit="1" customWidth="1"/>
    <col min="13070" max="13313" width="9" style="1209"/>
    <col min="13314" max="13314" width="4.375" style="1209" customWidth="1"/>
    <col min="13315" max="13315" width="7.25" style="1209" customWidth="1"/>
    <col min="13316" max="13316" width="8" style="1209" customWidth="1"/>
    <col min="13317" max="13317" width="11.375" style="1209" customWidth="1"/>
    <col min="13318" max="13318" width="23.375" style="1209" customWidth="1"/>
    <col min="13319" max="13319" width="9" style="1209"/>
    <col min="13320" max="13320" width="9.25" style="1209" bestFit="1" customWidth="1"/>
    <col min="13321" max="13321" width="10.75" style="1209" customWidth="1"/>
    <col min="13322" max="13322" width="12.875" style="1209" customWidth="1"/>
    <col min="13323" max="13323" width="16.25" style="1209" customWidth="1"/>
    <col min="13324" max="13324" width="9" style="1209"/>
    <col min="13325" max="13325" width="9.5" style="1209" bestFit="1" customWidth="1"/>
    <col min="13326" max="13569" width="9" style="1209"/>
    <col min="13570" max="13570" width="4.375" style="1209" customWidth="1"/>
    <col min="13571" max="13571" width="7.25" style="1209" customWidth="1"/>
    <col min="13572" max="13572" width="8" style="1209" customWidth="1"/>
    <col min="13573" max="13573" width="11.375" style="1209" customWidth="1"/>
    <col min="13574" max="13574" width="23.375" style="1209" customWidth="1"/>
    <col min="13575" max="13575" width="9" style="1209"/>
    <col min="13576" max="13576" width="9.25" style="1209" bestFit="1" customWidth="1"/>
    <col min="13577" max="13577" width="10.75" style="1209" customWidth="1"/>
    <col min="13578" max="13578" width="12.875" style="1209" customWidth="1"/>
    <col min="13579" max="13579" width="16.25" style="1209" customWidth="1"/>
    <col min="13580" max="13580" width="9" style="1209"/>
    <col min="13581" max="13581" width="9.5" style="1209" bestFit="1" customWidth="1"/>
    <col min="13582" max="13825" width="9" style="1209"/>
    <col min="13826" max="13826" width="4.375" style="1209" customWidth="1"/>
    <col min="13827" max="13827" width="7.25" style="1209" customWidth="1"/>
    <col min="13828" max="13828" width="8" style="1209" customWidth="1"/>
    <col min="13829" max="13829" width="11.375" style="1209" customWidth="1"/>
    <col min="13830" max="13830" width="23.375" style="1209" customWidth="1"/>
    <col min="13831" max="13831" width="9" style="1209"/>
    <col min="13832" max="13832" width="9.25" style="1209" bestFit="1" customWidth="1"/>
    <col min="13833" max="13833" width="10.75" style="1209" customWidth="1"/>
    <col min="13834" max="13834" width="12.875" style="1209" customWidth="1"/>
    <col min="13835" max="13835" width="16.25" style="1209" customWidth="1"/>
    <col min="13836" max="13836" width="9" style="1209"/>
    <col min="13837" max="13837" width="9.5" style="1209" bestFit="1" customWidth="1"/>
    <col min="13838" max="14081" width="9" style="1209"/>
    <col min="14082" max="14082" width="4.375" style="1209" customWidth="1"/>
    <col min="14083" max="14083" width="7.25" style="1209" customWidth="1"/>
    <col min="14084" max="14084" width="8" style="1209" customWidth="1"/>
    <col min="14085" max="14085" width="11.375" style="1209" customWidth="1"/>
    <col min="14086" max="14086" width="23.375" style="1209" customWidth="1"/>
    <col min="14087" max="14087" width="9" style="1209"/>
    <col min="14088" max="14088" width="9.25" style="1209" bestFit="1" customWidth="1"/>
    <col min="14089" max="14089" width="10.75" style="1209" customWidth="1"/>
    <col min="14090" max="14090" width="12.875" style="1209" customWidth="1"/>
    <col min="14091" max="14091" width="16.25" style="1209" customWidth="1"/>
    <col min="14092" max="14092" width="9" style="1209"/>
    <col min="14093" max="14093" width="9.5" style="1209" bestFit="1" customWidth="1"/>
    <col min="14094" max="14337" width="9" style="1209"/>
    <col min="14338" max="14338" width="4.375" style="1209" customWidth="1"/>
    <col min="14339" max="14339" width="7.25" style="1209" customWidth="1"/>
    <col min="14340" max="14340" width="8" style="1209" customWidth="1"/>
    <col min="14341" max="14341" width="11.375" style="1209" customWidth="1"/>
    <col min="14342" max="14342" width="23.375" style="1209" customWidth="1"/>
    <col min="14343" max="14343" width="9" style="1209"/>
    <col min="14344" max="14344" width="9.25" style="1209" bestFit="1" customWidth="1"/>
    <col min="14345" max="14345" width="10.75" style="1209" customWidth="1"/>
    <col min="14346" max="14346" width="12.875" style="1209" customWidth="1"/>
    <col min="14347" max="14347" width="16.25" style="1209" customWidth="1"/>
    <col min="14348" max="14348" width="9" style="1209"/>
    <col min="14349" max="14349" width="9.5" style="1209" bestFit="1" customWidth="1"/>
    <col min="14350" max="14593" width="9" style="1209"/>
    <col min="14594" max="14594" width="4.375" style="1209" customWidth="1"/>
    <col min="14595" max="14595" width="7.25" style="1209" customWidth="1"/>
    <col min="14596" max="14596" width="8" style="1209" customWidth="1"/>
    <col min="14597" max="14597" width="11.375" style="1209" customWidth="1"/>
    <col min="14598" max="14598" width="23.375" style="1209" customWidth="1"/>
    <col min="14599" max="14599" width="9" style="1209"/>
    <col min="14600" max="14600" width="9.25" style="1209" bestFit="1" customWidth="1"/>
    <col min="14601" max="14601" width="10.75" style="1209" customWidth="1"/>
    <col min="14602" max="14602" width="12.875" style="1209" customWidth="1"/>
    <col min="14603" max="14603" width="16.25" style="1209" customWidth="1"/>
    <col min="14604" max="14604" width="9" style="1209"/>
    <col min="14605" max="14605" width="9.5" style="1209" bestFit="1" customWidth="1"/>
    <col min="14606" max="14849" width="9" style="1209"/>
    <col min="14850" max="14850" width="4.375" style="1209" customWidth="1"/>
    <col min="14851" max="14851" width="7.25" style="1209" customWidth="1"/>
    <col min="14852" max="14852" width="8" style="1209" customWidth="1"/>
    <col min="14853" max="14853" width="11.375" style="1209" customWidth="1"/>
    <col min="14854" max="14854" width="23.375" style="1209" customWidth="1"/>
    <col min="14855" max="14855" width="9" style="1209"/>
    <col min="14856" max="14856" width="9.25" style="1209" bestFit="1" customWidth="1"/>
    <col min="14857" max="14857" width="10.75" style="1209" customWidth="1"/>
    <col min="14858" max="14858" width="12.875" style="1209" customWidth="1"/>
    <col min="14859" max="14859" width="16.25" style="1209" customWidth="1"/>
    <col min="14860" max="14860" width="9" style="1209"/>
    <col min="14861" max="14861" width="9.5" style="1209" bestFit="1" customWidth="1"/>
    <col min="14862" max="15105" width="9" style="1209"/>
    <col min="15106" max="15106" width="4.375" style="1209" customWidth="1"/>
    <col min="15107" max="15107" width="7.25" style="1209" customWidth="1"/>
    <col min="15108" max="15108" width="8" style="1209" customWidth="1"/>
    <col min="15109" max="15109" width="11.375" style="1209" customWidth="1"/>
    <col min="15110" max="15110" width="23.375" style="1209" customWidth="1"/>
    <col min="15111" max="15111" width="9" style="1209"/>
    <col min="15112" max="15112" width="9.25" style="1209" bestFit="1" customWidth="1"/>
    <col min="15113" max="15113" width="10.75" style="1209" customWidth="1"/>
    <col min="15114" max="15114" width="12.875" style="1209" customWidth="1"/>
    <col min="15115" max="15115" width="16.25" style="1209" customWidth="1"/>
    <col min="15116" max="15116" width="9" style="1209"/>
    <col min="15117" max="15117" width="9.5" style="1209" bestFit="1" customWidth="1"/>
    <col min="15118" max="15361" width="9" style="1209"/>
    <col min="15362" max="15362" width="4.375" style="1209" customWidth="1"/>
    <col min="15363" max="15363" width="7.25" style="1209" customWidth="1"/>
    <col min="15364" max="15364" width="8" style="1209" customWidth="1"/>
    <col min="15365" max="15365" width="11.375" style="1209" customWidth="1"/>
    <col min="15366" max="15366" width="23.375" style="1209" customWidth="1"/>
    <col min="15367" max="15367" width="9" style="1209"/>
    <col min="15368" max="15368" width="9.25" style="1209" bestFit="1" customWidth="1"/>
    <col min="15369" max="15369" width="10.75" style="1209" customWidth="1"/>
    <col min="15370" max="15370" width="12.875" style="1209" customWidth="1"/>
    <col min="15371" max="15371" width="16.25" style="1209" customWidth="1"/>
    <col min="15372" max="15372" width="9" style="1209"/>
    <col min="15373" max="15373" width="9.5" style="1209" bestFit="1" customWidth="1"/>
    <col min="15374" max="15617" width="9" style="1209"/>
    <col min="15618" max="15618" width="4.375" style="1209" customWidth="1"/>
    <col min="15619" max="15619" width="7.25" style="1209" customWidth="1"/>
    <col min="15620" max="15620" width="8" style="1209" customWidth="1"/>
    <col min="15621" max="15621" width="11.375" style="1209" customWidth="1"/>
    <col min="15622" max="15622" width="23.375" style="1209" customWidth="1"/>
    <col min="15623" max="15623" width="9" style="1209"/>
    <col min="15624" max="15624" width="9.25" style="1209" bestFit="1" customWidth="1"/>
    <col min="15625" max="15625" width="10.75" style="1209" customWidth="1"/>
    <col min="15626" max="15626" width="12.875" style="1209" customWidth="1"/>
    <col min="15627" max="15627" width="16.25" style="1209" customWidth="1"/>
    <col min="15628" max="15628" width="9" style="1209"/>
    <col min="15629" max="15629" width="9.5" style="1209" bestFit="1" customWidth="1"/>
    <col min="15630" max="15873" width="9" style="1209"/>
    <col min="15874" max="15874" width="4.375" style="1209" customWidth="1"/>
    <col min="15875" max="15875" width="7.25" style="1209" customWidth="1"/>
    <col min="15876" max="15876" width="8" style="1209" customWidth="1"/>
    <col min="15877" max="15877" width="11.375" style="1209" customWidth="1"/>
    <col min="15878" max="15878" width="23.375" style="1209" customWidth="1"/>
    <col min="15879" max="15879" width="9" style="1209"/>
    <col min="15880" max="15880" width="9.25" style="1209" bestFit="1" customWidth="1"/>
    <col min="15881" max="15881" width="10.75" style="1209" customWidth="1"/>
    <col min="15882" max="15882" width="12.875" style="1209" customWidth="1"/>
    <col min="15883" max="15883" width="16.25" style="1209" customWidth="1"/>
    <col min="15884" max="15884" width="9" style="1209"/>
    <col min="15885" max="15885" width="9.5" style="1209" bestFit="1" customWidth="1"/>
    <col min="15886" max="16129" width="9" style="1209"/>
    <col min="16130" max="16130" width="4.375" style="1209" customWidth="1"/>
    <col min="16131" max="16131" width="7.25" style="1209" customWidth="1"/>
    <col min="16132" max="16132" width="8" style="1209" customWidth="1"/>
    <col min="16133" max="16133" width="11.375" style="1209" customWidth="1"/>
    <col min="16134" max="16134" width="23.375" style="1209" customWidth="1"/>
    <col min="16135" max="16135" width="9" style="1209"/>
    <col min="16136" max="16136" width="9.25" style="1209" bestFit="1" customWidth="1"/>
    <col min="16137" max="16137" width="10.75" style="1209" customWidth="1"/>
    <col min="16138" max="16138" width="12.875" style="1209" customWidth="1"/>
    <col min="16139" max="16139" width="16.25" style="1209" customWidth="1"/>
    <col min="16140" max="16140" width="9" style="1209"/>
    <col min="16141" max="16141" width="9.5" style="1209" bestFit="1" customWidth="1"/>
    <col min="16142" max="16384" width="9" style="1209"/>
  </cols>
  <sheetData>
    <row r="1" spans="1:13" ht="36" customHeight="1">
      <c r="A1" s="1546" t="s">
        <v>3312</v>
      </c>
      <c r="B1" s="1546"/>
      <c r="C1" s="1546"/>
      <c r="D1" s="1546"/>
      <c r="E1" s="1546"/>
      <c r="F1" s="1546"/>
      <c r="G1" s="1546"/>
      <c r="H1" s="1546"/>
      <c r="I1" s="1546"/>
      <c r="J1" s="1546"/>
      <c r="K1" s="1546"/>
    </row>
    <row r="2" spans="1:13" ht="20.100000000000001" customHeight="1">
      <c r="A2" s="1210" t="s">
        <v>2784</v>
      </c>
      <c r="B2" s="1211" t="s">
        <v>0</v>
      </c>
      <c r="C2" s="1211" t="s">
        <v>1085</v>
      </c>
      <c r="D2" s="1211" t="s">
        <v>1086</v>
      </c>
      <c r="E2" s="1211" t="s">
        <v>1087</v>
      </c>
      <c r="F2" s="1211" t="s">
        <v>1088</v>
      </c>
      <c r="G2" s="1212" t="s">
        <v>129</v>
      </c>
      <c r="H2" s="1212" t="s">
        <v>1089</v>
      </c>
      <c r="I2" s="1212" t="s">
        <v>1090</v>
      </c>
      <c r="J2" s="1213" t="s">
        <v>1091</v>
      </c>
      <c r="K2" s="1214" t="s">
        <v>3313</v>
      </c>
    </row>
    <row r="3" spans="1:13" ht="20.100000000000001" customHeight="1">
      <c r="A3" s="1547" t="s">
        <v>3314</v>
      </c>
      <c r="B3" s="1549">
        <v>1</v>
      </c>
      <c r="C3" s="1550" t="s">
        <v>3315</v>
      </c>
      <c r="D3" s="1549" t="s">
        <v>3316</v>
      </c>
      <c r="E3" s="1551" t="s">
        <v>1157</v>
      </c>
      <c r="F3" s="1215" t="s">
        <v>3317</v>
      </c>
      <c r="G3" s="1216" t="s">
        <v>3318</v>
      </c>
      <c r="H3" s="1216">
        <v>1920</v>
      </c>
      <c r="I3" s="1217">
        <v>350</v>
      </c>
      <c r="J3" s="1217">
        <f>H3*I3</f>
        <v>672000</v>
      </c>
      <c r="K3" s="1542">
        <f>ROUND(J10*0.78,0)</f>
        <v>679615</v>
      </c>
    </row>
    <row r="4" spans="1:13" ht="20.100000000000001" customHeight="1">
      <c r="A4" s="1548"/>
      <c r="B4" s="1549"/>
      <c r="C4" s="1550"/>
      <c r="D4" s="1549"/>
      <c r="E4" s="1552"/>
      <c r="F4" s="1215" t="s">
        <v>3319</v>
      </c>
      <c r="G4" s="1216" t="s">
        <v>1103</v>
      </c>
      <c r="H4" s="1216">
        <v>96.7</v>
      </c>
      <c r="I4" s="1217">
        <v>190</v>
      </c>
      <c r="J4" s="1217">
        <f>H4*I4</f>
        <v>18373</v>
      </c>
      <c r="K4" s="1543"/>
    </row>
    <row r="5" spans="1:13" ht="20.100000000000001" customHeight="1">
      <c r="A5" s="1548"/>
      <c r="B5" s="1549"/>
      <c r="C5" s="1550"/>
      <c r="D5" s="1549"/>
      <c r="E5" s="1552"/>
      <c r="F5" s="1215" t="s">
        <v>3320</v>
      </c>
      <c r="G5" s="1216" t="s">
        <v>1457</v>
      </c>
      <c r="H5" s="1216">
        <v>1</v>
      </c>
      <c r="I5" s="1217">
        <v>15000</v>
      </c>
      <c r="J5" s="1217">
        <f>H5*I5</f>
        <v>15000</v>
      </c>
      <c r="K5" s="1543"/>
    </row>
    <row r="6" spans="1:13" ht="20.100000000000001" customHeight="1">
      <c r="A6" s="1548"/>
      <c r="B6" s="1549"/>
      <c r="C6" s="1550"/>
      <c r="D6" s="1549"/>
      <c r="E6" s="1553"/>
      <c r="F6" s="1215" t="s">
        <v>3321</v>
      </c>
      <c r="G6" s="1216" t="s">
        <v>3318</v>
      </c>
      <c r="H6" s="1216">
        <v>980</v>
      </c>
      <c r="I6" s="1217">
        <v>50</v>
      </c>
      <c r="J6" s="1217">
        <f>H6*I6</f>
        <v>49000</v>
      </c>
      <c r="K6" s="1543"/>
    </row>
    <row r="7" spans="1:13" ht="20.100000000000001" customHeight="1">
      <c r="A7" s="1548"/>
      <c r="B7" s="1549"/>
      <c r="C7" s="1550"/>
      <c r="D7" s="1549"/>
      <c r="E7" s="1215"/>
      <c r="F7" s="1218" t="s">
        <v>1097</v>
      </c>
      <c r="G7" s="1216"/>
      <c r="H7" s="1216"/>
      <c r="I7" s="1217"/>
      <c r="J7" s="1219">
        <f>SUM(J3:J6)</f>
        <v>754373</v>
      </c>
      <c r="K7" s="1543"/>
    </row>
    <row r="8" spans="1:13" ht="20.100000000000001" customHeight="1">
      <c r="A8" s="1548"/>
      <c r="B8" s="1549"/>
      <c r="C8" s="1550"/>
      <c r="D8" s="1549"/>
      <c r="E8" s="1215"/>
      <c r="F8" s="1220" t="s">
        <v>3322</v>
      </c>
      <c r="G8" s="1216"/>
      <c r="H8" s="1216"/>
      <c r="I8" s="1217"/>
      <c r="J8" s="1219">
        <f>J7*0.1</f>
        <v>75437.3</v>
      </c>
      <c r="K8" s="1543"/>
    </row>
    <row r="9" spans="1:13" ht="20.100000000000001" customHeight="1">
      <c r="A9" s="1548"/>
      <c r="B9" s="1549"/>
      <c r="C9" s="1550"/>
      <c r="D9" s="1549"/>
      <c r="E9" s="1215"/>
      <c r="F9" s="1220" t="s">
        <v>3323</v>
      </c>
      <c r="G9" s="1216"/>
      <c r="H9" s="1216"/>
      <c r="I9" s="1217"/>
      <c r="J9" s="1219">
        <f>(J7+J8)*0.05</f>
        <v>41490.515000000007</v>
      </c>
      <c r="K9" s="1543"/>
    </row>
    <row r="10" spans="1:13" ht="20.100000000000001" customHeight="1">
      <c r="A10" s="1548"/>
      <c r="B10" s="1549"/>
      <c r="C10" s="1550"/>
      <c r="D10" s="1549"/>
      <c r="E10" s="1215"/>
      <c r="F10" s="1218" t="s">
        <v>1100</v>
      </c>
      <c r="G10" s="1217"/>
      <c r="H10" s="1217"/>
      <c r="I10" s="1217"/>
      <c r="J10" s="1221">
        <f>ROUNDUP(J7+J8+J9,0)</f>
        <v>871301</v>
      </c>
      <c r="K10" s="1544"/>
    </row>
    <row r="11" spans="1:13" ht="20.100000000000001" customHeight="1">
      <c r="A11" s="1547" t="s">
        <v>3314</v>
      </c>
      <c r="B11" s="1545">
        <v>2</v>
      </c>
      <c r="C11" s="1545" t="s">
        <v>3324</v>
      </c>
      <c r="D11" s="1555" t="s">
        <v>3325</v>
      </c>
      <c r="E11" s="1555" t="s">
        <v>3326</v>
      </c>
      <c r="F11" s="1214" t="s">
        <v>3327</v>
      </c>
      <c r="G11" s="1215" t="s">
        <v>3318</v>
      </c>
      <c r="H11" s="1217">
        <v>952</v>
      </c>
      <c r="I11" s="1217">
        <v>300</v>
      </c>
      <c r="J11" s="1217">
        <f>H11*I11</f>
        <v>285600</v>
      </c>
      <c r="K11" s="1542">
        <f>ROUND(J22*0.78,0)</f>
        <v>345742</v>
      </c>
    </row>
    <row r="12" spans="1:13" ht="20.100000000000001" customHeight="1">
      <c r="A12" s="1548"/>
      <c r="B12" s="1545"/>
      <c r="C12" s="1545"/>
      <c r="D12" s="1556"/>
      <c r="E12" s="1557"/>
      <c r="F12" s="1214" t="s">
        <v>3328</v>
      </c>
      <c r="G12" s="1215" t="s">
        <v>3318</v>
      </c>
      <c r="H12" s="1217">
        <v>40</v>
      </c>
      <c r="I12" s="1217">
        <v>400</v>
      </c>
      <c r="J12" s="1217">
        <f t="shared" ref="J12:J17" si="0">H12*I12</f>
        <v>16000</v>
      </c>
      <c r="K12" s="1543"/>
    </row>
    <row r="13" spans="1:13" ht="20.100000000000001" customHeight="1">
      <c r="A13" s="1548"/>
      <c r="B13" s="1545"/>
      <c r="C13" s="1545"/>
      <c r="D13" s="1556"/>
      <c r="E13" s="1222" t="s">
        <v>1573</v>
      </c>
      <c r="F13" s="1214" t="s">
        <v>3329</v>
      </c>
      <c r="G13" s="1215" t="s">
        <v>3318</v>
      </c>
      <c r="H13" s="1217">
        <v>16</v>
      </c>
      <c r="I13" s="1217">
        <v>450</v>
      </c>
      <c r="J13" s="1217">
        <f t="shared" si="0"/>
        <v>7200</v>
      </c>
      <c r="K13" s="1543"/>
    </row>
    <row r="14" spans="1:13" ht="20.100000000000001" customHeight="1">
      <c r="A14" s="1548"/>
      <c r="B14" s="1545"/>
      <c r="C14" s="1545"/>
      <c r="D14" s="1556"/>
      <c r="E14" s="1545" t="s">
        <v>3330</v>
      </c>
      <c r="F14" s="1214" t="s">
        <v>3331</v>
      </c>
      <c r="G14" s="1215" t="s">
        <v>3318</v>
      </c>
      <c r="H14" s="1217">
        <v>15</v>
      </c>
      <c r="I14" s="1217">
        <v>800</v>
      </c>
      <c r="J14" s="1217">
        <f t="shared" si="0"/>
        <v>12000</v>
      </c>
      <c r="K14" s="1543"/>
      <c r="M14" s="1223"/>
    </row>
    <row r="15" spans="1:13" ht="20.100000000000001" customHeight="1">
      <c r="A15" s="1548"/>
      <c r="B15" s="1545"/>
      <c r="C15" s="1545"/>
      <c r="D15" s="1556"/>
      <c r="E15" s="1545"/>
      <c r="F15" s="1214" t="s">
        <v>3332</v>
      </c>
      <c r="G15" s="1215" t="s">
        <v>3333</v>
      </c>
      <c r="H15" s="1217">
        <v>1</v>
      </c>
      <c r="I15" s="1217">
        <v>3000</v>
      </c>
      <c r="J15" s="1217">
        <f t="shared" si="0"/>
        <v>3000</v>
      </c>
      <c r="K15" s="1543"/>
      <c r="M15" s="1223"/>
    </row>
    <row r="16" spans="1:13" ht="20.100000000000001" customHeight="1">
      <c r="A16" s="1548"/>
      <c r="B16" s="1545"/>
      <c r="C16" s="1545"/>
      <c r="D16" s="1556"/>
      <c r="E16" s="1545"/>
      <c r="F16" s="1214" t="s">
        <v>3334</v>
      </c>
      <c r="G16" s="1215" t="s">
        <v>3333</v>
      </c>
      <c r="H16" s="1217">
        <v>1</v>
      </c>
      <c r="I16" s="1217">
        <v>10000</v>
      </c>
      <c r="J16" s="1217">
        <f t="shared" si="0"/>
        <v>10000</v>
      </c>
      <c r="K16" s="1543"/>
      <c r="M16" s="1223"/>
    </row>
    <row r="17" spans="1:11" ht="20.100000000000001" customHeight="1">
      <c r="A17" s="1548"/>
      <c r="B17" s="1545"/>
      <c r="C17" s="1545"/>
      <c r="D17" s="1556"/>
      <c r="E17" s="1545"/>
      <c r="F17" s="1214" t="s">
        <v>3335</v>
      </c>
      <c r="G17" s="1215" t="s">
        <v>3318</v>
      </c>
      <c r="H17" s="1217">
        <v>30</v>
      </c>
      <c r="I17" s="1217">
        <v>800</v>
      </c>
      <c r="J17" s="1217">
        <f t="shared" si="0"/>
        <v>24000</v>
      </c>
      <c r="K17" s="1543"/>
    </row>
    <row r="18" spans="1:11" ht="20.100000000000001" customHeight="1">
      <c r="A18" s="1548"/>
      <c r="B18" s="1545"/>
      <c r="C18" s="1545"/>
      <c r="D18" s="1556"/>
      <c r="E18" s="1215"/>
      <c r="F18" s="1218" t="s">
        <v>1097</v>
      </c>
      <c r="G18" s="1216"/>
      <c r="H18" s="1216"/>
      <c r="I18" s="1217"/>
      <c r="J18" s="1219">
        <f>SUM(J11:J17)</f>
        <v>357800</v>
      </c>
      <c r="K18" s="1543"/>
    </row>
    <row r="19" spans="1:11" ht="20.100000000000001" customHeight="1">
      <c r="A19" s="1548"/>
      <c r="B19" s="1545"/>
      <c r="C19" s="1545"/>
      <c r="D19" s="1556"/>
      <c r="E19" s="1215"/>
      <c r="F19" s="1220" t="s">
        <v>3336</v>
      </c>
      <c r="G19" s="1216"/>
      <c r="H19" s="1216"/>
      <c r="I19" s="1217"/>
      <c r="J19" s="1219">
        <f>J18*0.1</f>
        <v>35780</v>
      </c>
      <c r="K19" s="1543"/>
    </row>
    <row r="20" spans="1:11" ht="20.100000000000001" customHeight="1">
      <c r="A20" s="1548"/>
      <c r="B20" s="1545"/>
      <c r="C20" s="1545"/>
      <c r="D20" s="1556"/>
      <c r="E20" s="1215"/>
      <c r="F20" s="1220" t="s">
        <v>3337</v>
      </c>
      <c r="G20" s="1216"/>
      <c r="H20" s="1216"/>
      <c r="I20" s="1217"/>
      <c r="J20" s="1219">
        <f>(J18+J19)*0.05</f>
        <v>19679</v>
      </c>
      <c r="K20" s="1543"/>
    </row>
    <row r="21" spans="1:11" ht="20.100000000000001" customHeight="1">
      <c r="A21" s="1548"/>
      <c r="B21" s="1545"/>
      <c r="C21" s="1545"/>
      <c r="D21" s="1556"/>
      <c r="E21" s="1215"/>
      <c r="F21" s="1224" t="s">
        <v>3338</v>
      </c>
      <c r="G21" s="1225" t="s">
        <v>3333</v>
      </c>
      <c r="H21" s="1225">
        <v>1</v>
      </c>
      <c r="I21" s="1225">
        <v>30000</v>
      </c>
      <c r="J21" s="1226">
        <f>I21</f>
        <v>30000</v>
      </c>
      <c r="K21" s="1543"/>
    </row>
    <row r="22" spans="1:11" ht="20.100000000000001" customHeight="1">
      <c r="A22" s="1554"/>
      <c r="B22" s="1545"/>
      <c r="C22" s="1545"/>
      <c r="D22" s="1557"/>
      <c r="E22" s="1215"/>
      <c r="F22" s="1218" t="s">
        <v>3339</v>
      </c>
      <c r="G22" s="1217"/>
      <c r="H22" s="1217"/>
      <c r="I22" s="1217"/>
      <c r="J22" s="1221">
        <f>ROUNDUP(J18+J19+J20+J21,0)</f>
        <v>443259</v>
      </c>
      <c r="K22" s="1544"/>
    </row>
    <row r="23" spans="1:11" ht="20.100000000000001" customHeight="1">
      <c r="A23" s="1558" t="s">
        <v>3340</v>
      </c>
      <c r="B23" s="1545">
        <v>3</v>
      </c>
      <c r="C23" s="1545" t="s">
        <v>3341</v>
      </c>
      <c r="D23" s="1545" t="s">
        <v>3342</v>
      </c>
      <c r="E23" s="1214" t="s">
        <v>3343</v>
      </c>
      <c r="F23" s="1214" t="s">
        <v>3344</v>
      </c>
      <c r="G23" s="1215" t="s">
        <v>3345</v>
      </c>
      <c r="H23" s="1217">
        <v>15</v>
      </c>
      <c r="I23" s="1217">
        <v>28000</v>
      </c>
      <c r="J23" s="1227">
        <f>H23*I23</f>
        <v>420000</v>
      </c>
      <c r="K23" s="1542">
        <f>ROUND(J27*0.78,0)</f>
        <v>378378</v>
      </c>
    </row>
    <row r="24" spans="1:11" ht="20.100000000000001" customHeight="1">
      <c r="A24" s="1558"/>
      <c r="B24" s="1545"/>
      <c r="C24" s="1545"/>
      <c r="D24" s="1545"/>
      <c r="E24" s="1215"/>
      <c r="F24" s="1218" t="s">
        <v>1097</v>
      </c>
      <c r="G24" s="1216"/>
      <c r="H24" s="1216"/>
      <c r="I24" s="1217"/>
      <c r="J24" s="1219">
        <f>SUM(J23:J23)</f>
        <v>420000</v>
      </c>
      <c r="K24" s="1543"/>
    </row>
    <row r="25" spans="1:11" ht="20.100000000000001" customHeight="1">
      <c r="A25" s="1558"/>
      <c r="B25" s="1545"/>
      <c r="C25" s="1545"/>
      <c r="D25" s="1545"/>
      <c r="E25" s="1215"/>
      <c r="F25" s="1220" t="s">
        <v>3336</v>
      </c>
      <c r="G25" s="1216"/>
      <c r="H25" s="1216"/>
      <c r="I25" s="1217"/>
      <c r="J25" s="1219">
        <f>J24*0.1</f>
        <v>42000</v>
      </c>
      <c r="K25" s="1543"/>
    </row>
    <row r="26" spans="1:11" ht="20.100000000000001" customHeight="1">
      <c r="A26" s="1558"/>
      <c r="B26" s="1545"/>
      <c r="C26" s="1545"/>
      <c r="D26" s="1545"/>
      <c r="E26" s="1215"/>
      <c r="F26" s="1220" t="s">
        <v>3337</v>
      </c>
      <c r="G26" s="1216"/>
      <c r="H26" s="1216"/>
      <c r="I26" s="1217"/>
      <c r="J26" s="1219">
        <f>(J24+J25)*0.05</f>
        <v>23100</v>
      </c>
      <c r="K26" s="1543"/>
    </row>
    <row r="27" spans="1:11" ht="20.100000000000001" customHeight="1">
      <c r="A27" s="1558"/>
      <c r="B27" s="1545"/>
      <c r="C27" s="1545"/>
      <c r="D27" s="1545"/>
      <c r="E27" s="1215"/>
      <c r="F27" s="1218" t="s">
        <v>3339</v>
      </c>
      <c r="G27" s="1217"/>
      <c r="H27" s="1217"/>
      <c r="I27" s="1217"/>
      <c r="J27" s="1221">
        <f>ROUNDUP(J24+J25+J26,0)</f>
        <v>485100</v>
      </c>
      <c r="K27" s="1544"/>
    </row>
    <row r="28" spans="1:11" s="1231" customFormat="1" ht="20.100000000000001" customHeight="1">
      <c r="A28" s="1558" t="s">
        <v>3340</v>
      </c>
      <c r="B28" s="1545">
        <v>4</v>
      </c>
      <c r="C28" s="1545" t="s">
        <v>3346</v>
      </c>
      <c r="D28" s="1545" t="s">
        <v>3347</v>
      </c>
      <c r="E28" s="1545" t="s">
        <v>3348</v>
      </c>
      <c r="F28" s="1212" t="s">
        <v>3349</v>
      </c>
      <c r="G28" s="1228" t="s">
        <v>1096</v>
      </c>
      <c r="H28" s="1229">
        <v>4</v>
      </c>
      <c r="I28" s="1230">
        <v>50000</v>
      </c>
      <c r="J28" s="1214">
        <f>H28*I28</f>
        <v>200000</v>
      </c>
      <c r="K28" s="1542">
        <f>ROUND(J33*0.78,0)</f>
        <v>288288</v>
      </c>
    </row>
    <row r="29" spans="1:11" s="1231" customFormat="1" ht="20.100000000000001" customHeight="1">
      <c r="A29" s="1564"/>
      <c r="B29" s="1545"/>
      <c r="C29" s="1545"/>
      <c r="D29" s="1545"/>
      <c r="E29" s="1545"/>
      <c r="F29" s="1212" t="s">
        <v>3350</v>
      </c>
      <c r="G29" s="1228" t="s">
        <v>1096</v>
      </c>
      <c r="H29" s="1229">
        <v>6</v>
      </c>
      <c r="I29" s="1230">
        <v>20000</v>
      </c>
      <c r="J29" s="1214">
        <f>H29*I29</f>
        <v>120000</v>
      </c>
      <c r="K29" s="1543"/>
    </row>
    <row r="30" spans="1:11" ht="20.100000000000001" customHeight="1">
      <c r="A30" s="1564"/>
      <c r="B30" s="1545"/>
      <c r="C30" s="1545"/>
      <c r="D30" s="1545"/>
      <c r="E30" s="1215"/>
      <c r="F30" s="1218" t="s">
        <v>1097</v>
      </c>
      <c r="G30" s="1232"/>
      <c r="H30" s="1216"/>
      <c r="I30" s="1217"/>
      <c r="J30" s="1219">
        <f>SUM(J28:J29)</f>
        <v>320000</v>
      </c>
      <c r="K30" s="1543"/>
    </row>
    <row r="31" spans="1:11" ht="20.100000000000001" customHeight="1">
      <c r="A31" s="1564"/>
      <c r="B31" s="1545"/>
      <c r="C31" s="1545"/>
      <c r="D31" s="1545"/>
      <c r="E31" s="1215"/>
      <c r="F31" s="1220" t="s">
        <v>3351</v>
      </c>
      <c r="G31" s="1232"/>
      <c r="H31" s="1216"/>
      <c r="I31" s="1217"/>
      <c r="J31" s="1219">
        <f>J30*0.1</f>
        <v>32000</v>
      </c>
      <c r="K31" s="1543"/>
    </row>
    <row r="32" spans="1:11" ht="20.100000000000001" customHeight="1">
      <c r="A32" s="1564"/>
      <c r="B32" s="1545"/>
      <c r="C32" s="1545"/>
      <c r="D32" s="1545"/>
      <c r="E32" s="1215"/>
      <c r="F32" s="1220" t="s">
        <v>3352</v>
      </c>
      <c r="G32" s="1232"/>
      <c r="H32" s="1216"/>
      <c r="I32" s="1217"/>
      <c r="J32" s="1219">
        <f>(J30+J31)*0.05</f>
        <v>17600</v>
      </c>
      <c r="K32" s="1543"/>
    </row>
    <row r="33" spans="1:11" ht="20.100000000000001" customHeight="1">
      <c r="A33" s="1564"/>
      <c r="B33" s="1545"/>
      <c r="C33" s="1545"/>
      <c r="D33" s="1545"/>
      <c r="E33" s="1215"/>
      <c r="F33" s="1218" t="s">
        <v>3353</v>
      </c>
      <c r="G33" s="1233"/>
      <c r="H33" s="1217"/>
      <c r="I33" s="1217"/>
      <c r="J33" s="1221">
        <f>SUM(J30:J32)</f>
        <v>369600</v>
      </c>
      <c r="K33" s="1544"/>
    </row>
    <row r="34" spans="1:11" s="1238" customFormat="1" ht="20.100000000000001" customHeight="1">
      <c r="A34" s="1547" t="s">
        <v>3354</v>
      </c>
      <c r="B34" s="1561">
        <v>5</v>
      </c>
      <c r="C34" s="1561" t="s">
        <v>3355</v>
      </c>
      <c r="D34" s="1562" t="s">
        <v>3356</v>
      </c>
      <c r="E34" s="1234" t="s">
        <v>3357</v>
      </c>
      <c r="F34" s="1235" t="s">
        <v>3358</v>
      </c>
      <c r="G34" s="1236" t="s">
        <v>3333</v>
      </c>
      <c r="H34" s="1236">
        <v>1</v>
      </c>
      <c r="I34" s="1236">
        <v>150000</v>
      </c>
      <c r="J34" s="1237">
        <f>H34*I34</f>
        <v>150000</v>
      </c>
      <c r="K34" s="1542">
        <f>ROUND(J46*0.78,0)</f>
        <v>1044936</v>
      </c>
    </row>
    <row r="35" spans="1:11" s="1238" customFormat="1" ht="20.100000000000001" customHeight="1">
      <c r="A35" s="1559"/>
      <c r="B35" s="1561"/>
      <c r="C35" s="1561"/>
      <c r="D35" s="1562"/>
      <c r="E35" s="1563" t="s">
        <v>3343</v>
      </c>
      <c r="F35" s="1235" t="s">
        <v>3359</v>
      </c>
      <c r="G35" s="1215" t="s">
        <v>3318</v>
      </c>
      <c r="H35" s="1236">
        <v>195</v>
      </c>
      <c r="I35" s="1236">
        <v>120</v>
      </c>
      <c r="J35" s="1237">
        <f t="shared" ref="J35:J41" si="1">H35*I35</f>
        <v>23400</v>
      </c>
      <c r="K35" s="1543"/>
    </row>
    <row r="36" spans="1:11" s="1238" customFormat="1" ht="20.100000000000001" customHeight="1">
      <c r="A36" s="1559"/>
      <c r="B36" s="1561"/>
      <c r="C36" s="1561"/>
      <c r="D36" s="1562"/>
      <c r="E36" s="1563"/>
      <c r="F36" s="1235" t="s">
        <v>3360</v>
      </c>
      <c r="G36" s="1215" t="s">
        <v>3318</v>
      </c>
      <c r="H36" s="1236">
        <v>280</v>
      </c>
      <c r="I36" s="1236">
        <v>400</v>
      </c>
      <c r="J36" s="1237">
        <f t="shared" si="1"/>
        <v>112000</v>
      </c>
      <c r="K36" s="1543"/>
    </row>
    <row r="37" spans="1:11" s="1238" customFormat="1" ht="20.100000000000001" customHeight="1">
      <c r="A37" s="1559"/>
      <c r="B37" s="1561"/>
      <c r="C37" s="1561"/>
      <c r="D37" s="1562"/>
      <c r="E37" s="1563"/>
      <c r="F37" s="1235" t="s">
        <v>3361</v>
      </c>
      <c r="G37" s="1236" t="s">
        <v>3345</v>
      </c>
      <c r="H37" s="1236">
        <v>10</v>
      </c>
      <c r="I37" s="1236">
        <v>40000</v>
      </c>
      <c r="J37" s="1237">
        <f t="shared" si="1"/>
        <v>400000</v>
      </c>
      <c r="K37" s="1543"/>
    </row>
    <row r="38" spans="1:11" s="1238" customFormat="1" ht="20.100000000000001" customHeight="1">
      <c r="A38" s="1559"/>
      <c r="B38" s="1561"/>
      <c r="C38" s="1561"/>
      <c r="D38" s="1562"/>
      <c r="E38" s="1563"/>
      <c r="F38" s="1235" t="s">
        <v>3362</v>
      </c>
      <c r="G38" s="1236" t="s">
        <v>3363</v>
      </c>
      <c r="H38" s="1236">
        <v>4</v>
      </c>
      <c r="I38" s="1236">
        <v>5000</v>
      </c>
      <c r="J38" s="1237">
        <f t="shared" si="1"/>
        <v>20000</v>
      </c>
      <c r="K38" s="1543"/>
    </row>
    <row r="39" spans="1:11" s="1238" customFormat="1" ht="20.100000000000001" customHeight="1">
      <c r="A39" s="1559"/>
      <c r="B39" s="1561"/>
      <c r="C39" s="1561"/>
      <c r="D39" s="1562"/>
      <c r="E39" s="1563"/>
      <c r="F39" s="1235" t="s">
        <v>2160</v>
      </c>
      <c r="G39" s="1215" t="s">
        <v>3318</v>
      </c>
      <c r="H39" s="1236">
        <v>154</v>
      </c>
      <c r="I39" s="1236">
        <v>400</v>
      </c>
      <c r="J39" s="1237">
        <f t="shared" si="1"/>
        <v>61600</v>
      </c>
      <c r="K39" s="1543"/>
    </row>
    <row r="40" spans="1:11" s="1238" customFormat="1" ht="20.100000000000001" customHeight="1">
      <c r="A40" s="1559"/>
      <c r="B40" s="1561"/>
      <c r="C40" s="1561"/>
      <c r="D40" s="1562"/>
      <c r="E40" s="1563"/>
      <c r="F40" s="1235" t="s">
        <v>3364</v>
      </c>
      <c r="G40" s="1215" t="s">
        <v>3318</v>
      </c>
      <c r="H40" s="1236">
        <v>125</v>
      </c>
      <c r="I40" s="1236">
        <v>800</v>
      </c>
      <c r="J40" s="1237">
        <f t="shared" si="1"/>
        <v>100000</v>
      </c>
      <c r="K40" s="1543"/>
    </row>
    <row r="41" spans="1:11" s="1238" customFormat="1" ht="20.100000000000001" customHeight="1">
      <c r="A41" s="1559"/>
      <c r="B41" s="1561"/>
      <c r="C41" s="1561"/>
      <c r="D41" s="1562"/>
      <c r="E41" s="1563"/>
      <c r="F41" s="1235" t="s">
        <v>3365</v>
      </c>
      <c r="G41" s="1215" t="s">
        <v>3366</v>
      </c>
      <c r="H41" s="1236">
        <v>646</v>
      </c>
      <c r="I41" s="1236">
        <v>280</v>
      </c>
      <c r="J41" s="1237">
        <f t="shared" si="1"/>
        <v>180880</v>
      </c>
      <c r="K41" s="1543"/>
    </row>
    <row r="42" spans="1:11" s="1238" customFormat="1" ht="20.100000000000001" customHeight="1">
      <c r="A42" s="1559"/>
      <c r="B42" s="1561"/>
      <c r="C42" s="1561"/>
      <c r="D42" s="1562"/>
      <c r="E42" s="1563"/>
      <c r="F42" s="1235" t="s">
        <v>3367</v>
      </c>
      <c r="G42" s="1215" t="s">
        <v>3318</v>
      </c>
      <c r="H42" s="1236">
        <v>400</v>
      </c>
      <c r="I42" s="1234">
        <v>280</v>
      </c>
      <c r="J42" s="1237">
        <f>H42*I42</f>
        <v>112000</v>
      </c>
      <c r="K42" s="1543"/>
    </row>
    <row r="43" spans="1:11" s="1238" customFormat="1" ht="20.100000000000001" customHeight="1">
      <c r="A43" s="1559"/>
      <c r="B43" s="1561"/>
      <c r="C43" s="1561"/>
      <c r="D43" s="1562"/>
      <c r="E43" s="1239"/>
      <c r="F43" s="1218" t="s">
        <v>1097</v>
      </c>
      <c r="G43" s="1218"/>
      <c r="H43" s="1218"/>
      <c r="I43" s="1234"/>
      <c r="J43" s="1219">
        <f>SUM(J34:J42)</f>
        <v>1159880</v>
      </c>
      <c r="K43" s="1543"/>
    </row>
    <row r="44" spans="1:11" s="1238" customFormat="1" ht="20.100000000000001" customHeight="1">
      <c r="A44" s="1559"/>
      <c r="B44" s="1561"/>
      <c r="C44" s="1561"/>
      <c r="D44" s="1562"/>
      <c r="E44" s="1239"/>
      <c r="F44" s="1220" t="s">
        <v>3336</v>
      </c>
      <c r="G44" s="1220"/>
      <c r="H44" s="1220"/>
      <c r="I44" s="1234"/>
      <c r="J44" s="1219">
        <f>J43*0.1</f>
        <v>115988</v>
      </c>
      <c r="K44" s="1543"/>
    </row>
    <row r="45" spans="1:11" s="1238" customFormat="1" ht="20.100000000000001" customHeight="1">
      <c r="A45" s="1559"/>
      <c r="B45" s="1561"/>
      <c r="C45" s="1561"/>
      <c r="D45" s="1562"/>
      <c r="E45" s="1239"/>
      <c r="F45" s="1220" t="s">
        <v>3337</v>
      </c>
      <c r="G45" s="1220"/>
      <c r="H45" s="1220"/>
      <c r="I45" s="1234"/>
      <c r="J45" s="1219">
        <f>(J43+J44)*0.05</f>
        <v>63793.4</v>
      </c>
      <c r="K45" s="1543"/>
    </row>
    <row r="46" spans="1:11" s="1238" customFormat="1" ht="20.100000000000001" customHeight="1">
      <c r="A46" s="1560"/>
      <c r="B46" s="1561"/>
      <c r="C46" s="1561"/>
      <c r="D46" s="1562"/>
      <c r="E46" s="1239"/>
      <c r="F46" s="1218" t="s">
        <v>3339</v>
      </c>
      <c r="G46" s="1218"/>
      <c r="H46" s="1218"/>
      <c r="I46" s="1234"/>
      <c r="J46" s="1221">
        <f>SUM(J43:J45)</f>
        <v>1339661.3999999999</v>
      </c>
      <c r="K46" s="1544"/>
    </row>
    <row r="47" spans="1:11" ht="20.100000000000001" customHeight="1">
      <c r="A47" s="1545" t="s">
        <v>3368</v>
      </c>
      <c r="B47" s="1545">
        <v>6</v>
      </c>
      <c r="C47" s="1545" t="s">
        <v>3369</v>
      </c>
      <c r="D47" s="1545" t="s">
        <v>3370</v>
      </c>
      <c r="E47" s="1565" t="s">
        <v>3371</v>
      </c>
      <c r="F47" s="1240" t="s">
        <v>3372</v>
      </c>
      <c r="G47" s="1241" t="s">
        <v>3366</v>
      </c>
      <c r="H47" s="1240">
        <v>556</v>
      </c>
      <c r="I47" s="1240">
        <v>40</v>
      </c>
      <c r="J47" s="1242">
        <f>H47*I47</f>
        <v>22240</v>
      </c>
      <c r="K47" s="1542">
        <f>ROUND(J105*0.78,0)</f>
        <v>2373914</v>
      </c>
    </row>
    <row r="48" spans="1:11" ht="20.100000000000001" customHeight="1">
      <c r="A48" s="1545"/>
      <c r="B48" s="1545"/>
      <c r="C48" s="1545"/>
      <c r="D48" s="1545"/>
      <c r="E48" s="1565"/>
      <c r="F48" s="1240" t="s">
        <v>3373</v>
      </c>
      <c r="G48" s="1241" t="s">
        <v>3318</v>
      </c>
      <c r="H48" s="1240">
        <v>360</v>
      </c>
      <c r="I48" s="1240">
        <v>260</v>
      </c>
      <c r="J48" s="1242">
        <f t="shared" ref="J48:J101" si="2">H48*I48</f>
        <v>93600</v>
      </c>
      <c r="K48" s="1543"/>
    </row>
    <row r="49" spans="1:11" ht="20.100000000000001" customHeight="1">
      <c r="A49" s="1545"/>
      <c r="B49" s="1545"/>
      <c r="C49" s="1545"/>
      <c r="D49" s="1545"/>
      <c r="E49" s="1565"/>
      <c r="F49" s="1240" t="s">
        <v>3374</v>
      </c>
      <c r="G49" s="1240" t="s">
        <v>3375</v>
      </c>
      <c r="H49" s="1240">
        <v>400</v>
      </c>
      <c r="I49" s="1240">
        <v>35</v>
      </c>
      <c r="J49" s="1242">
        <f t="shared" si="2"/>
        <v>14000</v>
      </c>
      <c r="K49" s="1543"/>
    </row>
    <row r="50" spans="1:11" ht="20.100000000000001" customHeight="1">
      <c r="A50" s="1545"/>
      <c r="B50" s="1545"/>
      <c r="C50" s="1545"/>
      <c r="D50" s="1545"/>
      <c r="E50" s="1565"/>
      <c r="F50" s="1240" t="s">
        <v>3376</v>
      </c>
      <c r="G50" s="1240" t="s">
        <v>3366</v>
      </c>
      <c r="H50" s="1240">
        <v>236</v>
      </c>
      <c r="I50" s="1240">
        <v>210</v>
      </c>
      <c r="J50" s="1242">
        <f t="shared" si="2"/>
        <v>49560</v>
      </c>
      <c r="K50" s="1543"/>
    </row>
    <row r="51" spans="1:11" ht="20.100000000000001" customHeight="1">
      <c r="A51" s="1545"/>
      <c r="B51" s="1545"/>
      <c r="C51" s="1545"/>
      <c r="D51" s="1545"/>
      <c r="E51" s="1565"/>
      <c r="F51" s="1240" t="s">
        <v>3377</v>
      </c>
      <c r="G51" s="1240" t="s">
        <v>2052</v>
      </c>
      <c r="H51" s="1240">
        <v>40</v>
      </c>
      <c r="I51" s="1240">
        <v>300</v>
      </c>
      <c r="J51" s="1242">
        <f t="shared" si="2"/>
        <v>12000</v>
      </c>
      <c r="K51" s="1543"/>
    </row>
    <row r="52" spans="1:11" ht="20.100000000000001" customHeight="1">
      <c r="A52" s="1545"/>
      <c r="B52" s="1545"/>
      <c r="C52" s="1545"/>
      <c r="D52" s="1545"/>
      <c r="E52" s="1565"/>
      <c r="F52" s="1240" t="s">
        <v>3378</v>
      </c>
      <c r="G52" s="1240" t="s">
        <v>3375</v>
      </c>
      <c r="H52" s="1240">
        <v>80</v>
      </c>
      <c r="I52" s="1240">
        <v>400</v>
      </c>
      <c r="J52" s="1242">
        <f t="shared" si="2"/>
        <v>32000</v>
      </c>
      <c r="K52" s="1543"/>
    </row>
    <row r="53" spans="1:11" ht="20.100000000000001" customHeight="1">
      <c r="A53" s="1545"/>
      <c r="B53" s="1545"/>
      <c r="C53" s="1545"/>
      <c r="D53" s="1545"/>
      <c r="E53" s="1565"/>
      <c r="F53" s="1240" t="s">
        <v>3379</v>
      </c>
      <c r="G53" s="1240" t="s">
        <v>3318</v>
      </c>
      <c r="H53" s="1240">
        <v>400</v>
      </c>
      <c r="I53" s="1240">
        <v>100</v>
      </c>
      <c r="J53" s="1242">
        <f t="shared" si="2"/>
        <v>40000</v>
      </c>
      <c r="K53" s="1543"/>
    </row>
    <row r="54" spans="1:11" ht="20.100000000000001" customHeight="1">
      <c r="A54" s="1545"/>
      <c r="B54" s="1545"/>
      <c r="C54" s="1545"/>
      <c r="D54" s="1545"/>
      <c r="E54" s="1565"/>
      <c r="F54" s="1240" t="s">
        <v>3380</v>
      </c>
      <c r="G54" s="1240" t="s">
        <v>3318</v>
      </c>
      <c r="H54" s="1240">
        <v>236</v>
      </c>
      <c r="I54" s="1240">
        <v>280</v>
      </c>
      <c r="J54" s="1242">
        <f t="shared" si="2"/>
        <v>66080</v>
      </c>
      <c r="K54" s="1543"/>
    </row>
    <row r="55" spans="1:11" ht="20.100000000000001" customHeight="1">
      <c r="A55" s="1545"/>
      <c r="B55" s="1545"/>
      <c r="C55" s="1545"/>
      <c r="D55" s="1545"/>
      <c r="E55" s="1565"/>
      <c r="F55" s="1240" t="s">
        <v>3381</v>
      </c>
      <c r="G55" s="1240" t="s">
        <v>3366</v>
      </c>
      <c r="H55" s="1240">
        <v>925.2</v>
      </c>
      <c r="I55" s="1240">
        <v>300</v>
      </c>
      <c r="J55" s="1242">
        <f t="shared" si="2"/>
        <v>277560</v>
      </c>
      <c r="K55" s="1543"/>
    </row>
    <row r="56" spans="1:11" ht="20.100000000000001" customHeight="1">
      <c r="A56" s="1545"/>
      <c r="B56" s="1545"/>
      <c r="C56" s="1545"/>
      <c r="D56" s="1545"/>
      <c r="E56" s="1565"/>
      <c r="F56" s="1240" t="s">
        <v>3382</v>
      </c>
      <c r="G56" s="1240" t="s">
        <v>2052</v>
      </c>
      <c r="H56" s="1240">
        <v>40</v>
      </c>
      <c r="I56" s="1240">
        <v>500</v>
      </c>
      <c r="J56" s="1242">
        <f t="shared" si="2"/>
        <v>20000</v>
      </c>
      <c r="K56" s="1543"/>
    </row>
    <row r="57" spans="1:11" ht="20.100000000000001" customHeight="1">
      <c r="A57" s="1545"/>
      <c r="B57" s="1545"/>
      <c r="C57" s="1545"/>
      <c r="D57" s="1545"/>
      <c r="E57" s="1565"/>
      <c r="F57" s="1240" t="s">
        <v>3383</v>
      </c>
      <c r="G57" s="1240" t="s">
        <v>2052</v>
      </c>
      <c r="H57" s="1240">
        <v>40</v>
      </c>
      <c r="I57" s="1240">
        <v>400</v>
      </c>
      <c r="J57" s="1242">
        <f t="shared" si="2"/>
        <v>16000</v>
      </c>
      <c r="K57" s="1543"/>
    </row>
    <row r="58" spans="1:11" ht="20.100000000000001" customHeight="1">
      <c r="A58" s="1545"/>
      <c r="B58" s="1545"/>
      <c r="C58" s="1545"/>
      <c r="D58" s="1545"/>
      <c r="E58" s="1565"/>
      <c r="F58" s="1240" t="s">
        <v>3384</v>
      </c>
      <c r="G58" s="1240" t="s">
        <v>3375</v>
      </c>
      <c r="H58" s="1240">
        <v>40</v>
      </c>
      <c r="I58" s="1240">
        <v>800</v>
      </c>
      <c r="J58" s="1242">
        <f t="shared" si="2"/>
        <v>32000</v>
      </c>
      <c r="K58" s="1543"/>
    </row>
    <row r="59" spans="1:11" ht="20.100000000000001" customHeight="1">
      <c r="A59" s="1545"/>
      <c r="B59" s="1545"/>
      <c r="C59" s="1545"/>
      <c r="D59" s="1545"/>
      <c r="E59" s="1565"/>
      <c r="F59" s="1240" t="s">
        <v>3385</v>
      </c>
      <c r="G59" s="1240" t="s">
        <v>2052</v>
      </c>
      <c r="H59" s="1240">
        <v>60</v>
      </c>
      <c r="I59" s="1240">
        <v>500</v>
      </c>
      <c r="J59" s="1242">
        <f t="shared" si="2"/>
        <v>30000</v>
      </c>
      <c r="K59" s="1543"/>
    </row>
    <row r="60" spans="1:11" ht="20.100000000000001" customHeight="1">
      <c r="A60" s="1545"/>
      <c r="B60" s="1545"/>
      <c r="C60" s="1545"/>
      <c r="D60" s="1545"/>
      <c r="E60" s="1565"/>
      <c r="F60" s="1240" t="s">
        <v>3386</v>
      </c>
      <c r="G60" s="1240" t="s">
        <v>3387</v>
      </c>
      <c r="H60" s="1240">
        <v>32</v>
      </c>
      <c r="I60" s="1240">
        <v>1500</v>
      </c>
      <c r="J60" s="1242">
        <f t="shared" si="2"/>
        <v>48000</v>
      </c>
      <c r="K60" s="1543"/>
    </row>
    <row r="61" spans="1:11" ht="20.100000000000001" customHeight="1">
      <c r="A61" s="1545"/>
      <c r="B61" s="1545"/>
      <c r="C61" s="1545"/>
      <c r="D61" s="1545"/>
      <c r="E61" s="1240" t="s">
        <v>3388</v>
      </c>
      <c r="F61" s="1240" t="s">
        <v>3389</v>
      </c>
      <c r="G61" s="1240" t="s">
        <v>3318</v>
      </c>
      <c r="H61" s="1240">
        <v>1500</v>
      </c>
      <c r="I61" s="1240">
        <v>45</v>
      </c>
      <c r="J61" s="1242">
        <f t="shared" si="2"/>
        <v>67500</v>
      </c>
      <c r="K61" s="1543"/>
    </row>
    <row r="62" spans="1:11" ht="20.100000000000001" customHeight="1">
      <c r="A62" s="1545"/>
      <c r="B62" s="1545"/>
      <c r="C62" s="1545"/>
      <c r="D62" s="1545"/>
      <c r="E62" s="1240" t="s">
        <v>3343</v>
      </c>
      <c r="F62" s="1240" t="s">
        <v>3390</v>
      </c>
      <c r="G62" s="1240" t="s">
        <v>3318</v>
      </c>
      <c r="H62" s="1240">
        <v>1122</v>
      </c>
      <c r="I62" s="1240">
        <v>220</v>
      </c>
      <c r="J62" s="1242">
        <f t="shared" si="2"/>
        <v>246840</v>
      </c>
      <c r="K62" s="1543"/>
    </row>
    <row r="63" spans="1:11" ht="20.100000000000001" customHeight="1">
      <c r="A63" s="1545"/>
      <c r="B63" s="1545"/>
      <c r="C63" s="1545"/>
      <c r="D63" s="1545"/>
      <c r="E63" s="1565" t="s">
        <v>3391</v>
      </c>
      <c r="F63" s="1241" t="s">
        <v>3392</v>
      </c>
      <c r="G63" s="1240" t="s">
        <v>3318</v>
      </c>
      <c r="H63" s="1241">
        <v>400</v>
      </c>
      <c r="I63" s="1241">
        <v>45</v>
      </c>
      <c r="J63" s="1242">
        <f t="shared" si="2"/>
        <v>18000</v>
      </c>
      <c r="K63" s="1543"/>
    </row>
    <row r="64" spans="1:11" ht="20.100000000000001" customHeight="1">
      <c r="A64" s="1545"/>
      <c r="B64" s="1545"/>
      <c r="C64" s="1545"/>
      <c r="D64" s="1545"/>
      <c r="E64" s="1565"/>
      <c r="F64" s="1241" t="s">
        <v>3393</v>
      </c>
      <c r="G64" s="1240" t="s">
        <v>3318</v>
      </c>
      <c r="H64" s="1241">
        <v>80</v>
      </c>
      <c r="I64" s="1241">
        <v>300</v>
      </c>
      <c r="J64" s="1242">
        <f t="shared" si="2"/>
        <v>24000</v>
      </c>
      <c r="K64" s="1543"/>
    </row>
    <row r="65" spans="1:11" ht="20.100000000000001" customHeight="1">
      <c r="A65" s="1545"/>
      <c r="B65" s="1545"/>
      <c r="C65" s="1545"/>
      <c r="D65" s="1545"/>
      <c r="E65" s="1565"/>
      <c r="F65" s="1241" t="s">
        <v>3394</v>
      </c>
      <c r="G65" s="1241" t="s">
        <v>3395</v>
      </c>
      <c r="H65" s="1241">
        <v>40</v>
      </c>
      <c r="I65" s="1241">
        <v>115</v>
      </c>
      <c r="J65" s="1242">
        <f t="shared" si="2"/>
        <v>4600</v>
      </c>
      <c r="K65" s="1543"/>
    </row>
    <row r="66" spans="1:11" ht="20.100000000000001" customHeight="1">
      <c r="A66" s="1545"/>
      <c r="B66" s="1545"/>
      <c r="C66" s="1545"/>
      <c r="D66" s="1545"/>
      <c r="E66" s="1565"/>
      <c r="F66" s="1241" t="s">
        <v>3396</v>
      </c>
      <c r="G66" s="1241" t="s">
        <v>3397</v>
      </c>
      <c r="H66" s="1241">
        <v>50</v>
      </c>
      <c r="I66" s="1241">
        <v>100</v>
      </c>
      <c r="J66" s="1242">
        <f t="shared" si="2"/>
        <v>5000</v>
      </c>
      <c r="K66" s="1543"/>
    </row>
    <row r="67" spans="1:11" ht="20.100000000000001" customHeight="1">
      <c r="A67" s="1545"/>
      <c r="B67" s="1545"/>
      <c r="C67" s="1545"/>
      <c r="D67" s="1545"/>
      <c r="E67" s="1565"/>
      <c r="F67" s="1241" t="s">
        <v>3398</v>
      </c>
      <c r="G67" s="1241" t="s">
        <v>3399</v>
      </c>
      <c r="H67" s="1241">
        <v>2</v>
      </c>
      <c r="I67" s="1241">
        <v>600</v>
      </c>
      <c r="J67" s="1242">
        <f t="shared" si="2"/>
        <v>1200</v>
      </c>
      <c r="K67" s="1543"/>
    </row>
    <row r="68" spans="1:11" ht="20.100000000000001" customHeight="1">
      <c r="A68" s="1545"/>
      <c r="B68" s="1545"/>
      <c r="C68" s="1545"/>
      <c r="D68" s="1545"/>
      <c r="E68" s="1565"/>
      <c r="F68" s="1241" t="s">
        <v>3400</v>
      </c>
      <c r="G68" s="1241" t="s">
        <v>3397</v>
      </c>
      <c r="H68" s="1241">
        <v>80</v>
      </c>
      <c r="I68" s="1241">
        <v>40</v>
      </c>
      <c r="J68" s="1242">
        <f t="shared" si="2"/>
        <v>3200</v>
      </c>
      <c r="K68" s="1543"/>
    </row>
    <row r="69" spans="1:11" ht="20.100000000000001" customHeight="1">
      <c r="A69" s="1545"/>
      <c r="B69" s="1545"/>
      <c r="C69" s="1545"/>
      <c r="D69" s="1545"/>
      <c r="E69" s="1565"/>
      <c r="F69" s="1241" t="s">
        <v>3401</v>
      </c>
      <c r="G69" s="1241" t="s">
        <v>3318</v>
      </c>
      <c r="H69" s="1241">
        <v>80</v>
      </c>
      <c r="I69" s="1241">
        <v>220</v>
      </c>
      <c r="J69" s="1242">
        <f t="shared" si="2"/>
        <v>17600</v>
      </c>
      <c r="K69" s="1543"/>
    </row>
    <row r="70" spans="1:11" ht="20.100000000000001" customHeight="1">
      <c r="A70" s="1545"/>
      <c r="B70" s="1545"/>
      <c r="C70" s="1545"/>
      <c r="D70" s="1545"/>
      <c r="E70" s="1566" t="s">
        <v>3402</v>
      </c>
      <c r="F70" s="1241" t="s">
        <v>3403</v>
      </c>
      <c r="G70" s="1241" t="s">
        <v>3318</v>
      </c>
      <c r="H70" s="1241">
        <v>340</v>
      </c>
      <c r="I70" s="1241">
        <v>220</v>
      </c>
      <c r="J70" s="1242">
        <f t="shared" si="2"/>
        <v>74800</v>
      </c>
      <c r="K70" s="1543"/>
    </row>
    <row r="71" spans="1:11" ht="20.100000000000001" customHeight="1">
      <c r="A71" s="1545"/>
      <c r="B71" s="1545"/>
      <c r="C71" s="1545"/>
      <c r="D71" s="1545"/>
      <c r="E71" s="1566"/>
      <c r="F71" s="1241" t="s">
        <v>3404</v>
      </c>
      <c r="G71" s="1241" t="s">
        <v>3318</v>
      </c>
      <c r="H71" s="1241">
        <v>100</v>
      </c>
      <c r="I71" s="1241">
        <v>240</v>
      </c>
      <c r="J71" s="1242">
        <f t="shared" si="2"/>
        <v>24000</v>
      </c>
      <c r="K71" s="1543"/>
    </row>
    <row r="72" spans="1:11" ht="20.100000000000001" customHeight="1">
      <c r="A72" s="1545"/>
      <c r="B72" s="1545"/>
      <c r="C72" s="1545"/>
      <c r="D72" s="1545"/>
      <c r="E72" s="1566"/>
      <c r="F72" s="1241" t="s">
        <v>3405</v>
      </c>
      <c r="G72" s="1241" t="s">
        <v>3318</v>
      </c>
      <c r="H72" s="1241">
        <v>80</v>
      </c>
      <c r="I72" s="1241">
        <v>300</v>
      </c>
      <c r="J72" s="1242">
        <f t="shared" si="2"/>
        <v>24000</v>
      </c>
      <c r="K72" s="1543"/>
    </row>
    <row r="73" spans="1:11" s="1243" customFormat="1" ht="20.100000000000001" customHeight="1">
      <c r="A73" s="1545"/>
      <c r="B73" s="1545"/>
      <c r="C73" s="1545"/>
      <c r="D73" s="1545"/>
      <c r="E73" s="1566"/>
      <c r="F73" s="1241" t="s">
        <v>3406</v>
      </c>
      <c r="G73" s="1241" t="s">
        <v>3318</v>
      </c>
      <c r="H73" s="1241">
        <v>130</v>
      </c>
      <c r="I73" s="1241">
        <v>500</v>
      </c>
      <c r="J73" s="1242">
        <f t="shared" si="2"/>
        <v>65000</v>
      </c>
      <c r="K73" s="1543"/>
    </row>
    <row r="74" spans="1:11" ht="20.100000000000001" customHeight="1">
      <c r="A74" s="1545"/>
      <c r="B74" s="1545"/>
      <c r="C74" s="1545"/>
      <c r="D74" s="1545"/>
      <c r="E74" s="1566"/>
      <c r="F74" s="1241" t="s">
        <v>3407</v>
      </c>
      <c r="G74" s="1241" t="s">
        <v>3318</v>
      </c>
      <c r="H74" s="1241">
        <v>80</v>
      </c>
      <c r="I74" s="1241">
        <v>450</v>
      </c>
      <c r="J74" s="1242">
        <f t="shared" si="2"/>
        <v>36000</v>
      </c>
      <c r="K74" s="1543"/>
    </row>
    <row r="75" spans="1:11" ht="20.100000000000001" customHeight="1">
      <c r="A75" s="1545"/>
      <c r="B75" s="1545"/>
      <c r="C75" s="1545"/>
      <c r="D75" s="1545"/>
      <c r="E75" s="1566"/>
      <c r="F75" s="1241" t="s">
        <v>3408</v>
      </c>
      <c r="G75" s="1241" t="s">
        <v>3318</v>
      </c>
      <c r="H75" s="1241">
        <v>340</v>
      </c>
      <c r="I75" s="1241">
        <v>300</v>
      </c>
      <c r="J75" s="1242">
        <f t="shared" si="2"/>
        <v>102000</v>
      </c>
      <c r="K75" s="1543"/>
    </row>
    <row r="76" spans="1:11" ht="20.100000000000001" customHeight="1">
      <c r="A76" s="1545"/>
      <c r="B76" s="1545"/>
      <c r="C76" s="1545"/>
      <c r="D76" s="1545"/>
      <c r="E76" s="1566"/>
      <c r="F76" s="1241" t="s">
        <v>3377</v>
      </c>
      <c r="G76" s="1241" t="s">
        <v>2082</v>
      </c>
      <c r="H76" s="1241">
        <v>120</v>
      </c>
      <c r="I76" s="1241">
        <v>80</v>
      </c>
      <c r="J76" s="1242">
        <f t="shared" si="2"/>
        <v>9600</v>
      </c>
      <c r="K76" s="1543"/>
    </row>
    <row r="77" spans="1:11" ht="20.100000000000001" customHeight="1">
      <c r="A77" s="1545"/>
      <c r="B77" s="1545"/>
      <c r="C77" s="1545"/>
      <c r="D77" s="1545"/>
      <c r="E77" s="1566"/>
      <c r="F77" s="1241" t="s">
        <v>3409</v>
      </c>
      <c r="G77" s="1241" t="s">
        <v>3318</v>
      </c>
      <c r="H77" s="1241">
        <v>40</v>
      </c>
      <c r="I77" s="1241">
        <v>600</v>
      </c>
      <c r="J77" s="1242">
        <f t="shared" si="2"/>
        <v>24000</v>
      </c>
      <c r="K77" s="1543"/>
    </row>
    <row r="78" spans="1:11" ht="20.100000000000001" customHeight="1">
      <c r="A78" s="1545"/>
      <c r="B78" s="1545"/>
      <c r="C78" s="1545"/>
      <c r="D78" s="1545"/>
      <c r="E78" s="1566"/>
      <c r="F78" s="1241" t="s">
        <v>3410</v>
      </c>
      <c r="G78" s="1241" t="s">
        <v>3318</v>
      </c>
      <c r="H78" s="1241">
        <v>240</v>
      </c>
      <c r="I78" s="1241">
        <v>45</v>
      </c>
      <c r="J78" s="1242">
        <f t="shared" si="2"/>
        <v>10800</v>
      </c>
      <c r="K78" s="1543"/>
    </row>
    <row r="79" spans="1:11" ht="20.100000000000001" customHeight="1">
      <c r="A79" s="1545"/>
      <c r="B79" s="1545"/>
      <c r="C79" s="1545"/>
      <c r="D79" s="1545"/>
      <c r="E79" s="1566"/>
      <c r="F79" s="1241" t="s">
        <v>3411</v>
      </c>
      <c r="G79" s="1241" t="s">
        <v>3387</v>
      </c>
      <c r="H79" s="1241">
        <v>5</v>
      </c>
      <c r="I79" s="1241">
        <v>1500</v>
      </c>
      <c r="J79" s="1242">
        <f t="shared" si="2"/>
        <v>7500</v>
      </c>
      <c r="K79" s="1543"/>
    </row>
    <row r="80" spans="1:11" ht="20.100000000000001" customHeight="1">
      <c r="A80" s="1545"/>
      <c r="B80" s="1545"/>
      <c r="C80" s="1545"/>
      <c r="D80" s="1545"/>
      <c r="E80" s="1566"/>
      <c r="F80" s="1241" t="s">
        <v>3412</v>
      </c>
      <c r="G80" s="1241" t="s">
        <v>582</v>
      </c>
      <c r="H80" s="1241">
        <v>1</v>
      </c>
      <c r="I80" s="1241">
        <v>35100</v>
      </c>
      <c r="J80" s="1242">
        <f t="shared" si="2"/>
        <v>35100</v>
      </c>
      <c r="K80" s="1543"/>
    </row>
    <row r="81" spans="1:11" ht="20.100000000000001" customHeight="1">
      <c r="A81" s="1545"/>
      <c r="B81" s="1545"/>
      <c r="C81" s="1545"/>
      <c r="D81" s="1545"/>
      <c r="E81" s="1566"/>
      <c r="F81" s="1241" t="s">
        <v>3413</v>
      </c>
      <c r="G81" s="1241" t="s">
        <v>3318</v>
      </c>
      <c r="H81" s="1241">
        <v>24</v>
      </c>
      <c r="I81" s="1241">
        <v>800</v>
      </c>
      <c r="J81" s="1242">
        <f t="shared" si="2"/>
        <v>19200</v>
      </c>
      <c r="K81" s="1543"/>
    </row>
    <row r="82" spans="1:11" ht="20.100000000000001" customHeight="1">
      <c r="A82" s="1545"/>
      <c r="B82" s="1545"/>
      <c r="C82" s="1545"/>
      <c r="D82" s="1545"/>
      <c r="E82" s="1565" t="s">
        <v>3414</v>
      </c>
      <c r="F82" s="1241" t="s">
        <v>3415</v>
      </c>
      <c r="G82" s="1241" t="s">
        <v>3318</v>
      </c>
      <c r="H82" s="1241">
        <v>0</v>
      </c>
      <c r="I82" s="1241">
        <v>40</v>
      </c>
      <c r="J82" s="1242">
        <f t="shared" si="2"/>
        <v>0</v>
      </c>
      <c r="K82" s="1543"/>
    </row>
    <row r="83" spans="1:11" ht="20.100000000000001" customHeight="1">
      <c r="A83" s="1545"/>
      <c r="B83" s="1545"/>
      <c r="C83" s="1545"/>
      <c r="D83" s="1545"/>
      <c r="E83" s="1565"/>
      <c r="F83" s="1241" t="s">
        <v>3416</v>
      </c>
      <c r="G83" s="1241" t="s">
        <v>3318</v>
      </c>
      <c r="H83" s="1241">
        <v>350</v>
      </c>
      <c r="I83" s="1241">
        <v>280</v>
      </c>
      <c r="J83" s="1242">
        <f t="shared" si="2"/>
        <v>98000</v>
      </c>
      <c r="K83" s="1543"/>
    </row>
    <row r="84" spans="1:11" ht="20.100000000000001" customHeight="1">
      <c r="A84" s="1545"/>
      <c r="B84" s="1545"/>
      <c r="C84" s="1545"/>
      <c r="D84" s="1545"/>
      <c r="E84" s="1565"/>
      <c r="F84" s="1241" t="s">
        <v>3417</v>
      </c>
      <c r="G84" s="1241" t="s">
        <v>3318</v>
      </c>
      <c r="H84" s="1241">
        <v>400</v>
      </c>
      <c r="I84" s="1241">
        <f>300</f>
        <v>300</v>
      </c>
      <c r="J84" s="1242">
        <f t="shared" si="2"/>
        <v>120000</v>
      </c>
      <c r="K84" s="1543"/>
    </row>
    <row r="85" spans="1:11" ht="20.100000000000001" customHeight="1">
      <c r="A85" s="1545"/>
      <c r="B85" s="1545"/>
      <c r="C85" s="1545"/>
      <c r="D85" s="1545"/>
      <c r="E85" s="1565"/>
      <c r="F85" s="1241" t="s">
        <v>3418</v>
      </c>
      <c r="G85" s="1241" t="s">
        <v>3318</v>
      </c>
      <c r="H85" s="1241">
        <v>85</v>
      </c>
      <c r="I85" s="1241">
        <v>650</v>
      </c>
      <c r="J85" s="1242">
        <f t="shared" si="2"/>
        <v>55250</v>
      </c>
      <c r="K85" s="1543"/>
    </row>
    <row r="86" spans="1:11" ht="20.100000000000001" customHeight="1">
      <c r="A86" s="1545"/>
      <c r="B86" s="1545"/>
      <c r="C86" s="1545"/>
      <c r="D86" s="1545"/>
      <c r="E86" s="1565"/>
      <c r="F86" s="1241" t="s">
        <v>3419</v>
      </c>
      <c r="G86" s="1241" t="s">
        <v>3420</v>
      </c>
      <c r="H86" s="1241">
        <v>80</v>
      </c>
      <c r="I86" s="1241">
        <v>900</v>
      </c>
      <c r="J86" s="1242">
        <f t="shared" si="2"/>
        <v>72000</v>
      </c>
      <c r="K86" s="1543"/>
    </row>
    <row r="87" spans="1:11" ht="20.100000000000001" customHeight="1">
      <c r="A87" s="1545"/>
      <c r="B87" s="1545"/>
      <c r="C87" s="1545"/>
      <c r="D87" s="1545"/>
      <c r="E87" s="1565"/>
      <c r="F87" s="1241" t="s">
        <v>3421</v>
      </c>
      <c r="G87" s="1241" t="s">
        <v>2052</v>
      </c>
      <c r="H87" s="1241">
        <v>4</v>
      </c>
      <c r="I87" s="1241">
        <v>8000</v>
      </c>
      <c r="J87" s="1242">
        <f t="shared" si="2"/>
        <v>32000</v>
      </c>
      <c r="K87" s="1543"/>
    </row>
    <row r="88" spans="1:11" ht="20.100000000000001" customHeight="1">
      <c r="A88" s="1545"/>
      <c r="B88" s="1545"/>
      <c r="C88" s="1545"/>
      <c r="D88" s="1545"/>
      <c r="E88" s="1565"/>
      <c r="F88" s="1241" t="s">
        <v>3422</v>
      </c>
      <c r="G88" s="1241" t="s">
        <v>582</v>
      </c>
      <c r="H88" s="1241">
        <v>1</v>
      </c>
      <c r="I88" s="1241">
        <v>76250</v>
      </c>
      <c r="J88" s="1242">
        <f t="shared" si="2"/>
        <v>76250</v>
      </c>
      <c r="K88" s="1543"/>
    </row>
    <row r="89" spans="1:11" ht="20.100000000000001" customHeight="1">
      <c r="A89" s="1545"/>
      <c r="B89" s="1545"/>
      <c r="C89" s="1545"/>
      <c r="D89" s="1545"/>
      <c r="E89" s="1565"/>
      <c r="F89" s="1241" t="s">
        <v>3423</v>
      </c>
      <c r="G89" s="1241" t="s">
        <v>582</v>
      </c>
      <c r="H89" s="1241">
        <v>1</v>
      </c>
      <c r="I89" s="1241">
        <v>36000</v>
      </c>
      <c r="J89" s="1242">
        <f t="shared" si="2"/>
        <v>36000</v>
      </c>
      <c r="K89" s="1543"/>
    </row>
    <row r="90" spans="1:11" ht="20.100000000000001" customHeight="1">
      <c r="A90" s="1545"/>
      <c r="B90" s="1545"/>
      <c r="C90" s="1545"/>
      <c r="D90" s="1545"/>
      <c r="E90" s="1565"/>
      <c r="F90" s="1241" t="s">
        <v>3424</v>
      </c>
      <c r="G90" s="1241" t="s">
        <v>2052</v>
      </c>
      <c r="H90" s="1241">
        <v>5</v>
      </c>
      <c r="I90" s="1241">
        <v>3000</v>
      </c>
      <c r="J90" s="1242">
        <f t="shared" si="2"/>
        <v>15000</v>
      </c>
      <c r="K90" s="1543"/>
    </row>
    <row r="91" spans="1:11" ht="20.100000000000001" customHeight="1">
      <c r="A91" s="1545"/>
      <c r="B91" s="1545"/>
      <c r="C91" s="1545"/>
      <c r="D91" s="1545"/>
      <c r="E91" s="1565"/>
      <c r="F91" s="1241" t="s">
        <v>3425</v>
      </c>
      <c r="G91" s="1241" t="s">
        <v>3397</v>
      </c>
      <c r="H91" s="1241">
        <v>120</v>
      </c>
      <c r="I91" s="1241">
        <v>100</v>
      </c>
      <c r="J91" s="1242">
        <f t="shared" si="2"/>
        <v>12000</v>
      </c>
      <c r="K91" s="1543"/>
    </row>
    <row r="92" spans="1:11" ht="20.100000000000001" customHeight="1">
      <c r="A92" s="1545"/>
      <c r="B92" s="1545"/>
      <c r="C92" s="1545"/>
      <c r="D92" s="1545"/>
      <c r="E92" s="1565"/>
      <c r="F92" s="1241" t="s">
        <v>3426</v>
      </c>
      <c r="G92" s="1241" t="s">
        <v>2052</v>
      </c>
      <c r="H92" s="1241">
        <v>15</v>
      </c>
      <c r="I92" s="1241">
        <v>3000</v>
      </c>
      <c r="J92" s="1242">
        <f t="shared" si="2"/>
        <v>45000</v>
      </c>
      <c r="K92" s="1543"/>
    </row>
    <row r="93" spans="1:11" ht="20.100000000000001" customHeight="1">
      <c r="A93" s="1545"/>
      <c r="B93" s="1545"/>
      <c r="C93" s="1545"/>
      <c r="D93" s="1545"/>
      <c r="E93" s="1565"/>
      <c r="F93" s="1241" t="s">
        <v>3427</v>
      </c>
      <c r="G93" s="1241" t="s">
        <v>582</v>
      </c>
      <c r="H93" s="1241">
        <v>1</v>
      </c>
      <c r="I93" s="1241">
        <v>6000</v>
      </c>
      <c r="J93" s="1242">
        <f t="shared" si="2"/>
        <v>6000</v>
      </c>
      <c r="K93" s="1543"/>
    </row>
    <row r="94" spans="1:11" ht="20.100000000000001" customHeight="1">
      <c r="A94" s="1545"/>
      <c r="B94" s="1545"/>
      <c r="C94" s="1545"/>
      <c r="D94" s="1545"/>
      <c r="E94" s="1565" t="s">
        <v>3428</v>
      </c>
      <c r="F94" s="1241" t="s">
        <v>3429</v>
      </c>
      <c r="G94" s="1241" t="s">
        <v>3420</v>
      </c>
      <c r="H94" s="1241">
        <v>550</v>
      </c>
      <c r="I94" s="1241">
        <v>120</v>
      </c>
      <c r="J94" s="1242">
        <f t="shared" si="2"/>
        <v>66000</v>
      </c>
      <c r="K94" s="1543"/>
    </row>
    <row r="95" spans="1:11" ht="20.100000000000001" customHeight="1">
      <c r="A95" s="1545"/>
      <c r="B95" s="1545"/>
      <c r="C95" s="1545"/>
      <c r="D95" s="1545"/>
      <c r="E95" s="1565"/>
      <c r="F95" s="1241" t="s">
        <v>3430</v>
      </c>
      <c r="G95" s="1241" t="s">
        <v>3397</v>
      </c>
      <c r="H95" s="1241">
        <v>100</v>
      </c>
      <c r="I95" s="1241">
        <v>50</v>
      </c>
      <c r="J95" s="1242">
        <f t="shared" si="2"/>
        <v>5000</v>
      </c>
      <c r="K95" s="1543"/>
    </row>
    <row r="96" spans="1:11" ht="20.100000000000001" customHeight="1">
      <c r="A96" s="1545"/>
      <c r="B96" s="1545"/>
      <c r="C96" s="1545"/>
      <c r="D96" s="1545"/>
      <c r="E96" s="1565"/>
      <c r="F96" s="1241" t="s">
        <v>3431</v>
      </c>
      <c r="G96" s="1241" t="s">
        <v>3420</v>
      </c>
      <c r="H96" s="1241">
        <v>550</v>
      </c>
      <c r="I96" s="1241">
        <v>200</v>
      </c>
      <c r="J96" s="1242">
        <f t="shared" si="2"/>
        <v>110000</v>
      </c>
      <c r="K96" s="1543"/>
    </row>
    <row r="97" spans="1:11" ht="20.100000000000001" customHeight="1">
      <c r="A97" s="1545"/>
      <c r="B97" s="1545"/>
      <c r="C97" s="1545"/>
      <c r="D97" s="1545"/>
      <c r="E97" s="1565"/>
      <c r="F97" s="1241" t="s">
        <v>3432</v>
      </c>
      <c r="G97" s="1241" t="s">
        <v>3420</v>
      </c>
      <c r="H97" s="1241">
        <v>550</v>
      </c>
      <c r="I97" s="1241">
        <v>100</v>
      </c>
      <c r="J97" s="1242">
        <f t="shared" si="2"/>
        <v>55000</v>
      </c>
      <c r="K97" s="1543"/>
    </row>
    <row r="98" spans="1:11" ht="20.100000000000001" customHeight="1">
      <c r="A98" s="1545"/>
      <c r="B98" s="1545"/>
      <c r="C98" s="1545"/>
      <c r="D98" s="1545"/>
      <c r="E98" s="1565"/>
      <c r="F98" s="1241" t="s">
        <v>3433</v>
      </c>
      <c r="G98" s="1241" t="s">
        <v>2052</v>
      </c>
      <c r="H98" s="1241">
        <v>2</v>
      </c>
      <c r="I98" s="1241">
        <v>18000</v>
      </c>
      <c r="J98" s="1242">
        <f t="shared" si="2"/>
        <v>36000</v>
      </c>
      <c r="K98" s="1543"/>
    </row>
    <row r="99" spans="1:11" ht="20.100000000000001" customHeight="1">
      <c r="A99" s="1545"/>
      <c r="B99" s="1545"/>
      <c r="C99" s="1545"/>
      <c r="D99" s="1545"/>
      <c r="E99" s="1565"/>
      <c r="F99" s="1241" t="s">
        <v>3434</v>
      </c>
      <c r="G99" s="1241" t="s">
        <v>2052</v>
      </c>
      <c r="H99" s="1241">
        <v>2</v>
      </c>
      <c r="I99" s="1241">
        <v>18000</v>
      </c>
      <c r="J99" s="1242">
        <f t="shared" si="2"/>
        <v>36000</v>
      </c>
      <c r="K99" s="1543"/>
    </row>
    <row r="100" spans="1:11" ht="20.100000000000001" customHeight="1">
      <c r="A100" s="1545"/>
      <c r="B100" s="1545"/>
      <c r="C100" s="1545"/>
      <c r="D100" s="1545"/>
      <c r="E100" s="1565"/>
      <c r="F100" s="1241" t="s">
        <v>3435</v>
      </c>
      <c r="G100" s="1241" t="s">
        <v>2052</v>
      </c>
      <c r="H100" s="1241">
        <v>2</v>
      </c>
      <c r="I100" s="1241">
        <v>9000</v>
      </c>
      <c r="J100" s="1242">
        <f t="shared" si="2"/>
        <v>18000</v>
      </c>
      <c r="K100" s="1543"/>
    </row>
    <row r="101" spans="1:11" ht="20.100000000000001" customHeight="1">
      <c r="A101" s="1545"/>
      <c r="B101" s="1545"/>
      <c r="C101" s="1545"/>
      <c r="D101" s="1545"/>
      <c r="E101" s="1565"/>
      <c r="F101" s="1241" t="s">
        <v>3436</v>
      </c>
      <c r="G101" s="1241" t="s">
        <v>2052</v>
      </c>
      <c r="H101" s="1241">
        <v>1</v>
      </c>
      <c r="I101" s="1241">
        <v>54000</v>
      </c>
      <c r="J101" s="1242">
        <f t="shared" si="2"/>
        <v>54000</v>
      </c>
      <c r="K101" s="1543"/>
    </row>
    <row r="102" spans="1:11" ht="20.100000000000001" customHeight="1">
      <c r="A102" s="1545"/>
      <c r="B102" s="1545"/>
      <c r="C102" s="1545"/>
      <c r="D102" s="1545"/>
      <c r="E102" s="1240"/>
      <c r="F102" s="1241" t="s">
        <v>3437</v>
      </c>
      <c r="G102" s="1241"/>
      <c r="H102" s="1241"/>
      <c r="I102" s="1241"/>
      <c r="J102" s="1244">
        <f>SUM(J47:J101)</f>
        <v>2520480</v>
      </c>
      <c r="K102" s="1543"/>
    </row>
    <row r="103" spans="1:11" ht="20.100000000000001" customHeight="1">
      <c r="A103" s="1545"/>
      <c r="B103" s="1545"/>
      <c r="C103" s="1545"/>
      <c r="D103" s="1545"/>
      <c r="E103" s="1240"/>
      <c r="F103" s="1241" t="s">
        <v>1184</v>
      </c>
      <c r="G103" s="1241"/>
      <c r="H103" s="1241"/>
      <c r="I103" s="1241"/>
      <c r="J103" s="1244">
        <f>J102*0.15</f>
        <v>378072</v>
      </c>
      <c r="K103" s="1543"/>
    </row>
    <row r="104" spans="1:11" ht="20.100000000000001" customHeight="1">
      <c r="A104" s="1545"/>
      <c r="B104" s="1545"/>
      <c r="C104" s="1545"/>
      <c r="D104" s="1545"/>
      <c r="E104" s="1240"/>
      <c r="F104" s="1241" t="s">
        <v>3438</v>
      </c>
      <c r="G104" s="1241"/>
      <c r="H104" s="1241"/>
      <c r="I104" s="1241"/>
      <c r="J104" s="1244">
        <f>(J102+J103)*0.05</f>
        <v>144927.6</v>
      </c>
      <c r="K104" s="1543"/>
    </row>
    <row r="105" spans="1:11" ht="20.100000000000001" customHeight="1">
      <c r="A105" s="1545"/>
      <c r="B105" s="1545"/>
      <c r="C105" s="1545"/>
      <c r="D105" s="1545"/>
      <c r="E105" s="1214"/>
      <c r="F105" s="1218" t="s">
        <v>3439</v>
      </c>
      <c r="G105" s="1214"/>
      <c r="H105" s="1214"/>
      <c r="I105" s="1214"/>
      <c r="J105" s="1245">
        <f>SUM(J102:J104)</f>
        <v>3043479.6</v>
      </c>
      <c r="K105" s="1544"/>
    </row>
    <row r="106" spans="1:11" ht="20.100000000000001" customHeight="1">
      <c r="A106" s="1567" t="s">
        <v>3440</v>
      </c>
      <c r="B106" s="1567"/>
      <c r="C106" s="1567"/>
      <c r="D106" s="1567"/>
      <c r="E106" s="1567"/>
      <c r="F106" s="1567"/>
      <c r="G106" s="1246"/>
      <c r="H106" s="1246"/>
      <c r="I106" s="1246"/>
      <c r="J106" s="1247">
        <f>J10+J22+J27+J33+J105+J46</f>
        <v>6552401</v>
      </c>
      <c r="K106" s="1250">
        <f>K3+K11+K23+K28+K34+K47</f>
        <v>5110873</v>
      </c>
    </row>
    <row r="107" spans="1:11">
      <c r="A107" s="1248"/>
    </row>
  </sheetData>
  <mergeCells count="42">
    <mergeCell ref="A106:F106"/>
    <mergeCell ref="A47:A105"/>
    <mergeCell ref="B47:B105"/>
    <mergeCell ref="C47:C105"/>
    <mergeCell ref="D47:D105"/>
    <mergeCell ref="E47:E60"/>
    <mergeCell ref="K47:K105"/>
    <mergeCell ref="E63:E69"/>
    <mergeCell ref="E70:E81"/>
    <mergeCell ref="E82:E93"/>
    <mergeCell ref="E94:E101"/>
    <mergeCell ref="K28:K33"/>
    <mergeCell ref="A34:A46"/>
    <mergeCell ref="B34:B46"/>
    <mergeCell ref="C34:C46"/>
    <mergeCell ref="D34:D46"/>
    <mergeCell ref="K34:K46"/>
    <mergeCell ref="E35:E42"/>
    <mergeCell ref="A28:A33"/>
    <mergeCell ref="B28:B33"/>
    <mergeCell ref="C28:C33"/>
    <mergeCell ref="D28:D33"/>
    <mergeCell ref="E28:E29"/>
    <mergeCell ref="A23:A27"/>
    <mergeCell ref="B23:B27"/>
    <mergeCell ref="C23:C27"/>
    <mergeCell ref="D23:D27"/>
    <mergeCell ref="K23:K27"/>
    <mergeCell ref="K11:K22"/>
    <mergeCell ref="E14:E17"/>
    <mergeCell ref="A1:K1"/>
    <mergeCell ref="A3:A10"/>
    <mergeCell ref="B3:B10"/>
    <mergeCell ref="C3:C10"/>
    <mergeCell ref="D3:D10"/>
    <mergeCell ref="E3:E6"/>
    <mergeCell ref="K3:K10"/>
    <mergeCell ref="A11:A22"/>
    <mergeCell ref="B11:B22"/>
    <mergeCell ref="C11:C22"/>
    <mergeCell ref="D11:D22"/>
    <mergeCell ref="E11:E12"/>
  </mergeCells>
  <phoneticPr fontId="1" type="noConversion"/>
  <printOptions horizontalCentered="1"/>
  <pageMargins left="0.70866141732283472" right="0.70866141732283472" top="0.74803149606299213" bottom="0.74803149606299213" header="0.31496062992125984" footer="0.31496062992125984"/>
  <pageSetup paperSize="9" scale="75" orientation="portrait" r:id="rId1"/>
  <headerFooter>
    <oddFooter>第 &amp;P 页，共 &amp;N 页</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4"/>
  <sheetViews>
    <sheetView topLeftCell="A22" workbookViewId="0">
      <selection activeCell="D9" sqref="D9"/>
    </sheetView>
  </sheetViews>
  <sheetFormatPr defaultColWidth="8.875" defaultRowHeight="12"/>
  <cols>
    <col min="1" max="1" width="5.125" style="1295" customWidth="1"/>
    <col min="2" max="2" width="29.375" style="1297" customWidth="1"/>
    <col min="3" max="3" width="14.5" style="1296" customWidth="1"/>
    <col min="4" max="4" width="13.375" style="1296" customWidth="1"/>
    <col min="5" max="5" width="18.5" style="1298" customWidth="1"/>
    <col min="6" max="6" width="10.875" style="1298" customWidth="1"/>
    <col min="7" max="7" width="9.375" style="1299" customWidth="1"/>
    <col min="8" max="8" width="5.5" style="1295" customWidth="1"/>
    <col min="9" max="9" width="10.25" style="1299" customWidth="1"/>
    <col min="10" max="10" width="7.5" style="1300" customWidth="1"/>
    <col min="11" max="11" width="11.5" style="1252" customWidth="1"/>
    <col min="12" max="5146" width="9" style="1252" customWidth="1"/>
    <col min="5147" max="16384" width="8.875" style="1252"/>
  </cols>
  <sheetData>
    <row r="1" spans="1:10" ht="12.75">
      <c r="A1" s="1568" t="s">
        <v>3443</v>
      </c>
      <c r="B1" s="1568"/>
      <c r="C1" s="1568"/>
      <c r="D1" s="1568"/>
      <c r="E1" s="1568"/>
      <c r="F1" s="1568"/>
      <c r="G1" s="1568"/>
      <c r="H1" s="1568"/>
      <c r="I1" s="1568"/>
      <c r="J1" s="1568"/>
    </row>
    <row r="2" spans="1:10">
      <c r="A2" s="1253" t="s">
        <v>3444</v>
      </c>
      <c r="B2" s="1255" t="s">
        <v>2793</v>
      </c>
      <c r="C2" s="1254" t="s">
        <v>2794</v>
      </c>
      <c r="D2" s="1254" t="s">
        <v>2795</v>
      </c>
      <c r="E2" s="1254" t="s">
        <v>2796</v>
      </c>
      <c r="F2" s="1254" t="s">
        <v>2797</v>
      </c>
      <c r="G2" s="1256" t="s">
        <v>2798</v>
      </c>
      <c r="H2" s="1253" t="s">
        <v>2799</v>
      </c>
      <c r="I2" s="1256" t="s">
        <v>2800</v>
      </c>
      <c r="J2" s="1257" t="s">
        <v>3445</v>
      </c>
    </row>
    <row r="3" spans="1:10">
      <c r="A3" s="1258">
        <v>1</v>
      </c>
      <c r="B3" s="1259" t="s">
        <v>3446</v>
      </c>
      <c r="C3" s="1260" t="s">
        <v>3447</v>
      </c>
      <c r="D3" s="1261" t="s">
        <v>3448</v>
      </c>
      <c r="E3" s="1261" t="s">
        <v>3449</v>
      </c>
      <c r="F3" s="1258"/>
      <c r="G3" s="1262">
        <v>400</v>
      </c>
      <c r="H3" s="1258">
        <v>120</v>
      </c>
      <c r="I3" s="1262">
        <f>G3*H3</f>
        <v>48000</v>
      </c>
      <c r="J3" s="1258"/>
    </row>
    <row r="4" spans="1:10">
      <c r="A4" s="1258">
        <v>1</v>
      </c>
      <c r="B4" s="1259" t="s">
        <v>3446</v>
      </c>
      <c r="C4" s="1260" t="s">
        <v>3447</v>
      </c>
      <c r="D4" s="1261" t="s">
        <v>3448</v>
      </c>
      <c r="E4" s="1259" t="s">
        <v>3450</v>
      </c>
      <c r="F4" s="1258"/>
      <c r="G4" s="1262">
        <v>2000</v>
      </c>
      <c r="H4" s="1258">
        <v>3</v>
      </c>
      <c r="I4" s="1262">
        <f t="shared" ref="I4:I7" si="0">G4*H4</f>
        <v>6000</v>
      </c>
      <c r="J4" s="1258"/>
    </row>
    <row r="5" spans="1:10">
      <c r="A5" s="1258">
        <v>1</v>
      </c>
      <c r="B5" s="1259" t="s">
        <v>3446</v>
      </c>
      <c r="C5" s="1260" t="s">
        <v>3447</v>
      </c>
      <c r="D5" s="1261" t="s">
        <v>3448</v>
      </c>
      <c r="E5" s="1259" t="s">
        <v>3451</v>
      </c>
      <c r="F5" s="1258"/>
      <c r="G5" s="1262">
        <v>3500</v>
      </c>
      <c r="H5" s="1258">
        <v>3</v>
      </c>
      <c r="I5" s="1262">
        <f t="shared" si="0"/>
        <v>10500</v>
      </c>
      <c r="J5" s="1258"/>
    </row>
    <row r="6" spans="1:10" s="1264" customFormat="1" ht="34.5">
      <c r="A6" s="1258">
        <v>1</v>
      </c>
      <c r="B6" s="1259" t="s">
        <v>3446</v>
      </c>
      <c r="C6" s="1260" t="s">
        <v>3447</v>
      </c>
      <c r="D6" s="1263" t="s">
        <v>3452</v>
      </c>
      <c r="E6" s="1259" t="s">
        <v>3453</v>
      </c>
      <c r="F6" s="1258"/>
      <c r="G6" s="1262">
        <v>22000</v>
      </c>
      <c r="H6" s="1258">
        <v>3</v>
      </c>
      <c r="I6" s="1262">
        <f t="shared" si="0"/>
        <v>66000</v>
      </c>
      <c r="J6" s="1258"/>
    </row>
    <row r="7" spans="1:10">
      <c r="A7" s="1258">
        <v>1</v>
      </c>
      <c r="B7" s="1259" t="s">
        <v>3446</v>
      </c>
      <c r="C7" s="1260" t="s">
        <v>3447</v>
      </c>
      <c r="D7" s="1265" t="s">
        <v>3454</v>
      </c>
      <c r="E7" s="1263" t="s">
        <v>3454</v>
      </c>
      <c r="F7" s="1258"/>
      <c r="G7" s="1262">
        <v>5000</v>
      </c>
      <c r="H7" s="1258">
        <v>9</v>
      </c>
      <c r="I7" s="1262">
        <f t="shared" si="0"/>
        <v>45000</v>
      </c>
      <c r="J7" s="1258"/>
    </row>
    <row r="8" spans="1:10">
      <c r="A8" s="1258"/>
      <c r="B8" s="1266" t="s">
        <v>3455</v>
      </c>
      <c r="C8" s="1260"/>
      <c r="D8" s="1259"/>
      <c r="E8" s="1258"/>
      <c r="F8" s="1258"/>
      <c r="G8" s="1262"/>
      <c r="H8" s="1258"/>
      <c r="I8" s="1267">
        <f>SUM(I3:I7)</f>
        <v>175500</v>
      </c>
      <c r="J8" s="1258"/>
    </row>
    <row r="9" spans="1:10" s="1275" customFormat="1" ht="12.75">
      <c r="A9" s="1268">
        <v>2</v>
      </c>
      <c r="B9" s="1269" t="s">
        <v>3456</v>
      </c>
      <c r="C9" s="1260" t="s">
        <v>3457</v>
      </c>
      <c r="D9" s="1270" t="s">
        <v>3458</v>
      </c>
      <c r="E9" s="1259" t="s">
        <v>3459</v>
      </c>
      <c r="F9" s="1271" t="s">
        <v>3460</v>
      </c>
      <c r="G9" s="1272">
        <v>650</v>
      </c>
      <c r="H9" s="1273">
        <v>5</v>
      </c>
      <c r="I9" s="1274">
        <f>H9*G9</f>
        <v>3250</v>
      </c>
      <c r="J9" s="1258"/>
    </row>
    <row r="10" spans="1:10" s="1275" customFormat="1" ht="12.75">
      <c r="A10" s="1268">
        <v>2</v>
      </c>
      <c r="B10" s="1269" t="s">
        <v>3456</v>
      </c>
      <c r="C10" s="1260" t="s">
        <v>3457</v>
      </c>
      <c r="D10" s="1270" t="s">
        <v>3458</v>
      </c>
      <c r="E10" s="1259" t="s">
        <v>3461</v>
      </c>
      <c r="F10" s="1271" t="s">
        <v>3460</v>
      </c>
      <c r="G10" s="1272">
        <v>650</v>
      </c>
      <c r="H10" s="1273">
        <v>5</v>
      </c>
      <c r="I10" s="1274">
        <f>H10*G10</f>
        <v>3250</v>
      </c>
      <c r="J10" s="1258"/>
    </row>
    <row r="11" spans="1:10" s="1275" customFormat="1" ht="22.5">
      <c r="A11" s="1268">
        <v>2</v>
      </c>
      <c r="B11" s="1269" t="s">
        <v>3456</v>
      </c>
      <c r="C11" s="1260" t="s">
        <v>3457</v>
      </c>
      <c r="D11" s="1270" t="s">
        <v>3458</v>
      </c>
      <c r="E11" s="1259" t="s">
        <v>3462</v>
      </c>
      <c r="F11" s="1259" t="s">
        <v>3463</v>
      </c>
      <c r="G11" s="1272">
        <v>380</v>
      </c>
      <c r="H11" s="1273">
        <v>30</v>
      </c>
      <c r="I11" s="1274">
        <f>H11*G11</f>
        <v>11400</v>
      </c>
      <c r="J11" s="1258"/>
    </row>
    <row r="12" spans="1:10" s="1275" customFormat="1" ht="45">
      <c r="A12" s="1268">
        <v>2</v>
      </c>
      <c r="B12" s="1269" t="s">
        <v>3456</v>
      </c>
      <c r="C12" s="1260" t="s">
        <v>3457</v>
      </c>
      <c r="D12" s="1270" t="s">
        <v>3458</v>
      </c>
      <c r="E12" s="1259" t="s">
        <v>3464</v>
      </c>
      <c r="F12" s="1259" t="s">
        <v>3465</v>
      </c>
      <c r="G12" s="1272">
        <v>700</v>
      </c>
      <c r="H12" s="1273">
        <v>1</v>
      </c>
      <c r="I12" s="1274">
        <f t="shared" ref="I12:I16" si="1">H12*G12</f>
        <v>700</v>
      </c>
      <c r="J12" s="1258"/>
    </row>
    <row r="13" spans="1:10" s="1275" customFormat="1" ht="45">
      <c r="A13" s="1268">
        <v>2</v>
      </c>
      <c r="B13" s="1269" t="s">
        <v>3456</v>
      </c>
      <c r="C13" s="1260" t="s">
        <v>3457</v>
      </c>
      <c r="D13" s="1270" t="s">
        <v>3458</v>
      </c>
      <c r="E13" s="1259" t="s">
        <v>3466</v>
      </c>
      <c r="F13" s="1259" t="s">
        <v>3467</v>
      </c>
      <c r="G13" s="1272">
        <v>6000</v>
      </c>
      <c r="H13" s="1273">
        <v>1</v>
      </c>
      <c r="I13" s="1274">
        <f t="shared" si="1"/>
        <v>6000</v>
      </c>
      <c r="J13" s="1258"/>
    </row>
    <row r="14" spans="1:10" s="1275" customFormat="1" ht="12.75">
      <c r="A14" s="1268">
        <v>2</v>
      </c>
      <c r="B14" s="1269" t="s">
        <v>3456</v>
      </c>
      <c r="C14" s="1260" t="s">
        <v>3457</v>
      </c>
      <c r="D14" s="1259" t="s">
        <v>3468</v>
      </c>
      <c r="E14" s="1259" t="s">
        <v>3468</v>
      </c>
      <c r="F14" s="1259"/>
      <c r="G14" s="1272">
        <v>13000</v>
      </c>
      <c r="H14" s="1273">
        <v>1</v>
      </c>
      <c r="I14" s="1274">
        <f t="shared" si="1"/>
        <v>13000</v>
      </c>
      <c r="J14" s="1258"/>
    </row>
    <row r="15" spans="1:10" s="1275" customFormat="1" ht="12.75">
      <c r="A15" s="1268">
        <v>2</v>
      </c>
      <c r="B15" s="1269" t="s">
        <v>3456</v>
      </c>
      <c r="C15" s="1260" t="s">
        <v>3457</v>
      </c>
      <c r="D15" s="1259" t="s">
        <v>3469</v>
      </c>
      <c r="E15" s="1259" t="s">
        <v>3469</v>
      </c>
      <c r="F15" s="1276" t="s">
        <v>3470</v>
      </c>
      <c r="G15" s="1277">
        <v>9000</v>
      </c>
      <c r="H15" s="1273">
        <v>1</v>
      </c>
      <c r="I15" s="1274">
        <f t="shared" si="1"/>
        <v>9000</v>
      </c>
      <c r="J15" s="1258"/>
    </row>
    <row r="16" spans="1:10" s="1275" customFormat="1" ht="12.75">
      <c r="A16" s="1268">
        <v>2</v>
      </c>
      <c r="B16" s="1269" t="s">
        <v>3456</v>
      </c>
      <c r="C16" s="1260" t="s">
        <v>3457</v>
      </c>
      <c r="D16" s="1278" t="s">
        <v>3471</v>
      </c>
      <c r="E16" s="1278" t="s">
        <v>3472</v>
      </c>
      <c r="F16" s="1278" t="s">
        <v>3473</v>
      </c>
      <c r="G16" s="1272">
        <v>5000</v>
      </c>
      <c r="H16" s="1273">
        <v>2</v>
      </c>
      <c r="I16" s="1274">
        <f t="shared" si="1"/>
        <v>10000</v>
      </c>
      <c r="J16" s="1258"/>
    </row>
    <row r="17" spans="1:10" s="1275" customFormat="1" ht="12.75">
      <c r="A17" s="1268">
        <v>2</v>
      </c>
      <c r="B17" s="1269" t="s">
        <v>3456</v>
      </c>
      <c r="C17" s="1260" t="s">
        <v>3457</v>
      </c>
      <c r="D17" s="1259" t="s">
        <v>3474</v>
      </c>
      <c r="E17" s="1278" t="s">
        <v>3475</v>
      </c>
      <c r="F17" s="1259"/>
      <c r="G17" s="1272">
        <v>7300</v>
      </c>
      <c r="H17" s="1273">
        <v>1</v>
      </c>
      <c r="I17" s="1274">
        <f>H17*G17</f>
        <v>7300</v>
      </c>
      <c r="J17" s="1258"/>
    </row>
    <row r="18" spans="1:10" s="1275" customFormat="1" ht="12.75">
      <c r="A18" s="1268">
        <v>2</v>
      </c>
      <c r="B18" s="1269" t="s">
        <v>3456</v>
      </c>
      <c r="C18" s="1260" t="s">
        <v>3457</v>
      </c>
      <c r="D18" s="1259" t="s">
        <v>3476</v>
      </c>
      <c r="E18" s="1259" t="s">
        <v>3477</v>
      </c>
      <c r="F18" s="1259"/>
      <c r="G18" s="1272">
        <v>12000</v>
      </c>
      <c r="H18" s="1273">
        <v>1</v>
      </c>
      <c r="I18" s="1274">
        <f>H18*G18</f>
        <v>12000</v>
      </c>
      <c r="J18" s="1258"/>
    </row>
    <row r="19" spans="1:10" s="1275" customFormat="1" ht="23.25">
      <c r="A19" s="1268">
        <v>2</v>
      </c>
      <c r="B19" s="1269" t="s">
        <v>3456</v>
      </c>
      <c r="C19" s="1260" t="s">
        <v>3457</v>
      </c>
      <c r="D19" s="1263" t="s">
        <v>3452</v>
      </c>
      <c r="E19" s="1259" t="s">
        <v>3478</v>
      </c>
      <c r="F19" s="1259"/>
      <c r="G19" s="1277">
        <v>15000</v>
      </c>
      <c r="H19" s="1273">
        <v>1</v>
      </c>
      <c r="I19" s="1274">
        <f>H19*G19</f>
        <v>15000</v>
      </c>
      <c r="J19" s="1258"/>
    </row>
    <row r="20" spans="1:10" s="1275" customFormat="1" ht="12.75">
      <c r="A20" s="1268">
        <v>2</v>
      </c>
      <c r="B20" s="1269" t="s">
        <v>3456</v>
      </c>
      <c r="C20" s="1260" t="s">
        <v>3457</v>
      </c>
      <c r="D20" s="1259" t="s">
        <v>3479</v>
      </c>
      <c r="E20" s="1259" t="s">
        <v>3479</v>
      </c>
      <c r="F20" s="1259"/>
      <c r="G20" s="1277">
        <v>1200</v>
      </c>
      <c r="H20" s="1273">
        <v>1</v>
      </c>
      <c r="I20" s="1274">
        <f>H20*G20</f>
        <v>1200</v>
      </c>
      <c r="J20" s="1258"/>
    </row>
    <row r="21" spans="1:10" s="1275" customFormat="1" ht="12.75">
      <c r="A21" s="1268">
        <v>2</v>
      </c>
      <c r="B21" s="1269" t="s">
        <v>3456</v>
      </c>
      <c r="C21" s="1260" t="s">
        <v>3457</v>
      </c>
      <c r="D21" s="1259" t="s">
        <v>3480</v>
      </c>
      <c r="E21" s="1259" t="s">
        <v>3480</v>
      </c>
      <c r="F21" s="1259"/>
      <c r="G21" s="1277">
        <v>1400</v>
      </c>
      <c r="H21" s="1273">
        <v>1</v>
      </c>
      <c r="I21" s="1274">
        <f>H21*G21</f>
        <v>1400</v>
      </c>
      <c r="J21" s="1258"/>
    </row>
    <row r="22" spans="1:10" s="1275" customFormat="1" ht="12.75">
      <c r="A22" s="1268"/>
      <c r="B22" s="1279" t="s">
        <v>3481</v>
      </c>
      <c r="C22" s="1260"/>
      <c r="D22" s="1279"/>
      <c r="E22" s="1269"/>
      <c r="F22" s="1269"/>
      <c r="G22" s="1280"/>
      <c r="H22" s="1280"/>
      <c r="I22" s="1281">
        <f>SUM(I9:I21)</f>
        <v>93500</v>
      </c>
      <c r="J22" s="1258"/>
    </row>
    <row r="23" spans="1:10" s="1275" customFormat="1" ht="12.75">
      <c r="A23" s="1268">
        <v>3</v>
      </c>
      <c r="B23" s="1269" t="s">
        <v>3482</v>
      </c>
      <c r="C23" s="1260" t="s">
        <v>3457</v>
      </c>
      <c r="D23" s="1270" t="s">
        <v>3458</v>
      </c>
      <c r="E23" s="1259" t="s">
        <v>3459</v>
      </c>
      <c r="F23" s="1271" t="s">
        <v>3460</v>
      </c>
      <c r="G23" s="1272">
        <v>650</v>
      </c>
      <c r="H23" s="1273">
        <v>5</v>
      </c>
      <c r="I23" s="1274">
        <f>H23*G23</f>
        <v>3250</v>
      </c>
      <c r="J23" s="1258"/>
    </row>
    <row r="24" spans="1:10" s="1275" customFormat="1" ht="12.75">
      <c r="A24" s="1268">
        <v>3</v>
      </c>
      <c r="B24" s="1269" t="s">
        <v>3482</v>
      </c>
      <c r="C24" s="1260" t="s">
        <v>3457</v>
      </c>
      <c r="D24" s="1270" t="s">
        <v>3458</v>
      </c>
      <c r="E24" s="1259" t="s">
        <v>3461</v>
      </c>
      <c r="F24" s="1271" t="s">
        <v>3460</v>
      </c>
      <c r="G24" s="1272">
        <v>650</v>
      </c>
      <c r="H24" s="1273">
        <v>5</v>
      </c>
      <c r="I24" s="1274">
        <f>H24*G24</f>
        <v>3250</v>
      </c>
      <c r="J24" s="1258"/>
    </row>
    <row r="25" spans="1:10" s="1275" customFormat="1" ht="22.5">
      <c r="A25" s="1268">
        <v>3</v>
      </c>
      <c r="B25" s="1269" t="s">
        <v>3482</v>
      </c>
      <c r="C25" s="1260" t="s">
        <v>3457</v>
      </c>
      <c r="D25" s="1270" t="s">
        <v>3458</v>
      </c>
      <c r="E25" s="1259" t="s">
        <v>3462</v>
      </c>
      <c r="F25" s="1259" t="s">
        <v>3463</v>
      </c>
      <c r="G25" s="1272">
        <v>380</v>
      </c>
      <c r="H25" s="1273">
        <v>30</v>
      </c>
      <c r="I25" s="1274">
        <f>H25*G25</f>
        <v>11400</v>
      </c>
      <c r="J25" s="1258"/>
    </row>
    <row r="26" spans="1:10" s="1275" customFormat="1" ht="12.75">
      <c r="A26" s="1268">
        <v>3</v>
      </c>
      <c r="B26" s="1269" t="s">
        <v>3482</v>
      </c>
      <c r="C26" s="1260" t="s">
        <v>3457</v>
      </c>
      <c r="D26" s="1270" t="s">
        <v>3458</v>
      </c>
      <c r="E26" s="1259" t="s">
        <v>3483</v>
      </c>
      <c r="F26" s="1259" t="s">
        <v>3484</v>
      </c>
      <c r="G26" s="1277">
        <v>2400</v>
      </c>
      <c r="H26" s="1273">
        <v>1</v>
      </c>
      <c r="I26" s="1274">
        <f t="shared" ref="I26:I33" si="2">H26*G26</f>
        <v>2400</v>
      </c>
      <c r="J26" s="1258"/>
    </row>
    <row r="27" spans="1:10" s="1275" customFormat="1" ht="45">
      <c r="A27" s="1268">
        <v>3</v>
      </c>
      <c r="B27" s="1269" t="s">
        <v>3482</v>
      </c>
      <c r="C27" s="1260" t="s">
        <v>3457</v>
      </c>
      <c r="D27" s="1270" t="s">
        <v>3458</v>
      </c>
      <c r="E27" s="1259" t="s">
        <v>3464</v>
      </c>
      <c r="F27" s="1259" t="s">
        <v>3465</v>
      </c>
      <c r="G27" s="1272">
        <v>700</v>
      </c>
      <c r="H27" s="1273">
        <v>1</v>
      </c>
      <c r="I27" s="1274">
        <f t="shared" si="2"/>
        <v>700</v>
      </c>
      <c r="J27" s="1258"/>
    </row>
    <row r="28" spans="1:10" s="1275" customFormat="1" ht="45">
      <c r="A28" s="1268">
        <v>3</v>
      </c>
      <c r="B28" s="1269" t="s">
        <v>3482</v>
      </c>
      <c r="C28" s="1260" t="s">
        <v>3457</v>
      </c>
      <c r="D28" s="1270" t="s">
        <v>3458</v>
      </c>
      <c r="E28" s="1259" t="s">
        <v>3466</v>
      </c>
      <c r="F28" s="1259" t="s">
        <v>3467</v>
      </c>
      <c r="G28" s="1272">
        <v>6000</v>
      </c>
      <c r="H28" s="1273">
        <v>1</v>
      </c>
      <c r="I28" s="1274">
        <f t="shared" si="2"/>
        <v>6000</v>
      </c>
      <c r="J28" s="1258"/>
    </row>
    <row r="29" spans="1:10" s="1275" customFormat="1" ht="12.75">
      <c r="A29" s="1268">
        <v>3</v>
      </c>
      <c r="B29" s="1269" t="s">
        <v>3482</v>
      </c>
      <c r="C29" s="1260" t="s">
        <v>3457</v>
      </c>
      <c r="D29" s="1270" t="s">
        <v>3458</v>
      </c>
      <c r="E29" s="1259" t="s">
        <v>3485</v>
      </c>
      <c r="F29" s="1259"/>
      <c r="G29" s="1272">
        <v>1600</v>
      </c>
      <c r="H29" s="1273">
        <v>2</v>
      </c>
      <c r="I29" s="1274">
        <f>G29*H29</f>
        <v>3200</v>
      </c>
      <c r="J29" s="1258"/>
    </row>
    <row r="30" spans="1:10" s="1275" customFormat="1" ht="12.75">
      <c r="A30" s="1268">
        <v>3</v>
      </c>
      <c r="B30" s="1269" t="s">
        <v>3482</v>
      </c>
      <c r="C30" s="1260" t="s">
        <v>3457</v>
      </c>
      <c r="D30" s="1270" t="s">
        <v>3458</v>
      </c>
      <c r="E30" s="1259" t="s">
        <v>3486</v>
      </c>
      <c r="F30" s="1259"/>
      <c r="G30" s="1272">
        <v>700</v>
      </c>
      <c r="H30" s="1273">
        <v>1</v>
      </c>
      <c r="I30" s="1274">
        <f>G30*H30</f>
        <v>700</v>
      </c>
      <c r="J30" s="1258"/>
    </row>
    <row r="31" spans="1:10" s="1275" customFormat="1" ht="12.75">
      <c r="A31" s="1268">
        <v>3</v>
      </c>
      <c r="B31" s="1269" t="s">
        <v>3482</v>
      </c>
      <c r="C31" s="1260" t="s">
        <v>3457</v>
      </c>
      <c r="D31" s="1259" t="s">
        <v>3469</v>
      </c>
      <c r="E31" s="1259" t="s">
        <v>3469</v>
      </c>
      <c r="F31" s="1276" t="s">
        <v>3470</v>
      </c>
      <c r="G31" s="1277">
        <v>9000</v>
      </c>
      <c r="H31" s="1273">
        <v>1</v>
      </c>
      <c r="I31" s="1274">
        <f t="shared" si="2"/>
        <v>9000</v>
      </c>
      <c r="J31" s="1258"/>
    </row>
    <row r="32" spans="1:10" s="1275" customFormat="1" ht="12.75">
      <c r="A32" s="1268">
        <v>3</v>
      </c>
      <c r="B32" s="1269" t="s">
        <v>3482</v>
      </c>
      <c r="C32" s="1260" t="s">
        <v>3457</v>
      </c>
      <c r="D32" s="1278" t="s">
        <v>3471</v>
      </c>
      <c r="E32" s="1278" t="s">
        <v>3472</v>
      </c>
      <c r="F32" s="1278" t="s">
        <v>3473</v>
      </c>
      <c r="G32" s="1272">
        <v>5000</v>
      </c>
      <c r="H32" s="1273">
        <v>1</v>
      </c>
      <c r="I32" s="1274">
        <f t="shared" si="2"/>
        <v>5000</v>
      </c>
      <c r="J32" s="1258"/>
    </row>
    <row r="33" spans="1:10" s="1275" customFormat="1" ht="12.75">
      <c r="A33" s="1268">
        <v>3</v>
      </c>
      <c r="B33" s="1269" t="s">
        <v>3482</v>
      </c>
      <c r="C33" s="1260" t="s">
        <v>3457</v>
      </c>
      <c r="D33" s="1278" t="s">
        <v>3487</v>
      </c>
      <c r="E33" s="1278" t="s">
        <v>3487</v>
      </c>
      <c r="F33" s="1259"/>
      <c r="G33" s="1272">
        <v>5000</v>
      </c>
      <c r="H33" s="1273">
        <v>1</v>
      </c>
      <c r="I33" s="1274">
        <f t="shared" si="2"/>
        <v>5000</v>
      </c>
      <c r="J33" s="1258"/>
    </row>
    <row r="34" spans="1:10" s="1275" customFormat="1" ht="23.25">
      <c r="A34" s="1268">
        <v>3</v>
      </c>
      <c r="B34" s="1269" t="s">
        <v>3482</v>
      </c>
      <c r="C34" s="1260" t="s">
        <v>3457</v>
      </c>
      <c r="D34" s="1263" t="s">
        <v>3452</v>
      </c>
      <c r="E34" s="1259" t="s">
        <v>3478</v>
      </c>
      <c r="F34" s="1259"/>
      <c r="G34" s="1277">
        <v>15000</v>
      </c>
      <c r="H34" s="1273">
        <v>1</v>
      </c>
      <c r="I34" s="1274">
        <f>H34*G34</f>
        <v>15000</v>
      </c>
      <c r="J34" s="1258"/>
    </row>
    <row r="35" spans="1:10" s="1275" customFormat="1" ht="12.75">
      <c r="A35" s="1268">
        <v>3</v>
      </c>
      <c r="B35" s="1269" t="s">
        <v>3482</v>
      </c>
      <c r="C35" s="1260" t="s">
        <v>3457</v>
      </c>
      <c r="D35" s="1259" t="s">
        <v>3479</v>
      </c>
      <c r="E35" s="1259" t="s">
        <v>3479</v>
      </c>
      <c r="F35" s="1259"/>
      <c r="G35" s="1277">
        <v>1200</v>
      </c>
      <c r="H35" s="1273">
        <v>1</v>
      </c>
      <c r="I35" s="1274">
        <f>H35*G35</f>
        <v>1200</v>
      </c>
      <c r="J35" s="1258"/>
    </row>
    <row r="36" spans="1:10" s="1275" customFormat="1" ht="12.75">
      <c r="A36" s="1268">
        <v>3</v>
      </c>
      <c r="B36" s="1269" t="s">
        <v>3482</v>
      </c>
      <c r="C36" s="1260" t="s">
        <v>3457</v>
      </c>
      <c r="D36" s="1259" t="s">
        <v>3480</v>
      </c>
      <c r="E36" s="1259" t="s">
        <v>3480</v>
      </c>
      <c r="F36" s="1259"/>
      <c r="G36" s="1277">
        <v>1400</v>
      </c>
      <c r="H36" s="1273">
        <v>1</v>
      </c>
      <c r="I36" s="1274">
        <f>H36*G36</f>
        <v>1400</v>
      </c>
      <c r="J36" s="1258"/>
    </row>
    <row r="37" spans="1:10" s="1275" customFormat="1" ht="12.75">
      <c r="A37" s="1268"/>
      <c r="B37" s="1279" t="s">
        <v>3481</v>
      </c>
      <c r="C37" s="1260"/>
      <c r="D37" s="1279"/>
      <c r="E37" s="1269"/>
      <c r="F37" s="1269"/>
      <c r="G37" s="1280"/>
      <c r="H37" s="1280"/>
      <c r="I37" s="1281">
        <f>SUM(I23:I36)</f>
        <v>67500</v>
      </c>
      <c r="J37" s="1258"/>
    </row>
    <row r="38" spans="1:10" s="1275" customFormat="1" ht="12.75">
      <c r="A38" s="1268"/>
      <c r="B38" s="1279" t="s">
        <v>3552</v>
      </c>
      <c r="C38" s="1260"/>
      <c r="D38" s="1279"/>
      <c r="E38" s="1269"/>
      <c r="F38" s="1269"/>
      <c r="G38" s="1280"/>
      <c r="H38" s="1280"/>
      <c r="I38" s="1281">
        <f>SUM(I37,I22,I8)</f>
        <v>336500</v>
      </c>
      <c r="J38" s="1258"/>
    </row>
    <row r="39" spans="1:10">
      <c r="A39" s="1258">
        <v>1</v>
      </c>
      <c r="B39" s="1261" t="s">
        <v>3488</v>
      </c>
      <c r="C39" s="1260" t="s">
        <v>3489</v>
      </c>
      <c r="D39" s="1261" t="s">
        <v>3458</v>
      </c>
      <c r="E39" s="1261" t="s">
        <v>3449</v>
      </c>
      <c r="F39" s="1258"/>
      <c r="G39" s="1262">
        <v>400</v>
      </c>
      <c r="H39" s="1258">
        <v>90</v>
      </c>
      <c r="I39" s="1262">
        <f>G39*H39</f>
        <v>36000</v>
      </c>
      <c r="J39" s="1258"/>
    </row>
    <row r="40" spans="1:10">
      <c r="A40" s="1258">
        <v>1</v>
      </c>
      <c r="B40" s="1261" t="s">
        <v>3488</v>
      </c>
      <c r="C40" s="1260" t="s">
        <v>3489</v>
      </c>
      <c r="D40" s="1261" t="s">
        <v>3458</v>
      </c>
      <c r="E40" s="1259" t="s">
        <v>3450</v>
      </c>
      <c r="F40" s="1258"/>
      <c r="G40" s="1262">
        <v>2000</v>
      </c>
      <c r="H40" s="1258">
        <v>2</v>
      </c>
      <c r="I40" s="1262">
        <f t="shared" ref="I40:I43" si="3">G40*H40</f>
        <v>4000</v>
      </c>
      <c r="J40" s="1258"/>
    </row>
    <row r="41" spans="1:10">
      <c r="A41" s="1258">
        <v>1</v>
      </c>
      <c r="B41" s="1261" t="s">
        <v>3488</v>
      </c>
      <c r="C41" s="1260" t="s">
        <v>3489</v>
      </c>
      <c r="D41" s="1261" t="s">
        <v>3458</v>
      </c>
      <c r="E41" s="1259" t="s">
        <v>3451</v>
      </c>
      <c r="F41" s="1258"/>
      <c r="G41" s="1262">
        <v>3500</v>
      </c>
      <c r="H41" s="1258">
        <v>2</v>
      </c>
      <c r="I41" s="1262">
        <f t="shared" si="3"/>
        <v>7000</v>
      </c>
      <c r="J41" s="1258"/>
    </row>
    <row r="42" spans="1:10" s="1264" customFormat="1" ht="34.5">
      <c r="A42" s="1258">
        <v>1</v>
      </c>
      <c r="B42" s="1261" t="s">
        <v>3488</v>
      </c>
      <c r="C42" s="1260" t="s">
        <v>3489</v>
      </c>
      <c r="D42" s="1263" t="s">
        <v>3452</v>
      </c>
      <c r="E42" s="1259" t="s">
        <v>3453</v>
      </c>
      <c r="F42" s="1258"/>
      <c r="G42" s="1262">
        <v>22000</v>
      </c>
      <c r="H42" s="1258">
        <v>2</v>
      </c>
      <c r="I42" s="1262">
        <f t="shared" si="3"/>
        <v>44000</v>
      </c>
      <c r="J42" s="1258"/>
    </row>
    <row r="43" spans="1:10">
      <c r="A43" s="1258">
        <v>1</v>
      </c>
      <c r="B43" s="1261" t="s">
        <v>3488</v>
      </c>
      <c r="C43" s="1260" t="s">
        <v>3489</v>
      </c>
      <c r="D43" s="1261" t="s">
        <v>3454</v>
      </c>
      <c r="E43" s="1259" t="s">
        <v>3454</v>
      </c>
      <c r="F43" s="1258"/>
      <c r="G43" s="1262">
        <v>5000</v>
      </c>
      <c r="H43" s="1258">
        <v>6</v>
      </c>
      <c r="I43" s="1262">
        <f t="shared" si="3"/>
        <v>30000</v>
      </c>
      <c r="J43" s="1258"/>
    </row>
    <row r="44" spans="1:10">
      <c r="A44" s="1258"/>
      <c r="B44" s="1266" t="s">
        <v>3490</v>
      </c>
      <c r="C44" s="1260"/>
      <c r="D44" s="1259"/>
      <c r="E44" s="1258"/>
      <c r="F44" s="1258"/>
      <c r="G44" s="1262"/>
      <c r="H44" s="1258"/>
      <c r="I44" s="1267">
        <f>SUM(I39:I43)</f>
        <v>121000</v>
      </c>
      <c r="J44" s="1258"/>
    </row>
    <row r="45" spans="1:10" ht="34.5">
      <c r="A45" s="1258">
        <v>2</v>
      </c>
      <c r="B45" s="1261" t="s">
        <v>3491</v>
      </c>
      <c r="C45" s="1260" t="s">
        <v>3489</v>
      </c>
      <c r="D45" s="1263" t="s">
        <v>3452</v>
      </c>
      <c r="E45" s="1259" t="s">
        <v>3453</v>
      </c>
      <c r="F45" s="1258"/>
      <c r="G45" s="1282">
        <v>22000</v>
      </c>
      <c r="H45" s="1268">
        <v>18</v>
      </c>
      <c r="I45" s="1262">
        <f>G45*H45</f>
        <v>396000</v>
      </c>
      <c r="J45" s="1258" t="s">
        <v>3492</v>
      </c>
    </row>
    <row r="46" spans="1:10" ht="22.5">
      <c r="A46" s="1258">
        <v>2</v>
      </c>
      <c r="B46" s="1261" t="s">
        <v>3491</v>
      </c>
      <c r="C46" s="1260" t="s">
        <v>3489</v>
      </c>
      <c r="D46" s="1283" t="s">
        <v>3493</v>
      </c>
      <c r="E46" s="1283" t="s">
        <v>3493</v>
      </c>
      <c r="F46" s="1258"/>
      <c r="G46" s="1282">
        <v>1000</v>
      </c>
      <c r="H46" s="1268">
        <v>36</v>
      </c>
      <c r="I46" s="1262">
        <f t="shared" ref="I46:I54" si="4">G46*H46</f>
        <v>36000</v>
      </c>
      <c r="J46" s="1258" t="s">
        <v>3492</v>
      </c>
    </row>
    <row r="47" spans="1:10" ht="22.5">
      <c r="A47" s="1258">
        <v>2</v>
      </c>
      <c r="B47" s="1261" t="s">
        <v>3491</v>
      </c>
      <c r="C47" s="1260" t="s">
        <v>3489</v>
      </c>
      <c r="D47" s="1261" t="s">
        <v>3458</v>
      </c>
      <c r="E47" s="1283" t="s">
        <v>3494</v>
      </c>
      <c r="F47" s="1258"/>
      <c r="G47" s="1282">
        <v>2000</v>
      </c>
      <c r="H47" s="1268">
        <v>18</v>
      </c>
      <c r="I47" s="1262">
        <f>G47*H47</f>
        <v>36000</v>
      </c>
      <c r="J47" s="1258" t="s">
        <v>3492</v>
      </c>
    </row>
    <row r="48" spans="1:10" ht="22.5">
      <c r="A48" s="1258">
        <v>2</v>
      </c>
      <c r="B48" s="1261" t="s">
        <v>3491</v>
      </c>
      <c r="C48" s="1260" t="s">
        <v>3489</v>
      </c>
      <c r="D48" s="1261" t="s">
        <v>3454</v>
      </c>
      <c r="E48" s="1259" t="s">
        <v>3454</v>
      </c>
      <c r="F48" s="1258"/>
      <c r="G48" s="1282">
        <v>5000</v>
      </c>
      <c r="H48" s="1268">
        <v>33</v>
      </c>
      <c r="I48" s="1262">
        <f t="shared" si="4"/>
        <v>165000</v>
      </c>
      <c r="J48" s="1258" t="s">
        <v>3495</v>
      </c>
    </row>
    <row r="49" spans="1:10" ht="22.5">
      <c r="A49" s="1258">
        <v>2</v>
      </c>
      <c r="B49" s="1261" t="s">
        <v>3491</v>
      </c>
      <c r="C49" s="1260" t="s">
        <v>3489</v>
      </c>
      <c r="D49" s="1261" t="s">
        <v>3458</v>
      </c>
      <c r="E49" s="1283" t="s">
        <v>3496</v>
      </c>
      <c r="F49" s="1258"/>
      <c r="G49" s="1282">
        <v>400</v>
      </c>
      <c r="H49" s="1268">
        <v>220</v>
      </c>
      <c r="I49" s="1262">
        <f>G49*H49</f>
        <v>88000</v>
      </c>
      <c r="J49" s="1258" t="s">
        <v>3492</v>
      </c>
    </row>
    <row r="50" spans="1:10" s="1264" customFormat="1" ht="22.5">
      <c r="A50" s="1258">
        <v>2</v>
      </c>
      <c r="B50" s="1261" t="s">
        <v>3491</v>
      </c>
      <c r="C50" s="1260" t="s">
        <v>3489</v>
      </c>
      <c r="D50" s="1283" t="s">
        <v>3497</v>
      </c>
      <c r="E50" s="1283" t="s">
        <v>3497</v>
      </c>
      <c r="F50" s="1258"/>
      <c r="G50" s="1282">
        <v>15000</v>
      </c>
      <c r="H50" s="1268">
        <v>1</v>
      </c>
      <c r="I50" s="1262">
        <f t="shared" si="4"/>
        <v>15000</v>
      </c>
      <c r="J50" s="1258" t="s">
        <v>3498</v>
      </c>
    </row>
    <row r="51" spans="1:10" ht="33.75">
      <c r="A51" s="1258">
        <v>2</v>
      </c>
      <c r="B51" s="1261" t="s">
        <v>3491</v>
      </c>
      <c r="C51" s="1260" t="s">
        <v>3489</v>
      </c>
      <c r="D51" s="1261" t="s">
        <v>3458</v>
      </c>
      <c r="E51" s="1283" t="s">
        <v>3499</v>
      </c>
      <c r="F51" s="1258"/>
      <c r="G51" s="1282">
        <v>2300</v>
      </c>
      <c r="H51" s="1268">
        <v>33</v>
      </c>
      <c r="I51" s="1262">
        <f>G51*H51</f>
        <v>75900</v>
      </c>
      <c r="J51" s="1258" t="s">
        <v>3500</v>
      </c>
    </row>
    <row r="52" spans="1:10" ht="34.5">
      <c r="A52" s="1258">
        <v>2</v>
      </c>
      <c r="B52" s="1261" t="s">
        <v>3491</v>
      </c>
      <c r="C52" s="1260" t="s">
        <v>3489</v>
      </c>
      <c r="D52" s="1263" t="s">
        <v>3452</v>
      </c>
      <c r="E52" s="1259" t="s">
        <v>3453</v>
      </c>
      <c r="F52" s="1258"/>
      <c r="G52" s="1282">
        <v>22000</v>
      </c>
      <c r="H52" s="1268">
        <v>4</v>
      </c>
      <c r="I52" s="1262">
        <f t="shared" si="4"/>
        <v>88000</v>
      </c>
      <c r="J52" s="1258" t="s">
        <v>3501</v>
      </c>
    </row>
    <row r="53" spans="1:10" ht="22.5">
      <c r="A53" s="1258">
        <v>2</v>
      </c>
      <c r="B53" s="1261" t="s">
        <v>3491</v>
      </c>
      <c r="C53" s="1260" t="s">
        <v>3489</v>
      </c>
      <c r="D53" s="1265" t="s">
        <v>3502</v>
      </c>
      <c r="E53" s="1283" t="s">
        <v>3503</v>
      </c>
      <c r="F53" s="1258"/>
      <c r="G53" s="1282">
        <v>1000</v>
      </c>
      <c r="H53" s="1268">
        <v>8</v>
      </c>
      <c r="I53" s="1262">
        <f t="shared" si="4"/>
        <v>8000</v>
      </c>
      <c r="J53" s="1258" t="s">
        <v>3504</v>
      </c>
    </row>
    <row r="54" spans="1:10" ht="22.5">
      <c r="A54" s="1258">
        <v>2</v>
      </c>
      <c r="B54" s="1261" t="s">
        <v>3491</v>
      </c>
      <c r="C54" s="1260" t="s">
        <v>3489</v>
      </c>
      <c r="D54" s="1261" t="s">
        <v>3458</v>
      </c>
      <c r="E54" s="1283" t="s">
        <v>3450</v>
      </c>
      <c r="F54" s="1258"/>
      <c r="G54" s="1282">
        <v>2000</v>
      </c>
      <c r="H54" s="1268">
        <v>4</v>
      </c>
      <c r="I54" s="1262">
        <f t="shared" si="4"/>
        <v>8000</v>
      </c>
      <c r="J54" s="1258" t="s">
        <v>3501</v>
      </c>
    </row>
    <row r="55" spans="1:10">
      <c r="A55" s="1258"/>
      <c r="B55" s="1266" t="s">
        <v>3490</v>
      </c>
      <c r="C55" s="1260"/>
      <c r="D55" s="1259"/>
      <c r="E55" s="1258"/>
      <c r="F55" s="1258"/>
      <c r="G55" s="1262"/>
      <c r="H55" s="1258"/>
      <c r="I55" s="1267">
        <f>SUM(I45:I54)</f>
        <v>915900</v>
      </c>
      <c r="J55" s="1258"/>
    </row>
    <row r="56" spans="1:10">
      <c r="A56" s="1258">
        <v>3</v>
      </c>
      <c r="B56" s="1261" t="s">
        <v>3505</v>
      </c>
      <c r="C56" s="1260" t="s">
        <v>3489</v>
      </c>
      <c r="D56" s="1261" t="s">
        <v>3458</v>
      </c>
      <c r="E56" s="1261" t="s">
        <v>3449</v>
      </c>
      <c r="F56" s="1258"/>
      <c r="G56" s="1262">
        <v>400</v>
      </c>
      <c r="H56" s="1258">
        <v>160</v>
      </c>
      <c r="I56" s="1262">
        <f>G56*H56</f>
        <v>64000</v>
      </c>
      <c r="J56" s="1258"/>
    </row>
    <row r="57" spans="1:10">
      <c r="A57" s="1258">
        <v>3</v>
      </c>
      <c r="B57" s="1261" t="s">
        <v>3505</v>
      </c>
      <c r="C57" s="1260" t="s">
        <v>3489</v>
      </c>
      <c r="D57" s="1261" t="s">
        <v>3458</v>
      </c>
      <c r="E57" s="1259" t="s">
        <v>3450</v>
      </c>
      <c r="F57" s="1258"/>
      <c r="G57" s="1262">
        <v>2000</v>
      </c>
      <c r="H57" s="1258">
        <v>4</v>
      </c>
      <c r="I57" s="1262">
        <f t="shared" ref="I57:I60" si="5">G57*H57</f>
        <v>8000</v>
      </c>
      <c r="J57" s="1258"/>
    </row>
    <row r="58" spans="1:10">
      <c r="A58" s="1258">
        <v>3</v>
      </c>
      <c r="B58" s="1261" t="s">
        <v>3505</v>
      </c>
      <c r="C58" s="1260" t="s">
        <v>3489</v>
      </c>
      <c r="D58" s="1261" t="s">
        <v>3458</v>
      </c>
      <c r="E58" s="1259" t="s">
        <v>3451</v>
      </c>
      <c r="F58" s="1258"/>
      <c r="G58" s="1262">
        <v>3500</v>
      </c>
      <c r="H58" s="1258">
        <v>4</v>
      </c>
      <c r="I58" s="1262">
        <f t="shared" si="5"/>
        <v>14000</v>
      </c>
      <c r="J58" s="1258"/>
    </row>
    <row r="59" spans="1:10" s="1264" customFormat="1" ht="34.5">
      <c r="A59" s="1258">
        <v>3</v>
      </c>
      <c r="B59" s="1261" t="s">
        <v>3505</v>
      </c>
      <c r="C59" s="1260" t="s">
        <v>3489</v>
      </c>
      <c r="D59" s="1263" t="s">
        <v>3452</v>
      </c>
      <c r="E59" s="1259" t="s">
        <v>3453</v>
      </c>
      <c r="F59" s="1258"/>
      <c r="G59" s="1262">
        <v>22000</v>
      </c>
      <c r="H59" s="1258">
        <v>4</v>
      </c>
      <c r="I59" s="1262">
        <f t="shared" si="5"/>
        <v>88000</v>
      </c>
      <c r="J59" s="1258"/>
    </row>
    <row r="60" spans="1:10">
      <c r="A60" s="1258">
        <v>3</v>
      </c>
      <c r="B60" s="1261" t="s">
        <v>3505</v>
      </c>
      <c r="C60" s="1260" t="s">
        <v>3489</v>
      </c>
      <c r="D60" s="1261" t="s">
        <v>3454</v>
      </c>
      <c r="E60" s="1259" t="s">
        <v>3454</v>
      </c>
      <c r="F60" s="1258"/>
      <c r="G60" s="1262">
        <v>5000</v>
      </c>
      <c r="H60" s="1258">
        <v>12</v>
      </c>
      <c r="I60" s="1262">
        <f t="shared" si="5"/>
        <v>60000</v>
      </c>
      <c r="J60" s="1258"/>
    </row>
    <row r="61" spans="1:10">
      <c r="A61" s="1258"/>
      <c r="B61" s="1266" t="s">
        <v>3490</v>
      </c>
      <c r="C61" s="1260"/>
      <c r="D61" s="1259"/>
      <c r="E61" s="1258"/>
      <c r="F61" s="1258"/>
      <c r="G61" s="1262"/>
      <c r="H61" s="1258"/>
      <c r="I61" s="1267">
        <f>SUM(I56:I60)</f>
        <v>234000</v>
      </c>
      <c r="J61" s="1258"/>
    </row>
    <row r="62" spans="1:10">
      <c r="A62" s="1258">
        <v>4</v>
      </c>
      <c r="B62" s="1261" t="s">
        <v>3506</v>
      </c>
      <c r="C62" s="1260" t="s">
        <v>3489</v>
      </c>
      <c r="D62" s="1261" t="s">
        <v>3458</v>
      </c>
      <c r="E62" s="1261" t="s">
        <v>3449</v>
      </c>
      <c r="F62" s="1258"/>
      <c r="G62" s="1262">
        <v>400</v>
      </c>
      <c r="H62" s="1258">
        <v>315</v>
      </c>
      <c r="I62" s="1262">
        <f>G62*H62</f>
        <v>126000</v>
      </c>
      <c r="J62" s="1258"/>
    </row>
    <row r="63" spans="1:10">
      <c r="A63" s="1258">
        <v>4</v>
      </c>
      <c r="B63" s="1261" t="s">
        <v>3506</v>
      </c>
      <c r="C63" s="1260" t="s">
        <v>3489</v>
      </c>
      <c r="D63" s="1261" t="s">
        <v>3458</v>
      </c>
      <c r="E63" s="1259" t="s">
        <v>3450</v>
      </c>
      <c r="F63" s="1258"/>
      <c r="G63" s="1262">
        <v>2000</v>
      </c>
      <c r="H63" s="1258">
        <v>7</v>
      </c>
      <c r="I63" s="1262">
        <f t="shared" ref="I63:I66" si="6">G63*H63</f>
        <v>14000</v>
      </c>
      <c r="J63" s="1258"/>
    </row>
    <row r="64" spans="1:10">
      <c r="A64" s="1258">
        <v>4</v>
      </c>
      <c r="B64" s="1261" t="s">
        <v>3506</v>
      </c>
      <c r="C64" s="1260" t="s">
        <v>3489</v>
      </c>
      <c r="D64" s="1261" t="s">
        <v>3458</v>
      </c>
      <c r="E64" s="1259" t="s">
        <v>3451</v>
      </c>
      <c r="F64" s="1258"/>
      <c r="G64" s="1262">
        <v>3500</v>
      </c>
      <c r="H64" s="1258">
        <v>7</v>
      </c>
      <c r="I64" s="1262">
        <f t="shared" si="6"/>
        <v>24500</v>
      </c>
      <c r="J64" s="1258"/>
    </row>
    <row r="65" spans="1:10" s="1264" customFormat="1" ht="24">
      <c r="A65" s="1258">
        <v>4</v>
      </c>
      <c r="B65" s="1261" t="s">
        <v>3506</v>
      </c>
      <c r="C65" s="1260" t="s">
        <v>3489</v>
      </c>
      <c r="D65" s="1263" t="s">
        <v>3452</v>
      </c>
      <c r="E65" s="1259" t="s">
        <v>3507</v>
      </c>
      <c r="F65" s="1258"/>
      <c r="G65" s="1262">
        <v>27000</v>
      </c>
      <c r="H65" s="1258">
        <v>7</v>
      </c>
      <c r="I65" s="1262">
        <f t="shared" si="6"/>
        <v>189000</v>
      </c>
      <c r="J65" s="1258"/>
    </row>
    <row r="66" spans="1:10">
      <c r="A66" s="1258">
        <v>4</v>
      </c>
      <c r="B66" s="1261" t="s">
        <v>3506</v>
      </c>
      <c r="C66" s="1260" t="s">
        <v>3489</v>
      </c>
      <c r="D66" s="1261" t="s">
        <v>3454</v>
      </c>
      <c r="E66" s="1259" t="s">
        <v>3454</v>
      </c>
      <c r="F66" s="1258"/>
      <c r="G66" s="1262">
        <v>5000</v>
      </c>
      <c r="H66" s="1258">
        <v>28</v>
      </c>
      <c r="I66" s="1262">
        <f t="shared" si="6"/>
        <v>140000</v>
      </c>
      <c r="J66" s="1258"/>
    </row>
    <row r="67" spans="1:10">
      <c r="A67" s="1258"/>
      <c r="B67" s="1266" t="s">
        <v>3490</v>
      </c>
      <c r="C67" s="1260"/>
      <c r="D67" s="1259"/>
      <c r="E67" s="1258"/>
      <c r="F67" s="1258"/>
      <c r="G67" s="1262"/>
      <c r="H67" s="1258"/>
      <c r="I67" s="1267">
        <f>SUM(I62:I66)</f>
        <v>493500</v>
      </c>
      <c r="J67" s="1258"/>
    </row>
    <row r="68" spans="1:10">
      <c r="A68" s="1258">
        <v>5</v>
      </c>
      <c r="B68" s="1261" t="s">
        <v>3508</v>
      </c>
      <c r="C68" s="1260" t="s">
        <v>3489</v>
      </c>
      <c r="D68" s="1261" t="s">
        <v>3458</v>
      </c>
      <c r="E68" s="1261" t="s">
        <v>3449</v>
      </c>
      <c r="F68" s="1258"/>
      <c r="G68" s="1262">
        <v>400</v>
      </c>
      <c r="H68" s="1258">
        <v>150</v>
      </c>
      <c r="I68" s="1262">
        <f>G68*H68</f>
        <v>60000</v>
      </c>
      <c r="J68" s="1258"/>
    </row>
    <row r="69" spans="1:10">
      <c r="A69" s="1258">
        <v>5</v>
      </c>
      <c r="B69" s="1261" t="s">
        <v>3508</v>
      </c>
      <c r="C69" s="1260" t="s">
        <v>3489</v>
      </c>
      <c r="D69" s="1261" t="s">
        <v>3458</v>
      </c>
      <c r="E69" s="1259" t="s">
        <v>3450</v>
      </c>
      <c r="F69" s="1258"/>
      <c r="G69" s="1262">
        <v>2000</v>
      </c>
      <c r="H69" s="1258">
        <v>3</v>
      </c>
      <c r="I69" s="1262">
        <f t="shared" ref="I69:I72" si="7">G69*H69</f>
        <v>6000</v>
      </c>
      <c r="J69" s="1258"/>
    </row>
    <row r="70" spans="1:10">
      <c r="A70" s="1258">
        <v>5</v>
      </c>
      <c r="B70" s="1261" t="s">
        <v>3508</v>
      </c>
      <c r="C70" s="1260" t="s">
        <v>3489</v>
      </c>
      <c r="D70" s="1261" t="s">
        <v>3458</v>
      </c>
      <c r="E70" s="1259" t="s">
        <v>3451</v>
      </c>
      <c r="F70" s="1258"/>
      <c r="G70" s="1262">
        <v>3500</v>
      </c>
      <c r="H70" s="1258">
        <v>3</v>
      </c>
      <c r="I70" s="1262">
        <f t="shared" si="7"/>
        <v>10500</v>
      </c>
      <c r="J70" s="1258"/>
    </row>
    <row r="71" spans="1:10" s="1264" customFormat="1" ht="24">
      <c r="A71" s="1258">
        <v>5</v>
      </c>
      <c r="B71" s="1261" t="s">
        <v>3508</v>
      </c>
      <c r="C71" s="1260" t="s">
        <v>3489</v>
      </c>
      <c r="D71" s="1263" t="s">
        <v>3452</v>
      </c>
      <c r="E71" s="1259" t="s">
        <v>3507</v>
      </c>
      <c r="F71" s="1258"/>
      <c r="G71" s="1262">
        <v>27000</v>
      </c>
      <c r="H71" s="1258">
        <v>3</v>
      </c>
      <c r="I71" s="1262">
        <f t="shared" si="7"/>
        <v>81000</v>
      </c>
      <c r="J71" s="1258"/>
    </row>
    <row r="72" spans="1:10">
      <c r="A72" s="1258">
        <v>5</v>
      </c>
      <c r="B72" s="1261" t="s">
        <v>3508</v>
      </c>
      <c r="C72" s="1260" t="s">
        <v>3489</v>
      </c>
      <c r="D72" s="1261" t="s">
        <v>3454</v>
      </c>
      <c r="E72" s="1259" t="s">
        <v>3454</v>
      </c>
      <c r="F72" s="1258"/>
      <c r="G72" s="1262">
        <v>5000</v>
      </c>
      <c r="H72" s="1258">
        <v>12</v>
      </c>
      <c r="I72" s="1262">
        <f t="shared" si="7"/>
        <v>60000</v>
      </c>
      <c r="J72" s="1258"/>
    </row>
    <row r="73" spans="1:10">
      <c r="A73" s="1258"/>
      <c r="B73" s="1266" t="s">
        <v>3490</v>
      </c>
      <c r="C73" s="1260"/>
      <c r="D73" s="1259"/>
      <c r="E73" s="1258"/>
      <c r="F73" s="1258"/>
      <c r="G73" s="1262"/>
      <c r="H73" s="1258"/>
      <c r="I73" s="1267">
        <f>SUM(I68:I72)</f>
        <v>217500</v>
      </c>
      <c r="J73" s="1258"/>
    </row>
    <row r="74" spans="1:10">
      <c r="A74" s="1258">
        <v>6</v>
      </c>
      <c r="B74" s="1261" t="s">
        <v>3509</v>
      </c>
      <c r="C74" s="1260" t="s">
        <v>3489</v>
      </c>
      <c r="D74" s="1261" t="s">
        <v>3458</v>
      </c>
      <c r="E74" s="1261" t="s">
        <v>3449</v>
      </c>
      <c r="F74" s="1258"/>
      <c r="G74" s="1262">
        <v>400</v>
      </c>
      <c r="H74" s="1258">
        <v>90</v>
      </c>
      <c r="I74" s="1262">
        <f>G74*H74</f>
        <v>36000</v>
      </c>
      <c r="J74" s="1258"/>
    </row>
    <row r="75" spans="1:10">
      <c r="A75" s="1258">
        <v>6</v>
      </c>
      <c r="B75" s="1261" t="s">
        <v>3509</v>
      </c>
      <c r="C75" s="1260" t="s">
        <v>3489</v>
      </c>
      <c r="D75" s="1261" t="s">
        <v>3458</v>
      </c>
      <c r="E75" s="1259" t="s">
        <v>3450</v>
      </c>
      <c r="F75" s="1258"/>
      <c r="G75" s="1262">
        <v>2000</v>
      </c>
      <c r="H75" s="1258">
        <v>2</v>
      </c>
      <c r="I75" s="1262">
        <f t="shared" ref="I75:I78" si="8">G75*H75</f>
        <v>4000</v>
      </c>
      <c r="J75" s="1258"/>
    </row>
    <row r="76" spans="1:10">
      <c r="A76" s="1258">
        <v>6</v>
      </c>
      <c r="B76" s="1261" t="s">
        <v>3509</v>
      </c>
      <c r="C76" s="1260" t="s">
        <v>3489</v>
      </c>
      <c r="D76" s="1261" t="s">
        <v>3458</v>
      </c>
      <c r="E76" s="1259" t="s">
        <v>3451</v>
      </c>
      <c r="F76" s="1258"/>
      <c r="G76" s="1262">
        <v>3500</v>
      </c>
      <c r="H76" s="1258">
        <v>2</v>
      </c>
      <c r="I76" s="1262">
        <f t="shared" si="8"/>
        <v>7000</v>
      </c>
      <c r="J76" s="1258"/>
    </row>
    <row r="77" spans="1:10" s="1264" customFormat="1" ht="24">
      <c r="A77" s="1258">
        <v>6</v>
      </c>
      <c r="B77" s="1261" t="s">
        <v>3509</v>
      </c>
      <c r="C77" s="1260" t="s">
        <v>3489</v>
      </c>
      <c r="D77" s="1263" t="s">
        <v>3452</v>
      </c>
      <c r="E77" s="1259" t="s">
        <v>3507</v>
      </c>
      <c r="F77" s="1258"/>
      <c r="G77" s="1262">
        <v>27000</v>
      </c>
      <c r="H77" s="1258">
        <v>2</v>
      </c>
      <c r="I77" s="1262">
        <f t="shared" si="8"/>
        <v>54000</v>
      </c>
      <c r="J77" s="1258"/>
    </row>
    <row r="78" spans="1:10">
      <c r="A78" s="1258">
        <v>6</v>
      </c>
      <c r="B78" s="1261" t="s">
        <v>3509</v>
      </c>
      <c r="C78" s="1260" t="s">
        <v>3489</v>
      </c>
      <c r="D78" s="1261" t="s">
        <v>3454</v>
      </c>
      <c r="E78" s="1259" t="s">
        <v>3454</v>
      </c>
      <c r="F78" s="1258"/>
      <c r="G78" s="1262">
        <v>5000</v>
      </c>
      <c r="H78" s="1258">
        <v>8</v>
      </c>
      <c r="I78" s="1262">
        <f t="shared" si="8"/>
        <v>40000</v>
      </c>
      <c r="J78" s="1258"/>
    </row>
    <row r="79" spans="1:10">
      <c r="A79" s="1258"/>
      <c r="B79" s="1266" t="s">
        <v>3490</v>
      </c>
      <c r="C79" s="1260"/>
      <c r="D79" s="1259"/>
      <c r="E79" s="1258"/>
      <c r="F79" s="1258"/>
      <c r="G79" s="1262"/>
      <c r="H79" s="1258"/>
      <c r="I79" s="1267">
        <f>SUM(I74:I78)</f>
        <v>141000</v>
      </c>
      <c r="J79" s="1258"/>
    </row>
    <row r="80" spans="1:10" s="1275" customFormat="1" ht="12.75">
      <c r="A80" s="1268">
        <v>7</v>
      </c>
      <c r="B80" s="1269" t="s">
        <v>3510</v>
      </c>
      <c r="C80" s="1260" t="s">
        <v>3457</v>
      </c>
      <c r="D80" s="1270" t="s">
        <v>3458</v>
      </c>
      <c r="E80" s="1259" t="s">
        <v>3459</v>
      </c>
      <c r="F80" s="1271" t="s">
        <v>3460</v>
      </c>
      <c r="G80" s="1272">
        <v>650</v>
      </c>
      <c r="H80" s="1273">
        <v>15</v>
      </c>
      <c r="I80" s="1284">
        <f>G80*H80</f>
        <v>9750</v>
      </c>
      <c r="J80" s="1258"/>
    </row>
    <row r="81" spans="1:10" s="1275" customFormat="1" ht="12.75">
      <c r="A81" s="1268">
        <v>7</v>
      </c>
      <c r="B81" s="1269" t="s">
        <v>3510</v>
      </c>
      <c r="C81" s="1260" t="s">
        <v>3457</v>
      </c>
      <c r="D81" s="1270" t="s">
        <v>3458</v>
      </c>
      <c r="E81" s="1259" t="s">
        <v>3461</v>
      </c>
      <c r="F81" s="1271" t="s">
        <v>3460</v>
      </c>
      <c r="G81" s="1272">
        <v>650</v>
      </c>
      <c r="H81" s="1273">
        <v>15</v>
      </c>
      <c r="I81" s="1284">
        <f t="shared" ref="I81:I95" si="9">G81*H81</f>
        <v>9750</v>
      </c>
      <c r="J81" s="1258"/>
    </row>
    <row r="82" spans="1:10" s="1275" customFormat="1" ht="22.5">
      <c r="A82" s="1268">
        <v>7</v>
      </c>
      <c r="B82" s="1269" t="s">
        <v>3510</v>
      </c>
      <c r="C82" s="1260" t="s">
        <v>3457</v>
      </c>
      <c r="D82" s="1270" t="s">
        <v>3458</v>
      </c>
      <c r="E82" s="1259" t="s">
        <v>3462</v>
      </c>
      <c r="F82" s="1259" t="s">
        <v>3463</v>
      </c>
      <c r="G82" s="1272">
        <v>380</v>
      </c>
      <c r="H82" s="1273">
        <v>90</v>
      </c>
      <c r="I82" s="1284">
        <f t="shared" si="9"/>
        <v>34200</v>
      </c>
      <c r="J82" s="1258"/>
    </row>
    <row r="83" spans="1:10" s="1275" customFormat="1" ht="12.75">
      <c r="A83" s="1268">
        <v>7</v>
      </c>
      <c r="B83" s="1269" t="s">
        <v>3510</v>
      </c>
      <c r="C83" s="1260" t="s">
        <v>3457</v>
      </c>
      <c r="D83" s="1270" t="s">
        <v>3458</v>
      </c>
      <c r="E83" s="1259" t="s">
        <v>3483</v>
      </c>
      <c r="F83" s="1259" t="s">
        <v>3484</v>
      </c>
      <c r="G83" s="1277">
        <v>2400</v>
      </c>
      <c r="H83" s="1273">
        <v>3</v>
      </c>
      <c r="I83" s="1284">
        <f t="shared" si="9"/>
        <v>7200</v>
      </c>
      <c r="J83" s="1258"/>
    </row>
    <row r="84" spans="1:10" s="1275" customFormat="1" ht="45">
      <c r="A84" s="1268">
        <v>7</v>
      </c>
      <c r="B84" s="1269" t="s">
        <v>3510</v>
      </c>
      <c r="C84" s="1260" t="s">
        <v>3457</v>
      </c>
      <c r="D84" s="1270" t="s">
        <v>3458</v>
      </c>
      <c r="E84" s="1259" t="s">
        <v>3464</v>
      </c>
      <c r="F84" s="1259" t="s">
        <v>3465</v>
      </c>
      <c r="G84" s="1272">
        <v>700</v>
      </c>
      <c r="H84" s="1273">
        <v>3</v>
      </c>
      <c r="I84" s="1284">
        <f t="shared" si="9"/>
        <v>2100</v>
      </c>
      <c r="J84" s="1258"/>
    </row>
    <row r="85" spans="1:10" s="1275" customFormat="1" ht="45">
      <c r="A85" s="1268">
        <v>7</v>
      </c>
      <c r="B85" s="1269" t="s">
        <v>3510</v>
      </c>
      <c r="C85" s="1260" t="s">
        <v>3457</v>
      </c>
      <c r="D85" s="1270" t="s">
        <v>3458</v>
      </c>
      <c r="E85" s="1259" t="s">
        <v>3466</v>
      </c>
      <c r="F85" s="1259" t="s">
        <v>3467</v>
      </c>
      <c r="G85" s="1272">
        <v>6000</v>
      </c>
      <c r="H85" s="1273">
        <v>3</v>
      </c>
      <c r="I85" s="1284">
        <f t="shared" si="9"/>
        <v>18000</v>
      </c>
      <c r="J85" s="1258"/>
    </row>
    <row r="86" spans="1:10" s="1275" customFormat="1" ht="12.75">
      <c r="A86" s="1268">
        <v>7</v>
      </c>
      <c r="B86" s="1269" t="s">
        <v>3510</v>
      </c>
      <c r="C86" s="1260" t="s">
        <v>3457</v>
      </c>
      <c r="D86" s="1270" t="s">
        <v>3458</v>
      </c>
      <c r="E86" s="1259" t="s">
        <v>3485</v>
      </c>
      <c r="F86" s="1259"/>
      <c r="G86" s="1272">
        <v>1600</v>
      </c>
      <c r="H86" s="1273">
        <v>6</v>
      </c>
      <c r="I86" s="1284">
        <f t="shared" si="9"/>
        <v>9600</v>
      </c>
      <c r="J86" s="1258"/>
    </row>
    <row r="87" spans="1:10" s="1275" customFormat="1" ht="12.75">
      <c r="A87" s="1268">
        <v>7</v>
      </c>
      <c r="B87" s="1269" t="s">
        <v>3510</v>
      </c>
      <c r="C87" s="1260" t="s">
        <v>3457</v>
      </c>
      <c r="D87" s="1270" t="s">
        <v>3458</v>
      </c>
      <c r="E87" s="1259" t="s">
        <v>3486</v>
      </c>
      <c r="F87" s="1259"/>
      <c r="G87" s="1272">
        <v>700</v>
      </c>
      <c r="H87" s="1273">
        <v>3</v>
      </c>
      <c r="I87" s="1284">
        <f t="shared" si="9"/>
        <v>2100</v>
      </c>
      <c r="J87" s="1258"/>
    </row>
    <row r="88" spans="1:10" s="1275" customFormat="1" ht="12.75">
      <c r="A88" s="1268">
        <v>7</v>
      </c>
      <c r="B88" s="1269" t="s">
        <v>3510</v>
      </c>
      <c r="C88" s="1260" t="s">
        <v>3457</v>
      </c>
      <c r="D88" s="1259" t="s">
        <v>3468</v>
      </c>
      <c r="E88" s="1259" t="s">
        <v>3468</v>
      </c>
      <c r="F88" s="1259"/>
      <c r="G88" s="1272">
        <v>13000</v>
      </c>
      <c r="H88" s="1273">
        <v>3</v>
      </c>
      <c r="I88" s="1284">
        <f t="shared" si="9"/>
        <v>39000</v>
      </c>
      <c r="J88" s="1258"/>
    </row>
    <row r="89" spans="1:10" s="1275" customFormat="1" ht="12.75">
      <c r="A89" s="1268">
        <v>7</v>
      </c>
      <c r="B89" s="1269" t="s">
        <v>3510</v>
      </c>
      <c r="C89" s="1260" t="s">
        <v>3457</v>
      </c>
      <c r="D89" s="1259" t="s">
        <v>3469</v>
      </c>
      <c r="E89" s="1259" t="s">
        <v>3469</v>
      </c>
      <c r="F89" s="1276" t="s">
        <v>3470</v>
      </c>
      <c r="G89" s="1277">
        <v>9000</v>
      </c>
      <c r="H89" s="1273">
        <v>3</v>
      </c>
      <c r="I89" s="1284">
        <f t="shared" si="9"/>
        <v>27000</v>
      </c>
      <c r="J89" s="1258"/>
    </row>
    <row r="90" spans="1:10" s="1275" customFormat="1" ht="12.75">
      <c r="A90" s="1268">
        <v>7</v>
      </c>
      <c r="B90" s="1269" t="s">
        <v>3510</v>
      </c>
      <c r="C90" s="1260" t="s">
        <v>3457</v>
      </c>
      <c r="D90" s="1278" t="s">
        <v>3471</v>
      </c>
      <c r="E90" s="1278" t="s">
        <v>3472</v>
      </c>
      <c r="F90" s="1278" t="s">
        <v>3473</v>
      </c>
      <c r="G90" s="1272">
        <v>5000</v>
      </c>
      <c r="H90" s="1273">
        <v>6</v>
      </c>
      <c r="I90" s="1284">
        <f t="shared" si="9"/>
        <v>30000</v>
      </c>
      <c r="J90" s="1258"/>
    </row>
    <row r="91" spans="1:10" s="1275" customFormat="1" ht="12.75">
      <c r="A91" s="1268">
        <v>7</v>
      </c>
      <c r="B91" s="1269" t="s">
        <v>3510</v>
      </c>
      <c r="C91" s="1260" t="s">
        <v>3457</v>
      </c>
      <c r="D91" s="1259" t="s">
        <v>3474</v>
      </c>
      <c r="E91" s="1278" t="s">
        <v>3475</v>
      </c>
      <c r="F91" s="1259"/>
      <c r="G91" s="1272">
        <v>7300</v>
      </c>
      <c r="H91" s="1273">
        <v>3</v>
      </c>
      <c r="I91" s="1284">
        <f t="shared" si="9"/>
        <v>21900</v>
      </c>
      <c r="J91" s="1258"/>
    </row>
    <row r="92" spans="1:10" s="1275" customFormat="1" ht="12.75">
      <c r="A92" s="1268">
        <v>7</v>
      </c>
      <c r="B92" s="1269" t="s">
        <v>3510</v>
      </c>
      <c r="C92" s="1260" t="s">
        <v>3457</v>
      </c>
      <c r="D92" s="1259" t="s">
        <v>3476</v>
      </c>
      <c r="E92" s="1259" t="s">
        <v>3477</v>
      </c>
      <c r="F92" s="1259"/>
      <c r="G92" s="1272">
        <v>12000</v>
      </c>
      <c r="H92" s="1273">
        <v>3</v>
      </c>
      <c r="I92" s="1284">
        <f t="shared" si="9"/>
        <v>36000</v>
      </c>
      <c r="J92" s="1258"/>
    </row>
    <row r="93" spans="1:10" s="1275" customFormat="1" ht="23.25">
      <c r="A93" s="1268">
        <v>7</v>
      </c>
      <c r="B93" s="1269" t="s">
        <v>3510</v>
      </c>
      <c r="C93" s="1260" t="s">
        <v>3457</v>
      </c>
      <c r="D93" s="1263" t="s">
        <v>3452</v>
      </c>
      <c r="E93" s="1259" t="s">
        <v>3478</v>
      </c>
      <c r="F93" s="1259"/>
      <c r="G93" s="1277">
        <v>15000</v>
      </c>
      <c r="H93" s="1273">
        <v>3</v>
      </c>
      <c r="I93" s="1284">
        <f t="shared" si="9"/>
        <v>45000</v>
      </c>
      <c r="J93" s="1258"/>
    </row>
    <row r="94" spans="1:10" s="1275" customFormat="1" ht="12.75">
      <c r="A94" s="1268">
        <v>7</v>
      </c>
      <c r="B94" s="1269" t="s">
        <v>3510</v>
      </c>
      <c r="C94" s="1260" t="s">
        <v>3457</v>
      </c>
      <c r="D94" s="1259" t="s">
        <v>3479</v>
      </c>
      <c r="E94" s="1259" t="s">
        <v>3479</v>
      </c>
      <c r="F94" s="1259"/>
      <c r="G94" s="1277">
        <v>1200</v>
      </c>
      <c r="H94" s="1273">
        <v>3</v>
      </c>
      <c r="I94" s="1284">
        <f t="shared" si="9"/>
        <v>3600</v>
      </c>
      <c r="J94" s="1258"/>
    </row>
    <row r="95" spans="1:10" s="1275" customFormat="1" ht="12.75">
      <c r="A95" s="1268">
        <v>7</v>
      </c>
      <c r="B95" s="1269" t="s">
        <v>3510</v>
      </c>
      <c r="C95" s="1260" t="s">
        <v>3457</v>
      </c>
      <c r="D95" s="1259" t="s">
        <v>3480</v>
      </c>
      <c r="E95" s="1259" t="s">
        <v>3480</v>
      </c>
      <c r="F95" s="1259"/>
      <c r="G95" s="1277">
        <v>1400</v>
      </c>
      <c r="H95" s="1273">
        <v>3</v>
      </c>
      <c r="I95" s="1284">
        <f t="shared" si="9"/>
        <v>4200</v>
      </c>
      <c r="J95" s="1258"/>
    </row>
    <row r="96" spans="1:10" s="1275" customFormat="1" ht="12.75">
      <c r="A96" s="1268"/>
      <c r="B96" s="1279" t="s">
        <v>3481</v>
      </c>
      <c r="C96" s="1260"/>
      <c r="D96" s="1279"/>
      <c r="E96" s="1269"/>
      <c r="F96" s="1269"/>
      <c r="G96" s="1269"/>
      <c r="H96" s="1269"/>
      <c r="I96" s="1281">
        <f>SUM(I80:I95)</f>
        <v>299400</v>
      </c>
      <c r="J96" s="1258"/>
    </row>
    <row r="97" spans="1:10" s="1275" customFormat="1" ht="12.75">
      <c r="A97" s="1268"/>
      <c r="B97" s="1279" t="s">
        <v>3553</v>
      </c>
      <c r="C97" s="1260"/>
      <c r="D97" s="1279"/>
      <c r="E97" s="1269"/>
      <c r="F97" s="1269"/>
      <c r="G97" s="1269"/>
      <c r="H97" s="1269"/>
      <c r="I97" s="1281">
        <f>SUM(I96,I79,I73,I67,I61,I55,I44)</f>
        <v>2422300</v>
      </c>
      <c r="J97" s="1258"/>
    </row>
    <row r="98" spans="1:10">
      <c r="A98" s="1258">
        <v>1</v>
      </c>
      <c r="B98" s="1261" t="s">
        <v>3511</v>
      </c>
      <c r="C98" s="1260" t="s">
        <v>3489</v>
      </c>
      <c r="D98" s="1265" t="s">
        <v>2804</v>
      </c>
      <c r="E98" s="1261" t="s">
        <v>3449</v>
      </c>
      <c r="F98" s="1258"/>
      <c r="G98" s="1262">
        <v>400</v>
      </c>
      <c r="H98" s="1285">
        <v>240</v>
      </c>
      <c r="I98" s="1262">
        <f>G98*H98</f>
        <v>96000</v>
      </c>
      <c r="J98" s="1258"/>
    </row>
    <row r="99" spans="1:10">
      <c r="A99" s="1258">
        <v>1</v>
      </c>
      <c r="B99" s="1261" t="s">
        <v>3511</v>
      </c>
      <c r="C99" s="1260" t="s">
        <v>3489</v>
      </c>
      <c r="D99" s="1265" t="s">
        <v>2804</v>
      </c>
      <c r="E99" s="1259" t="s">
        <v>3450</v>
      </c>
      <c r="F99" s="1258"/>
      <c r="G99" s="1262">
        <v>2000</v>
      </c>
      <c r="H99" s="1285">
        <v>6</v>
      </c>
      <c r="I99" s="1262">
        <f t="shared" ref="I99:I101" si="10">G99*H99</f>
        <v>12000</v>
      </c>
      <c r="J99" s="1258"/>
    </row>
    <row r="100" spans="1:10">
      <c r="A100" s="1258">
        <v>1</v>
      </c>
      <c r="B100" s="1261" t="s">
        <v>3511</v>
      </c>
      <c r="C100" s="1260" t="s">
        <v>3489</v>
      </c>
      <c r="D100" s="1265" t="s">
        <v>2804</v>
      </c>
      <c r="E100" s="1259" t="s">
        <v>3451</v>
      </c>
      <c r="F100" s="1258"/>
      <c r="G100" s="1262">
        <v>3500</v>
      </c>
      <c r="H100" s="1285">
        <v>6</v>
      </c>
      <c r="I100" s="1262">
        <f t="shared" si="10"/>
        <v>21000</v>
      </c>
      <c r="J100" s="1258"/>
    </row>
    <row r="101" spans="1:10">
      <c r="A101" s="1258">
        <v>1</v>
      </c>
      <c r="B101" s="1261" t="s">
        <v>3511</v>
      </c>
      <c r="C101" s="1260" t="s">
        <v>3489</v>
      </c>
      <c r="D101" s="1265" t="s">
        <v>2804</v>
      </c>
      <c r="E101" s="1259" t="s">
        <v>3512</v>
      </c>
      <c r="F101" s="1258"/>
      <c r="G101" s="1262">
        <v>1100</v>
      </c>
      <c r="H101" s="1285">
        <v>6</v>
      </c>
      <c r="I101" s="1262">
        <f t="shared" si="10"/>
        <v>6600</v>
      </c>
      <c r="J101" s="1258"/>
    </row>
    <row r="102" spans="1:10" s="1264" customFormat="1">
      <c r="A102" s="1258">
        <v>1</v>
      </c>
      <c r="B102" s="1261" t="s">
        <v>3511</v>
      </c>
      <c r="C102" s="1260" t="s">
        <v>3489</v>
      </c>
      <c r="D102" s="1265" t="s">
        <v>2804</v>
      </c>
      <c r="E102" s="1259" t="s">
        <v>3513</v>
      </c>
      <c r="F102" s="1258"/>
      <c r="G102" s="1262">
        <v>1600</v>
      </c>
      <c r="H102" s="1285">
        <v>20</v>
      </c>
      <c r="I102" s="1262">
        <f>G102*H102</f>
        <v>32000</v>
      </c>
      <c r="J102" s="1258"/>
    </row>
    <row r="103" spans="1:10">
      <c r="A103" s="1258">
        <v>1</v>
      </c>
      <c r="B103" s="1261" t="s">
        <v>3511</v>
      </c>
      <c r="C103" s="1260" t="s">
        <v>3489</v>
      </c>
      <c r="D103" s="1265" t="s">
        <v>2804</v>
      </c>
      <c r="E103" s="1259" t="s">
        <v>3514</v>
      </c>
      <c r="F103" s="1258"/>
      <c r="G103" s="1262">
        <v>700</v>
      </c>
      <c r="H103" s="1285">
        <v>10</v>
      </c>
      <c r="I103" s="1262">
        <f>G103*H103</f>
        <v>7000</v>
      </c>
      <c r="J103" s="1258"/>
    </row>
    <row r="104" spans="1:10" ht="34.5">
      <c r="A104" s="1258">
        <v>1</v>
      </c>
      <c r="B104" s="1261" t="s">
        <v>3511</v>
      </c>
      <c r="C104" s="1260" t="s">
        <v>3489</v>
      </c>
      <c r="D104" s="1263" t="s">
        <v>3452</v>
      </c>
      <c r="E104" s="1259" t="s">
        <v>3453</v>
      </c>
      <c r="F104" s="1258"/>
      <c r="G104" s="1262">
        <v>22000</v>
      </c>
      <c r="H104" s="1285">
        <v>6</v>
      </c>
      <c r="I104" s="1262">
        <f t="shared" ref="I104:I105" si="11">G104*H104</f>
        <v>132000</v>
      </c>
      <c r="J104" s="1258"/>
    </row>
    <row r="105" spans="1:10">
      <c r="A105" s="1258">
        <v>1</v>
      </c>
      <c r="B105" s="1261" t="s">
        <v>3511</v>
      </c>
      <c r="C105" s="1260" t="s">
        <v>3489</v>
      </c>
      <c r="D105" s="1261" t="s">
        <v>3454</v>
      </c>
      <c r="E105" s="1259" t="s">
        <v>3454</v>
      </c>
      <c r="F105" s="1258"/>
      <c r="G105" s="1262">
        <v>5000</v>
      </c>
      <c r="H105" s="1285">
        <v>20</v>
      </c>
      <c r="I105" s="1262">
        <f t="shared" si="11"/>
        <v>100000</v>
      </c>
      <c r="J105" s="1258"/>
    </row>
    <row r="106" spans="1:10">
      <c r="A106" s="1258"/>
      <c r="B106" s="1286" t="s">
        <v>3515</v>
      </c>
      <c r="C106" s="1260"/>
      <c r="D106" s="1287"/>
      <c r="E106" s="1258"/>
      <c r="F106" s="1258"/>
      <c r="G106" s="1262"/>
      <c r="H106" s="1285"/>
      <c r="I106" s="1267">
        <f>SUM(I98:I105)</f>
        <v>406600</v>
      </c>
      <c r="J106" s="1258"/>
    </row>
    <row r="107" spans="1:10">
      <c r="A107" s="1258">
        <v>2</v>
      </c>
      <c r="B107" s="1261" t="s">
        <v>3516</v>
      </c>
      <c r="C107" s="1260" t="s">
        <v>3489</v>
      </c>
      <c r="D107" s="1261" t="s">
        <v>3458</v>
      </c>
      <c r="E107" s="1261" t="s">
        <v>3449</v>
      </c>
      <c r="F107" s="1258"/>
      <c r="G107" s="1262">
        <v>400</v>
      </c>
      <c r="H107" s="1258">
        <v>40</v>
      </c>
      <c r="I107" s="1262">
        <f>G107*H107</f>
        <v>16000</v>
      </c>
      <c r="J107" s="1258"/>
    </row>
    <row r="108" spans="1:10">
      <c r="A108" s="1258">
        <v>2</v>
      </c>
      <c r="B108" s="1261" t="s">
        <v>3516</v>
      </c>
      <c r="C108" s="1260" t="s">
        <v>3489</v>
      </c>
      <c r="D108" s="1261" t="s">
        <v>3458</v>
      </c>
      <c r="E108" s="1259" t="s">
        <v>3450</v>
      </c>
      <c r="F108" s="1258"/>
      <c r="G108" s="1262">
        <v>2000</v>
      </c>
      <c r="H108" s="1258">
        <v>1</v>
      </c>
      <c r="I108" s="1262">
        <f t="shared" ref="I108:I111" si="12">G108*H108</f>
        <v>2000</v>
      </c>
      <c r="J108" s="1258"/>
    </row>
    <row r="109" spans="1:10">
      <c r="A109" s="1258">
        <v>2</v>
      </c>
      <c r="B109" s="1261" t="s">
        <v>3516</v>
      </c>
      <c r="C109" s="1260" t="s">
        <v>3489</v>
      </c>
      <c r="D109" s="1261" t="s">
        <v>3458</v>
      </c>
      <c r="E109" s="1259" t="s">
        <v>3451</v>
      </c>
      <c r="F109" s="1258"/>
      <c r="G109" s="1262">
        <v>3500</v>
      </c>
      <c r="H109" s="1258">
        <v>1</v>
      </c>
      <c r="I109" s="1262">
        <f t="shared" si="12"/>
        <v>3500</v>
      </c>
      <c r="J109" s="1258"/>
    </row>
    <row r="110" spans="1:10" ht="34.5">
      <c r="A110" s="1258">
        <v>2</v>
      </c>
      <c r="B110" s="1261" t="s">
        <v>3516</v>
      </c>
      <c r="C110" s="1260" t="s">
        <v>3489</v>
      </c>
      <c r="D110" s="1263" t="s">
        <v>3452</v>
      </c>
      <c r="E110" s="1259" t="s">
        <v>3453</v>
      </c>
      <c r="F110" s="1258"/>
      <c r="G110" s="1262">
        <v>22000</v>
      </c>
      <c r="H110" s="1258">
        <v>1</v>
      </c>
      <c r="I110" s="1262">
        <f t="shared" si="12"/>
        <v>22000</v>
      </c>
      <c r="J110" s="1258"/>
    </row>
    <row r="111" spans="1:10">
      <c r="A111" s="1258">
        <v>2</v>
      </c>
      <c r="B111" s="1261" t="s">
        <v>3516</v>
      </c>
      <c r="C111" s="1260" t="s">
        <v>3489</v>
      </c>
      <c r="D111" s="1261" t="s">
        <v>3454</v>
      </c>
      <c r="E111" s="1259" t="s">
        <v>3454</v>
      </c>
      <c r="F111" s="1258"/>
      <c r="G111" s="1262">
        <v>5000</v>
      </c>
      <c r="H111" s="1258">
        <v>3</v>
      </c>
      <c r="I111" s="1262">
        <f t="shared" si="12"/>
        <v>15000</v>
      </c>
      <c r="J111" s="1258"/>
    </row>
    <row r="112" spans="1:10">
      <c r="A112" s="1258"/>
      <c r="B112" s="1286" t="s">
        <v>3515</v>
      </c>
      <c r="C112" s="1260"/>
      <c r="D112" s="1287"/>
      <c r="E112" s="1259"/>
      <c r="F112" s="1258"/>
      <c r="G112" s="1262"/>
      <c r="H112" s="1285"/>
      <c r="I112" s="1267">
        <f>SUM(I107:I111)</f>
        <v>58500</v>
      </c>
      <c r="J112" s="1258"/>
    </row>
    <row r="113" spans="1:10">
      <c r="A113" s="1258">
        <v>3</v>
      </c>
      <c r="B113" s="1261" t="s">
        <v>3517</v>
      </c>
      <c r="C113" s="1260" t="s">
        <v>3489</v>
      </c>
      <c r="D113" s="1261" t="s">
        <v>3458</v>
      </c>
      <c r="E113" s="1261" t="s">
        <v>3449</v>
      </c>
      <c r="F113" s="1258"/>
      <c r="G113" s="1262">
        <v>400</v>
      </c>
      <c r="H113" s="1258">
        <v>45</v>
      </c>
      <c r="I113" s="1262">
        <f>G113*H113</f>
        <v>18000</v>
      </c>
      <c r="J113" s="1258"/>
    </row>
    <row r="114" spans="1:10">
      <c r="A114" s="1258">
        <v>3</v>
      </c>
      <c r="B114" s="1261" t="s">
        <v>3517</v>
      </c>
      <c r="C114" s="1260" t="s">
        <v>3489</v>
      </c>
      <c r="D114" s="1261" t="s">
        <v>3458</v>
      </c>
      <c r="E114" s="1259" t="s">
        <v>3450</v>
      </c>
      <c r="F114" s="1258"/>
      <c r="G114" s="1262">
        <v>2000</v>
      </c>
      <c r="H114" s="1258">
        <v>1</v>
      </c>
      <c r="I114" s="1262">
        <f t="shared" ref="I114:I117" si="13">G114*H114</f>
        <v>2000</v>
      </c>
      <c r="J114" s="1258"/>
    </row>
    <row r="115" spans="1:10">
      <c r="A115" s="1258">
        <v>3</v>
      </c>
      <c r="B115" s="1261" t="s">
        <v>3517</v>
      </c>
      <c r="C115" s="1260" t="s">
        <v>3489</v>
      </c>
      <c r="D115" s="1261" t="s">
        <v>3458</v>
      </c>
      <c r="E115" s="1259" t="s">
        <v>3451</v>
      </c>
      <c r="F115" s="1258"/>
      <c r="G115" s="1262">
        <v>3500</v>
      </c>
      <c r="H115" s="1258">
        <v>1</v>
      </c>
      <c r="I115" s="1262">
        <f t="shared" si="13"/>
        <v>3500</v>
      </c>
      <c r="J115" s="1258"/>
    </row>
    <row r="116" spans="1:10" ht="24">
      <c r="A116" s="1258">
        <v>3</v>
      </c>
      <c r="B116" s="1261" t="s">
        <v>3517</v>
      </c>
      <c r="C116" s="1260" t="s">
        <v>3489</v>
      </c>
      <c r="D116" s="1263" t="s">
        <v>3452</v>
      </c>
      <c r="E116" s="1259" t="s">
        <v>3507</v>
      </c>
      <c r="F116" s="1258"/>
      <c r="G116" s="1262">
        <v>27000</v>
      </c>
      <c r="H116" s="1258">
        <v>1</v>
      </c>
      <c r="I116" s="1262">
        <f t="shared" si="13"/>
        <v>27000</v>
      </c>
      <c r="J116" s="1258"/>
    </row>
    <row r="117" spans="1:10">
      <c r="A117" s="1258">
        <v>3</v>
      </c>
      <c r="B117" s="1261" t="s">
        <v>3517</v>
      </c>
      <c r="C117" s="1260" t="s">
        <v>3489</v>
      </c>
      <c r="D117" s="1261" t="s">
        <v>3454</v>
      </c>
      <c r="E117" s="1259" t="s">
        <v>3454</v>
      </c>
      <c r="F117" s="1258"/>
      <c r="G117" s="1262">
        <v>5000</v>
      </c>
      <c r="H117" s="1258">
        <v>4</v>
      </c>
      <c r="I117" s="1262">
        <f t="shared" si="13"/>
        <v>20000</v>
      </c>
      <c r="J117" s="1258"/>
    </row>
    <row r="118" spans="1:10">
      <c r="A118" s="1258"/>
      <c r="B118" s="1286" t="s">
        <v>3515</v>
      </c>
      <c r="C118" s="1260"/>
      <c r="D118" s="1287"/>
      <c r="E118" s="1259"/>
      <c r="F118" s="1258"/>
      <c r="G118" s="1262"/>
      <c r="H118" s="1285"/>
      <c r="I118" s="1267">
        <f>SUM(I113:I117)</f>
        <v>70500</v>
      </c>
      <c r="J118" s="1258"/>
    </row>
    <row r="119" spans="1:10">
      <c r="A119" s="1258">
        <v>4</v>
      </c>
      <c r="B119" s="1261" t="s">
        <v>3518</v>
      </c>
      <c r="C119" s="1260" t="s">
        <v>3489</v>
      </c>
      <c r="D119" s="1261" t="s">
        <v>3458</v>
      </c>
      <c r="E119" s="1261" t="s">
        <v>3449</v>
      </c>
      <c r="F119" s="1258"/>
      <c r="G119" s="1262">
        <v>400</v>
      </c>
      <c r="H119" s="1258">
        <v>90</v>
      </c>
      <c r="I119" s="1262">
        <f>G119*H119</f>
        <v>36000</v>
      </c>
      <c r="J119" s="1258"/>
    </row>
    <row r="120" spans="1:10">
      <c r="A120" s="1258">
        <v>4</v>
      </c>
      <c r="B120" s="1261" t="s">
        <v>3518</v>
      </c>
      <c r="C120" s="1260" t="s">
        <v>3489</v>
      </c>
      <c r="D120" s="1261" t="s">
        <v>3458</v>
      </c>
      <c r="E120" s="1259" t="s">
        <v>3450</v>
      </c>
      <c r="F120" s="1258"/>
      <c r="G120" s="1262">
        <v>2000</v>
      </c>
      <c r="H120" s="1258">
        <v>2</v>
      </c>
      <c r="I120" s="1262">
        <f t="shared" ref="I120:I123" si="14">G120*H120</f>
        <v>4000</v>
      </c>
      <c r="J120" s="1258"/>
    </row>
    <row r="121" spans="1:10">
      <c r="A121" s="1258">
        <v>4</v>
      </c>
      <c r="B121" s="1261" t="s">
        <v>3518</v>
      </c>
      <c r="C121" s="1260" t="s">
        <v>3489</v>
      </c>
      <c r="D121" s="1261" t="s">
        <v>3458</v>
      </c>
      <c r="E121" s="1259" t="s">
        <v>3451</v>
      </c>
      <c r="F121" s="1258"/>
      <c r="G121" s="1262">
        <v>3500</v>
      </c>
      <c r="H121" s="1258">
        <v>2</v>
      </c>
      <c r="I121" s="1262">
        <f t="shared" si="14"/>
        <v>7000</v>
      </c>
      <c r="J121" s="1258"/>
    </row>
    <row r="122" spans="1:10" ht="24">
      <c r="A122" s="1258">
        <v>4</v>
      </c>
      <c r="B122" s="1261" t="s">
        <v>3518</v>
      </c>
      <c r="C122" s="1260" t="s">
        <v>3489</v>
      </c>
      <c r="D122" s="1263" t="s">
        <v>3452</v>
      </c>
      <c r="E122" s="1259" t="s">
        <v>3507</v>
      </c>
      <c r="F122" s="1258"/>
      <c r="G122" s="1262">
        <v>27000</v>
      </c>
      <c r="H122" s="1258">
        <v>2</v>
      </c>
      <c r="I122" s="1262">
        <f t="shared" si="14"/>
        <v>54000</v>
      </c>
      <c r="J122" s="1258"/>
    </row>
    <row r="123" spans="1:10">
      <c r="A123" s="1258">
        <v>4</v>
      </c>
      <c r="B123" s="1261" t="s">
        <v>3518</v>
      </c>
      <c r="C123" s="1260" t="s">
        <v>3489</v>
      </c>
      <c r="D123" s="1261" t="s">
        <v>3454</v>
      </c>
      <c r="E123" s="1259" t="s">
        <v>3454</v>
      </c>
      <c r="F123" s="1258"/>
      <c r="G123" s="1262">
        <v>5000</v>
      </c>
      <c r="H123" s="1258">
        <v>8</v>
      </c>
      <c r="I123" s="1262">
        <f t="shared" si="14"/>
        <v>40000</v>
      </c>
      <c r="J123" s="1258"/>
    </row>
    <row r="124" spans="1:10">
      <c r="A124" s="1258"/>
      <c r="B124" s="1286" t="s">
        <v>3515</v>
      </c>
      <c r="C124" s="1260"/>
      <c r="D124" s="1287"/>
      <c r="E124" s="1259"/>
      <c r="F124" s="1258"/>
      <c r="G124" s="1262"/>
      <c r="H124" s="1285"/>
      <c r="I124" s="1267">
        <f>SUM(I119:I123)</f>
        <v>141000</v>
      </c>
      <c r="J124" s="1258"/>
    </row>
    <row r="125" spans="1:10">
      <c r="A125" s="1258">
        <v>5</v>
      </c>
      <c r="B125" s="1261" t="s">
        <v>3519</v>
      </c>
      <c r="C125" s="1260" t="s">
        <v>3489</v>
      </c>
      <c r="D125" s="1261" t="s">
        <v>3458</v>
      </c>
      <c r="E125" s="1261" t="s">
        <v>3449</v>
      </c>
      <c r="F125" s="1258"/>
      <c r="G125" s="1262">
        <v>400</v>
      </c>
      <c r="H125" s="1258">
        <v>90</v>
      </c>
      <c r="I125" s="1262">
        <f>G125*H125</f>
        <v>36000</v>
      </c>
      <c r="J125" s="1258"/>
    </row>
    <row r="126" spans="1:10">
      <c r="A126" s="1258">
        <v>5</v>
      </c>
      <c r="B126" s="1261" t="s">
        <v>3519</v>
      </c>
      <c r="C126" s="1260" t="s">
        <v>3489</v>
      </c>
      <c r="D126" s="1261" t="s">
        <v>3458</v>
      </c>
      <c r="E126" s="1259" t="s">
        <v>3450</v>
      </c>
      <c r="F126" s="1258"/>
      <c r="G126" s="1262">
        <v>2000</v>
      </c>
      <c r="H126" s="1258">
        <v>2</v>
      </c>
      <c r="I126" s="1262">
        <f t="shared" ref="I126:I129" si="15">G126*H126</f>
        <v>4000</v>
      </c>
      <c r="J126" s="1258"/>
    </row>
    <row r="127" spans="1:10">
      <c r="A127" s="1258">
        <v>5</v>
      </c>
      <c r="B127" s="1261" t="s">
        <v>3519</v>
      </c>
      <c r="C127" s="1260" t="s">
        <v>3489</v>
      </c>
      <c r="D127" s="1261" t="s">
        <v>3458</v>
      </c>
      <c r="E127" s="1259" t="s">
        <v>3451</v>
      </c>
      <c r="F127" s="1258"/>
      <c r="G127" s="1262">
        <v>3500</v>
      </c>
      <c r="H127" s="1258">
        <v>2</v>
      </c>
      <c r="I127" s="1262">
        <f t="shared" si="15"/>
        <v>7000</v>
      </c>
      <c r="J127" s="1258"/>
    </row>
    <row r="128" spans="1:10" ht="24">
      <c r="A128" s="1258">
        <v>5</v>
      </c>
      <c r="B128" s="1261" t="s">
        <v>3519</v>
      </c>
      <c r="C128" s="1260" t="s">
        <v>3489</v>
      </c>
      <c r="D128" s="1263" t="s">
        <v>3452</v>
      </c>
      <c r="E128" s="1259" t="s">
        <v>3507</v>
      </c>
      <c r="F128" s="1258"/>
      <c r="G128" s="1262">
        <v>27000</v>
      </c>
      <c r="H128" s="1258">
        <v>2</v>
      </c>
      <c r="I128" s="1262">
        <f t="shared" si="15"/>
        <v>54000</v>
      </c>
      <c r="J128" s="1258"/>
    </row>
    <row r="129" spans="1:10">
      <c r="A129" s="1258">
        <v>5</v>
      </c>
      <c r="B129" s="1261" t="s">
        <v>3519</v>
      </c>
      <c r="C129" s="1260" t="s">
        <v>3489</v>
      </c>
      <c r="D129" s="1261" t="s">
        <v>3454</v>
      </c>
      <c r="E129" s="1259" t="s">
        <v>3454</v>
      </c>
      <c r="F129" s="1258"/>
      <c r="G129" s="1262">
        <v>5000</v>
      </c>
      <c r="H129" s="1258">
        <v>8</v>
      </c>
      <c r="I129" s="1262">
        <f t="shared" si="15"/>
        <v>40000</v>
      </c>
      <c r="J129" s="1258"/>
    </row>
    <row r="130" spans="1:10">
      <c r="A130" s="1258"/>
      <c r="B130" s="1286" t="s">
        <v>3515</v>
      </c>
      <c r="C130" s="1260"/>
      <c r="D130" s="1287"/>
      <c r="E130" s="1259"/>
      <c r="F130" s="1258"/>
      <c r="G130" s="1262"/>
      <c r="H130" s="1285"/>
      <c r="I130" s="1267">
        <f>SUM(I125:I129)</f>
        <v>141000</v>
      </c>
      <c r="J130" s="1258"/>
    </row>
    <row r="131" spans="1:10" s="1288" customFormat="1">
      <c r="A131" s="1268">
        <v>6</v>
      </c>
      <c r="B131" s="1269" t="s">
        <v>3520</v>
      </c>
      <c r="C131" s="1260" t="s">
        <v>3457</v>
      </c>
      <c r="D131" s="1270" t="s">
        <v>3458</v>
      </c>
      <c r="E131" s="1259" t="s">
        <v>3485</v>
      </c>
      <c r="F131" s="1259"/>
      <c r="G131" s="1272">
        <v>1600</v>
      </c>
      <c r="H131" s="1273">
        <v>6</v>
      </c>
      <c r="I131" s="1274">
        <f t="shared" ref="I131:I136" si="16">H131*G131</f>
        <v>9600</v>
      </c>
      <c r="J131" s="1258"/>
    </row>
    <row r="132" spans="1:10" s="1288" customFormat="1">
      <c r="A132" s="1268">
        <v>6</v>
      </c>
      <c r="B132" s="1269" t="s">
        <v>3520</v>
      </c>
      <c r="C132" s="1260" t="s">
        <v>3457</v>
      </c>
      <c r="D132" s="1270" t="s">
        <v>3458</v>
      </c>
      <c r="E132" s="1259" t="s">
        <v>3486</v>
      </c>
      <c r="F132" s="1259"/>
      <c r="G132" s="1272">
        <v>700</v>
      </c>
      <c r="H132" s="1273">
        <v>3</v>
      </c>
      <c r="I132" s="1274">
        <f t="shared" si="16"/>
        <v>2100</v>
      </c>
      <c r="J132" s="1258"/>
    </row>
    <row r="133" spans="1:10" s="1288" customFormat="1">
      <c r="A133" s="1268">
        <v>6</v>
      </c>
      <c r="B133" s="1269" t="s">
        <v>3520</v>
      </c>
      <c r="C133" s="1260" t="s">
        <v>3457</v>
      </c>
      <c r="D133" s="1259" t="s">
        <v>3468</v>
      </c>
      <c r="E133" s="1259" t="s">
        <v>3468</v>
      </c>
      <c r="F133" s="1259"/>
      <c r="G133" s="1272">
        <v>13000</v>
      </c>
      <c r="H133" s="1273">
        <v>3</v>
      </c>
      <c r="I133" s="1274">
        <f t="shared" si="16"/>
        <v>39000</v>
      </c>
      <c r="J133" s="1258"/>
    </row>
    <row r="134" spans="1:10" s="1288" customFormat="1">
      <c r="A134" s="1268">
        <v>6</v>
      </c>
      <c r="B134" s="1269" t="s">
        <v>3520</v>
      </c>
      <c r="C134" s="1260" t="s">
        <v>3457</v>
      </c>
      <c r="D134" s="1259" t="s">
        <v>3469</v>
      </c>
      <c r="E134" s="1259" t="s">
        <v>3469</v>
      </c>
      <c r="F134" s="1276" t="s">
        <v>3470</v>
      </c>
      <c r="G134" s="1277">
        <v>9000</v>
      </c>
      <c r="H134" s="1273">
        <v>3</v>
      </c>
      <c r="I134" s="1274">
        <f t="shared" si="16"/>
        <v>27000</v>
      </c>
      <c r="J134" s="1258"/>
    </row>
    <row r="135" spans="1:10" s="1288" customFormat="1">
      <c r="A135" s="1268">
        <v>6</v>
      </c>
      <c r="B135" s="1269" t="s">
        <v>3520</v>
      </c>
      <c r="C135" s="1260" t="s">
        <v>3457</v>
      </c>
      <c r="D135" s="1278" t="s">
        <v>3471</v>
      </c>
      <c r="E135" s="1278" t="s">
        <v>3472</v>
      </c>
      <c r="F135" s="1278" t="s">
        <v>3473</v>
      </c>
      <c r="G135" s="1272">
        <v>5000</v>
      </c>
      <c r="H135" s="1273">
        <v>3</v>
      </c>
      <c r="I135" s="1274">
        <f t="shared" si="16"/>
        <v>15000</v>
      </c>
      <c r="J135" s="1258"/>
    </row>
    <row r="136" spans="1:10" s="1288" customFormat="1">
      <c r="A136" s="1268">
        <v>6</v>
      </c>
      <c r="B136" s="1269" t="s">
        <v>3520</v>
      </c>
      <c r="C136" s="1260" t="s">
        <v>3457</v>
      </c>
      <c r="D136" s="1278" t="s">
        <v>3487</v>
      </c>
      <c r="E136" s="1278" t="s">
        <v>3487</v>
      </c>
      <c r="F136" s="1259"/>
      <c r="G136" s="1272">
        <v>5000</v>
      </c>
      <c r="H136" s="1273">
        <v>3</v>
      </c>
      <c r="I136" s="1274">
        <f t="shared" si="16"/>
        <v>15000</v>
      </c>
      <c r="J136" s="1258"/>
    </row>
    <row r="137" spans="1:10" s="1288" customFormat="1">
      <c r="A137" s="1268">
        <v>6</v>
      </c>
      <c r="B137" s="1269" t="s">
        <v>3520</v>
      </c>
      <c r="C137" s="1260" t="s">
        <v>3457</v>
      </c>
      <c r="D137" s="1259" t="s">
        <v>3474</v>
      </c>
      <c r="E137" s="1278" t="s">
        <v>3521</v>
      </c>
      <c r="F137" s="1259"/>
      <c r="G137" s="1272">
        <v>7300</v>
      </c>
      <c r="H137" s="1273">
        <v>3</v>
      </c>
      <c r="I137" s="1274">
        <f>H137*G137</f>
        <v>21900</v>
      </c>
      <c r="J137" s="1258"/>
    </row>
    <row r="138" spans="1:10" s="1288" customFormat="1">
      <c r="A138" s="1268">
        <v>6</v>
      </c>
      <c r="B138" s="1269" t="s">
        <v>3520</v>
      </c>
      <c r="C138" s="1260" t="s">
        <v>3457</v>
      </c>
      <c r="D138" s="1259" t="s">
        <v>3476</v>
      </c>
      <c r="E138" s="1259" t="s">
        <v>3477</v>
      </c>
      <c r="F138" s="1259"/>
      <c r="G138" s="1272">
        <v>12000</v>
      </c>
      <c r="H138" s="1273">
        <v>3</v>
      </c>
      <c r="I138" s="1274">
        <f>H138*G138</f>
        <v>36000</v>
      </c>
      <c r="J138" s="1258"/>
    </row>
    <row r="139" spans="1:10" s="1288" customFormat="1" ht="23.25">
      <c r="A139" s="1268">
        <v>6</v>
      </c>
      <c r="B139" s="1269" t="s">
        <v>3520</v>
      </c>
      <c r="C139" s="1260" t="s">
        <v>3457</v>
      </c>
      <c r="D139" s="1263" t="s">
        <v>3452</v>
      </c>
      <c r="E139" s="1259" t="s">
        <v>3478</v>
      </c>
      <c r="F139" s="1259"/>
      <c r="G139" s="1277">
        <v>15000</v>
      </c>
      <c r="H139" s="1273">
        <v>3</v>
      </c>
      <c r="I139" s="1274">
        <f>H139*G139</f>
        <v>45000</v>
      </c>
      <c r="J139" s="1258"/>
    </row>
    <row r="140" spans="1:10" s="1288" customFormat="1">
      <c r="A140" s="1268">
        <v>6</v>
      </c>
      <c r="B140" s="1269" t="s">
        <v>3520</v>
      </c>
      <c r="C140" s="1260" t="s">
        <v>3457</v>
      </c>
      <c r="D140" s="1259" t="s">
        <v>3479</v>
      </c>
      <c r="E140" s="1259" t="s">
        <v>3479</v>
      </c>
      <c r="F140" s="1259"/>
      <c r="G140" s="1277">
        <v>1200</v>
      </c>
      <c r="H140" s="1273">
        <v>3</v>
      </c>
      <c r="I140" s="1274">
        <f>H140*G140</f>
        <v>3600</v>
      </c>
      <c r="J140" s="1258"/>
    </row>
    <row r="141" spans="1:10" s="1288" customFormat="1">
      <c r="A141" s="1268">
        <v>6</v>
      </c>
      <c r="B141" s="1269" t="s">
        <v>3520</v>
      </c>
      <c r="C141" s="1260" t="s">
        <v>3457</v>
      </c>
      <c r="D141" s="1259" t="s">
        <v>3480</v>
      </c>
      <c r="E141" s="1259" t="s">
        <v>3480</v>
      </c>
      <c r="F141" s="1259"/>
      <c r="G141" s="1277">
        <v>1400</v>
      </c>
      <c r="H141" s="1273">
        <v>3</v>
      </c>
      <c r="I141" s="1274">
        <f>H141*G141</f>
        <v>4200</v>
      </c>
      <c r="J141" s="1258"/>
    </row>
    <row r="142" spans="1:10" s="1288" customFormat="1">
      <c r="A142" s="1268"/>
      <c r="B142" s="1279" t="s">
        <v>3481</v>
      </c>
      <c r="C142" s="1260"/>
      <c r="D142" s="1279"/>
      <c r="E142" s="1269"/>
      <c r="F142" s="1269"/>
      <c r="G142" s="1280"/>
      <c r="H142" s="1280"/>
      <c r="I142" s="1281">
        <f>SUM(I131:I141)</f>
        <v>218400</v>
      </c>
      <c r="J142" s="1258"/>
    </row>
    <row r="143" spans="1:10" s="1288" customFormat="1">
      <c r="A143" s="1268">
        <v>7</v>
      </c>
      <c r="B143" s="1269" t="s">
        <v>3522</v>
      </c>
      <c r="C143" s="1260" t="s">
        <v>3457</v>
      </c>
      <c r="D143" s="1270" t="s">
        <v>3458</v>
      </c>
      <c r="E143" s="1259" t="s">
        <v>3459</v>
      </c>
      <c r="F143" s="1271" t="s">
        <v>3460</v>
      </c>
      <c r="G143" s="1272">
        <v>650</v>
      </c>
      <c r="H143" s="1273">
        <v>15</v>
      </c>
      <c r="I143" s="1274">
        <f>H143*G143</f>
        <v>9750</v>
      </c>
      <c r="J143" s="1258"/>
    </row>
    <row r="144" spans="1:10" s="1288" customFormat="1">
      <c r="A144" s="1268">
        <v>7</v>
      </c>
      <c r="B144" s="1269" t="s">
        <v>3522</v>
      </c>
      <c r="C144" s="1260" t="s">
        <v>3457</v>
      </c>
      <c r="D144" s="1270" t="s">
        <v>3458</v>
      </c>
      <c r="E144" s="1259" t="s">
        <v>3461</v>
      </c>
      <c r="F144" s="1271" t="s">
        <v>3460</v>
      </c>
      <c r="G144" s="1272">
        <v>650</v>
      </c>
      <c r="H144" s="1273">
        <v>15</v>
      </c>
      <c r="I144" s="1274">
        <f>H144*G144</f>
        <v>9750</v>
      </c>
      <c r="J144" s="1258"/>
    </row>
    <row r="145" spans="1:10" s="1288" customFormat="1" ht="22.5">
      <c r="A145" s="1268">
        <v>7</v>
      </c>
      <c r="B145" s="1269" t="s">
        <v>3522</v>
      </c>
      <c r="C145" s="1260" t="s">
        <v>3457</v>
      </c>
      <c r="D145" s="1270" t="s">
        <v>3458</v>
      </c>
      <c r="E145" s="1259" t="s">
        <v>3462</v>
      </c>
      <c r="F145" s="1259" t="s">
        <v>3463</v>
      </c>
      <c r="G145" s="1272">
        <v>380</v>
      </c>
      <c r="H145" s="1273">
        <v>90</v>
      </c>
      <c r="I145" s="1274">
        <f>H145*G145</f>
        <v>34200</v>
      </c>
      <c r="J145" s="1258"/>
    </row>
    <row r="146" spans="1:10" s="1288" customFormat="1">
      <c r="A146" s="1268">
        <v>7</v>
      </c>
      <c r="B146" s="1269" t="s">
        <v>3522</v>
      </c>
      <c r="C146" s="1260" t="s">
        <v>3457</v>
      </c>
      <c r="D146" s="1270" t="s">
        <v>3458</v>
      </c>
      <c r="E146" s="1259" t="s">
        <v>3483</v>
      </c>
      <c r="F146" s="1259" t="s">
        <v>3484</v>
      </c>
      <c r="G146" s="1277">
        <v>2400</v>
      </c>
      <c r="H146" s="1273">
        <v>3</v>
      </c>
      <c r="I146" s="1274">
        <f t="shared" ref="I146:I153" si="17">H146*G146</f>
        <v>7200</v>
      </c>
      <c r="J146" s="1258"/>
    </row>
    <row r="147" spans="1:10" s="1288" customFormat="1" ht="45">
      <c r="A147" s="1268">
        <v>7</v>
      </c>
      <c r="B147" s="1269" t="s">
        <v>3522</v>
      </c>
      <c r="C147" s="1260" t="s">
        <v>3457</v>
      </c>
      <c r="D147" s="1270" t="s">
        <v>3458</v>
      </c>
      <c r="E147" s="1259" t="s">
        <v>3464</v>
      </c>
      <c r="F147" s="1259" t="s">
        <v>3465</v>
      </c>
      <c r="G147" s="1272">
        <v>700</v>
      </c>
      <c r="H147" s="1273">
        <v>3</v>
      </c>
      <c r="I147" s="1274">
        <f t="shared" si="17"/>
        <v>2100</v>
      </c>
      <c r="J147" s="1258"/>
    </row>
    <row r="148" spans="1:10" s="1288" customFormat="1" ht="45">
      <c r="A148" s="1268">
        <v>7</v>
      </c>
      <c r="B148" s="1269" t="s">
        <v>3522</v>
      </c>
      <c r="C148" s="1260" t="s">
        <v>3457</v>
      </c>
      <c r="D148" s="1270" t="s">
        <v>3458</v>
      </c>
      <c r="E148" s="1259" t="s">
        <v>3466</v>
      </c>
      <c r="F148" s="1259" t="s">
        <v>3467</v>
      </c>
      <c r="G148" s="1272">
        <v>6000</v>
      </c>
      <c r="H148" s="1273">
        <v>3</v>
      </c>
      <c r="I148" s="1274">
        <f t="shared" si="17"/>
        <v>18000</v>
      </c>
      <c r="J148" s="1258"/>
    </row>
    <row r="149" spans="1:10" s="1288" customFormat="1">
      <c r="A149" s="1268">
        <v>7</v>
      </c>
      <c r="B149" s="1269" t="s">
        <v>3522</v>
      </c>
      <c r="C149" s="1260" t="s">
        <v>3457</v>
      </c>
      <c r="D149" s="1270" t="s">
        <v>3458</v>
      </c>
      <c r="E149" s="1259" t="s">
        <v>3485</v>
      </c>
      <c r="F149" s="1259"/>
      <c r="G149" s="1272">
        <v>1600</v>
      </c>
      <c r="H149" s="1273">
        <v>6</v>
      </c>
      <c r="I149" s="1274">
        <f t="shared" si="17"/>
        <v>9600</v>
      </c>
      <c r="J149" s="1258"/>
    </row>
    <row r="150" spans="1:10" s="1288" customFormat="1">
      <c r="A150" s="1268">
        <v>7</v>
      </c>
      <c r="B150" s="1269" t="s">
        <v>3522</v>
      </c>
      <c r="C150" s="1260" t="s">
        <v>3457</v>
      </c>
      <c r="D150" s="1270" t="s">
        <v>3458</v>
      </c>
      <c r="E150" s="1259" t="s">
        <v>3486</v>
      </c>
      <c r="F150" s="1259"/>
      <c r="G150" s="1272">
        <v>700</v>
      </c>
      <c r="H150" s="1273">
        <v>3</v>
      </c>
      <c r="I150" s="1274">
        <f t="shared" si="17"/>
        <v>2100</v>
      </c>
      <c r="J150" s="1258"/>
    </row>
    <row r="151" spans="1:10" s="1288" customFormat="1">
      <c r="A151" s="1268">
        <v>7</v>
      </c>
      <c r="B151" s="1269" t="s">
        <v>3522</v>
      </c>
      <c r="C151" s="1260" t="s">
        <v>3457</v>
      </c>
      <c r="D151" s="1259" t="s">
        <v>3468</v>
      </c>
      <c r="E151" s="1259" t="s">
        <v>3468</v>
      </c>
      <c r="F151" s="1259"/>
      <c r="G151" s="1272">
        <v>13000</v>
      </c>
      <c r="H151" s="1273">
        <v>3</v>
      </c>
      <c r="I151" s="1274">
        <f t="shared" si="17"/>
        <v>39000</v>
      </c>
      <c r="J151" s="1258"/>
    </row>
    <row r="152" spans="1:10" s="1288" customFormat="1">
      <c r="A152" s="1268">
        <v>7</v>
      </c>
      <c r="B152" s="1269" t="s">
        <v>3522</v>
      </c>
      <c r="C152" s="1260" t="s">
        <v>3457</v>
      </c>
      <c r="D152" s="1259" t="s">
        <v>3469</v>
      </c>
      <c r="E152" s="1259" t="s">
        <v>3469</v>
      </c>
      <c r="F152" s="1276" t="s">
        <v>3470</v>
      </c>
      <c r="G152" s="1277">
        <v>9000</v>
      </c>
      <c r="H152" s="1273">
        <v>3</v>
      </c>
      <c r="I152" s="1274">
        <f t="shared" si="17"/>
        <v>27000</v>
      </c>
      <c r="J152" s="1258"/>
    </row>
    <row r="153" spans="1:10" s="1288" customFormat="1">
      <c r="A153" s="1268">
        <v>7</v>
      </c>
      <c r="B153" s="1269" t="s">
        <v>3522</v>
      </c>
      <c r="C153" s="1260" t="s">
        <v>3457</v>
      </c>
      <c r="D153" s="1278" t="s">
        <v>3487</v>
      </c>
      <c r="E153" s="1278" t="s">
        <v>3487</v>
      </c>
      <c r="F153" s="1259"/>
      <c r="G153" s="1272">
        <v>5000</v>
      </c>
      <c r="H153" s="1273">
        <v>6</v>
      </c>
      <c r="I153" s="1274">
        <f t="shared" si="17"/>
        <v>30000</v>
      </c>
      <c r="J153" s="1258"/>
    </row>
    <row r="154" spans="1:10" s="1288" customFormat="1">
      <c r="A154" s="1268">
        <v>7</v>
      </c>
      <c r="B154" s="1269" t="s">
        <v>3522</v>
      </c>
      <c r="C154" s="1260" t="s">
        <v>3457</v>
      </c>
      <c r="D154" s="1259" t="s">
        <v>3474</v>
      </c>
      <c r="E154" s="1278" t="s">
        <v>3521</v>
      </c>
      <c r="F154" s="1259"/>
      <c r="G154" s="1272">
        <v>7300</v>
      </c>
      <c r="H154" s="1273">
        <v>3</v>
      </c>
      <c r="I154" s="1274">
        <f>H154*G154</f>
        <v>21900</v>
      </c>
      <c r="J154" s="1258"/>
    </row>
    <row r="155" spans="1:10" s="1288" customFormat="1">
      <c r="A155" s="1268">
        <v>7</v>
      </c>
      <c r="B155" s="1269" t="s">
        <v>3522</v>
      </c>
      <c r="C155" s="1260" t="s">
        <v>3457</v>
      </c>
      <c r="D155" s="1259" t="s">
        <v>3476</v>
      </c>
      <c r="E155" s="1259" t="s">
        <v>3477</v>
      </c>
      <c r="F155" s="1259"/>
      <c r="G155" s="1272">
        <v>12000</v>
      </c>
      <c r="H155" s="1273">
        <v>3</v>
      </c>
      <c r="I155" s="1274">
        <f>H155*G155</f>
        <v>36000</v>
      </c>
      <c r="J155" s="1258"/>
    </row>
    <row r="156" spans="1:10" s="1288" customFormat="1" ht="23.25">
      <c r="A156" s="1268">
        <v>7</v>
      </c>
      <c r="B156" s="1269" t="s">
        <v>3522</v>
      </c>
      <c r="C156" s="1260" t="s">
        <v>3457</v>
      </c>
      <c r="D156" s="1263" t="s">
        <v>3452</v>
      </c>
      <c r="E156" s="1259" t="s">
        <v>3478</v>
      </c>
      <c r="F156" s="1259"/>
      <c r="G156" s="1277">
        <v>15000</v>
      </c>
      <c r="H156" s="1273">
        <v>3</v>
      </c>
      <c r="I156" s="1274">
        <f>H156*G156</f>
        <v>45000</v>
      </c>
      <c r="J156" s="1258"/>
    </row>
    <row r="157" spans="1:10" s="1288" customFormat="1">
      <c r="A157" s="1268">
        <v>7</v>
      </c>
      <c r="B157" s="1269" t="s">
        <v>3522</v>
      </c>
      <c r="C157" s="1260" t="s">
        <v>3457</v>
      </c>
      <c r="D157" s="1259" t="s">
        <v>3480</v>
      </c>
      <c r="E157" s="1259" t="s">
        <v>3480</v>
      </c>
      <c r="F157" s="1259"/>
      <c r="G157" s="1277">
        <v>1400</v>
      </c>
      <c r="H157" s="1273">
        <v>3</v>
      </c>
      <c r="I157" s="1274">
        <f>H157*G157</f>
        <v>4200</v>
      </c>
      <c r="J157" s="1258"/>
    </row>
    <row r="158" spans="1:10" s="1288" customFormat="1">
      <c r="A158" s="1268"/>
      <c r="B158" s="1279" t="s">
        <v>3481</v>
      </c>
      <c r="C158" s="1260"/>
      <c r="D158" s="1279"/>
      <c r="E158" s="1269"/>
      <c r="F158" s="1269"/>
      <c r="G158" s="1280"/>
      <c r="H158" s="1280"/>
      <c r="I158" s="1281">
        <f>SUM(I143:I157)</f>
        <v>295800</v>
      </c>
      <c r="J158" s="1258"/>
    </row>
    <row r="159" spans="1:10" s="1288" customFormat="1">
      <c r="A159" s="1268"/>
      <c r="B159" s="1279" t="s">
        <v>3554</v>
      </c>
      <c r="C159" s="1260"/>
      <c r="D159" s="1279"/>
      <c r="E159" s="1269"/>
      <c r="F159" s="1269"/>
      <c r="G159" s="1280"/>
      <c r="H159" s="1280"/>
      <c r="I159" s="1281">
        <f>SUM(I158,I142,I130,I124,I118,I112,I106)</f>
        <v>1331800</v>
      </c>
      <c r="J159" s="1258"/>
    </row>
    <row r="160" spans="1:10">
      <c r="A160" s="1258">
        <v>1</v>
      </c>
      <c r="B160" s="1261" t="s">
        <v>3523</v>
      </c>
      <c r="C160" s="1260" t="s">
        <v>3489</v>
      </c>
      <c r="D160" s="1261" t="s">
        <v>3458</v>
      </c>
      <c r="E160" s="1261" t="s">
        <v>3449</v>
      </c>
      <c r="F160" s="1258"/>
      <c r="G160" s="1262">
        <v>400</v>
      </c>
      <c r="H160" s="1258">
        <v>120</v>
      </c>
      <c r="I160" s="1262">
        <f>G160*H160</f>
        <v>48000</v>
      </c>
      <c r="J160" s="1258"/>
    </row>
    <row r="161" spans="1:10">
      <c r="A161" s="1258">
        <v>1</v>
      </c>
      <c r="B161" s="1261" t="s">
        <v>3523</v>
      </c>
      <c r="C161" s="1260" t="s">
        <v>3489</v>
      </c>
      <c r="D161" s="1261" t="s">
        <v>3458</v>
      </c>
      <c r="E161" s="1259" t="s">
        <v>3450</v>
      </c>
      <c r="F161" s="1258"/>
      <c r="G161" s="1262">
        <v>2000</v>
      </c>
      <c r="H161" s="1258">
        <v>6</v>
      </c>
      <c r="I161" s="1262">
        <f t="shared" ref="I161:I167" si="18">G161*H161</f>
        <v>12000</v>
      </c>
      <c r="J161" s="1258"/>
    </row>
    <row r="162" spans="1:10">
      <c r="A162" s="1258">
        <v>1</v>
      </c>
      <c r="B162" s="1261" t="s">
        <v>3523</v>
      </c>
      <c r="C162" s="1260" t="s">
        <v>3489</v>
      </c>
      <c r="D162" s="1261" t="s">
        <v>3458</v>
      </c>
      <c r="E162" s="1259" t="s">
        <v>3451</v>
      </c>
      <c r="F162" s="1258"/>
      <c r="G162" s="1262">
        <v>3500</v>
      </c>
      <c r="H162" s="1258">
        <v>6</v>
      </c>
      <c r="I162" s="1262">
        <f t="shared" si="18"/>
        <v>21000</v>
      </c>
      <c r="J162" s="1258"/>
    </row>
    <row r="163" spans="1:10">
      <c r="A163" s="1258">
        <v>1</v>
      </c>
      <c r="B163" s="1261" t="s">
        <v>3523</v>
      </c>
      <c r="C163" s="1260" t="s">
        <v>3489</v>
      </c>
      <c r="D163" s="1261" t="s">
        <v>3458</v>
      </c>
      <c r="E163" s="1259" t="s">
        <v>3512</v>
      </c>
      <c r="F163" s="1258"/>
      <c r="G163" s="1262">
        <v>1100</v>
      </c>
      <c r="H163" s="1258">
        <v>6</v>
      </c>
      <c r="I163" s="1262">
        <f t="shared" si="18"/>
        <v>6600</v>
      </c>
      <c r="J163" s="1258"/>
    </row>
    <row r="164" spans="1:10" s="1264" customFormat="1">
      <c r="A164" s="1258">
        <v>1</v>
      </c>
      <c r="B164" s="1261" t="s">
        <v>3523</v>
      </c>
      <c r="C164" s="1260" t="s">
        <v>3489</v>
      </c>
      <c r="D164" s="1261" t="s">
        <v>3458</v>
      </c>
      <c r="E164" s="1259" t="s">
        <v>3513</v>
      </c>
      <c r="F164" s="1258"/>
      <c r="G164" s="1262">
        <v>1600</v>
      </c>
      <c r="H164" s="1258">
        <v>18</v>
      </c>
      <c r="I164" s="1262">
        <f t="shared" si="18"/>
        <v>28800</v>
      </c>
      <c r="J164" s="1258"/>
    </row>
    <row r="165" spans="1:10">
      <c r="A165" s="1258">
        <v>1</v>
      </c>
      <c r="B165" s="1261" t="s">
        <v>3523</v>
      </c>
      <c r="C165" s="1260" t="s">
        <v>3489</v>
      </c>
      <c r="D165" s="1261" t="s">
        <v>3458</v>
      </c>
      <c r="E165" s="1259" t="s">
        <v>3514</v>
      </c>
      <c r="F165" s="1258"/>
      <c r="G165" s="1262">
        <v>700</v>
      </c>
      <c r="H165" s="1258">
        <v>9</v>
      </c>
      <c r="I165" s="1262">
        <f t="shared" si="18"/>
        <v>6300</v>
      </c>
      <c r="J165" s="1258"/>
    </row>
    <row r="166" spans="1:10" ht="34.5">
      <c r="A166" s="1258">
        <v>1</v>
      </c>
      <c r="B166" s="1261" t="s">
        <v>3523</v>
      </c>
      <c r="C166" s="1260" t="s">
        <v>3489</v>
      </c>
      <c r="D166" s="1263" t="s">
        <v>3452</v>
      </c>
      <c r="E166" s="1259" t="s">
        <v>3453</v>
      </c>
      <c r="F166" s="1258"/>
      <c r="G166" s="1262">
        <v>22000</v>
      </c>
      <c r="H166" s="1258">
        <v>6</v>
      </c>
      <c r="I166" s="1262">
        <f t="shared" si="18"/>
        <v>132000</v>
      </c>
      <c r="J166" s="1258"/>
    </row>
    <row r="167" spans="1:10">
      <c r="A167" s="1258">
        <v>1</v>
      </c>
      <c r="B167" s="1261" t="s">
        <v>3523</v>
      </c>
      <c r="C167" s="1260" t="s">
        <v>3489</v>
      </c>
      <c r="D167" s="1261" t="s">
        <v>3454</v>
      </c>
      <c r="E167" s="1259" t="s">
        <v>3454</v>
      </c>
      <c r="F167" s="1258"/>
      <c r="G167" s="1262">
        <v>5000</v>
      </c>
      <c r="H167" s="1258">
        <v>18</v>
      </c>
      <c r="I167" s="1262">
        <f t="shared" si="18"/>
        <v>90000</v>
      </c>
      <c r="J167" s="1258"/>
    </row>
    <row r="168" spans="1:10">
      <c r="A168" s="1258"/>
      <c r="B168" s="1286" t="s">
        <v>3515</v>
      </c>
      <c r="C168" s="1260"/>
      <c r="D168" s="1287"/>
      <c r="E168" s="1259"/>
      <c r="F168" s="1258"/>
      <c r="G168" s="1262"/>
      <c r="H168" s="1285"/>
      <c r="I168" s="1267">
        <f>SUM(I160:I167)</f>
        <v>344700</v>
      </c>
      <c r="J168" s="1258"/>
    </row>
    <row r="169" spans="1:10">
      <c r="A169" s="1258">
        <v>2</v>
      </c>
      <c r="B169" s="1261" t="s">
        <v>3524</v>
      </c>
      <c r="C169" s="1260" t="s">
        <v>3489</v>
      </c>
      <c r="D169" s="1261" t="s">
        <v>3458</v>
      </c>
      <c r="E169" s="1261" t="s">
        <v>3449</v>
      </c>
      <c r="F169" s="1258"/>
      <c r="G169" s="1262">
        <v>400</v>
      </c>
      <c r="H169" s="1258">
        <v>180</v>
      </c>
      <c r="I169" s="1262">
        <f>G169*H169</f>
        <v>72000</v>
      </c>
      <c r="J169" s="1258"/>
    </row>
    <row r="170" spans="1:10">
      <c r="A170" s="1258">
        <v>2</v>
      </c>
      <c r="B170" s="1261" t="s">
        <v>3524</v>
      </c>
      <c r="C170" s="1260" t="s">
        <v>3489</v>
      </c>
      <c r="D170" s="1261" t="s">
        <v>3458</v>
      </c>
      <c r="E170" s="1259" t="s">
        <v>3450</v>
      </c>
      <c r="F170" s="1258"/>
      <c r="G170" s="1262">
        <v>2000</v>
      </c>
      <c r="H170" s="1258">
        <v>4</v>
      </c>
      <c r="I170" s="1262">
        <f t="shared" ref="I170:I173" si="19">G170*H170</f>
        <v>8000</v>
      </c>
      <c r="J170" s="1258"/>
    </row>
    <row r="171" spans="1:10">
      <c r="A171" s="1258">
        <v>2</v>
      </c>
      <c r="B171" s="1261" t="s">
        <v>3524</v>
      </c>
      <c r="C171" s="1260" t="s">
        <v>3489</v>
      </c>
      <c r="D171" s="1261" t="s">
        <v>3458</v>
      </c>
      <c r="E171" s="1259" t="s">
        <v>3451</v>
      </c>
      <c r="F171" s="1258"/>
      <c r="G171" s="1262">
        <v>3500</v>
      </c>
      <c r="H171" s="1258">
        <v>4</v>
      </c>
      <c r="I171" s="1262">
        <f t="shared" si="19"/>
        <v>14000</v>
      </c>
      <c r="J171" s="1258"/>
    </row>
    <row r="172" spans="1:10" ht="24">
      <c r="A172" s="1258">
        <v>2</v>
      </c>
      <c r="B172" s="1261" t="s">
        <v>3524</v>
      </c>
      <c r="C172" s="1260" t="s">
        <v>3489</v>
      </c>
      <c r="D172" s="1263" t="s">
        <v>3452</v>
      </c>
      <c r="E172" s="1259" t="s">
        <v>3507</v>
      </c>
      <c r="F172" s="1258"/>
      <c r="G172" s="1262">
        <v>27000</v>
      </c>
      <c r="H172" s="1258">
        <v>4</v>
      </c>
      <c r="I172" s="1262">
        <f t="shared" si="19"/>
        <v>108000</v>
      </c>
      <c r="J172" s="1258"/>
    </row>
    <row r="173" spans="1:10">
      <c r="A173" s="1258">
        <v>2</v>
      </c>
      <c r="B173" s="1261" t="s">
        <v>3524</v>
      </c>
      <c r="C173" s="1260" t="s">
        <v>3489</v>
      </c>
      <c r="D173" s="1261" t="s">
        <v>3454</v>
      </c>
      <c r="E173" s="1259" t="s">
        <v>3454</v>
      </c>
      <c r="F173" s="1258"/>
      <c r="G173" s="1262">
        <v>5000</v>
      </c>
      <c r="H173" s="1258">
        <v>16</v>
      </c>
      <c r="I173" s="1262">
        <f t="shared" si="19"/>
        <v>80000</v>
      </c>
      <c r="J173" s="1258"/>
    </row>
    <row r="174" spans="1:10">
      <c r="A174" s="1258"/>
      <c r="B174" s="1286" t="s">
        <v>3515</v>
      </c>
      <c r="C174" s="1260"/>
      <c r="D174" s="1287"/>
      <c r="E174" s="1259"/>
      <c r="F174" s="1258"/>
      <c r="G174" s="1262"/>
      <c r="H174" s="1285"/>
      <c r="I174" s="1267">
        <f>SUM(I169:I173)</f>
        <v>282000</v>
      </c>
      <c r="J174" s="1258"/>
    </row>
    <row r="175" spans="1:10">
      <c r="A175" s="1258">
        <v>3</v>
      </c>
      <c r="B175" s="1261" t="s">
        <v>3525</v>
      </c>
      <c r="C175" s="1260" t="s">
        <v>3489</v>
      </c>
      <c r="D175" s="1261" t="s">
        <v>3458</v>
      </c>
      <c r="E175" s="1259" t="s">
        <v>3513</v>
      </c>
      <c r="F175" s="1258"/>
      <c r="G175" s="1262">
        <v>1600</v>
      </c>
      <c r="H175" s="1258">
        <v>24</v>
      </c>
      <c r="I175" s="1262">
        <f t="shared" ref="I175:I177" si="20">G175*H175</f>
        <v>38400</v>
      </c>
      <c r="J175" s="1258"/>
    </row>
    <row r="176" spans="1:10">
      <c r="A176" s="1258">
        <v>3</v>
      </c>
      <c r="B176" s="1261" t="s">
        <v>3525</v>
      </c>
      <c r="C176" s="1260" t="s">
        <v>3489</v>
      </c>
      <c r="D176" s="1261" t="s">
        <v>3458</v>
      </c>
      <c r="E176" s="1259" t="s">
        <v>3514</v>
      </c>
      <c r="F176" s="1258"/>
      <c r="G176" s="1262">
        <v>700</v>
      </c>
      <c r="H176" s="1258">
        <v>12</v>
      </c>
      <c r="I176" s="1262">
        <f t="shared" si="20"/>
        <v>8400</v>
      </c>
      <c r="J176" s="1258"/>
    </row>
    <row r="177" spans="1:10">
      <c r="A177" s="1258">
        <v>3</v>
      </c>
      <c r="B177" s="1261" t="s">
        <v>3525</v>
      </c>
      <c r="C177" s="1260" t="s">
        <v>3489</v>
      </c>
      <c r="D177" s="1261" t="s">
        <v>3454</v>
      </c>
      <c r="E177" s="1259" t="s">
        <v>3454</v>
      </c>
      <c r="F177" s="1258"/>
      <c r="G177" s="1262">
        <v>5000</v>
      </c>
      <c r="H177" s="1258">
        <v>24</v>
      </c>
      <c r="I177" s="1262">
        <f t="shared" si="20"/>
        <v>120000</v>
      </c>
      <c r="J177" s="1258"/>
    </row>
    <row r="178" spans="1:10">
      <c r="A178" s="1258"/>
      <c r="B178" s="1286" t="s">
        <v>3515</v>
      </c>
      <c r="C178" s="1260"/>
      <c r="D178" s="1287"/>
      <c r="E178" s="1259"/>
      <c r="F178" s="1258"/>
      <c r="G178" s="1262"/>
      <c r="H178" s="1285"/>
      <c r="I178" s="1267">
        <f>SUM(I175:I177)</f>
        <v>166800</v>
      </c>
      <c r="J178" s="1258"/>
    </row>
    <row r="179" spans="1:10">
      <c r="A179" s="1258">
        <v>4</v>
      </c>
      <c r="B179" s="1261" t="s">
        <v>3526</v>
      </c>
      <c r="C179" s="1260" t="s">
        <v>3489</v>
      </c>
      <c r="D179" s="1261" t="s">
        <v>3458</v>
      </c>
      <c r="E179" s="1261" t="s">
        <v>3449</v>
      </c>
      <c r="F179" s="1258"/>
      <c r="G179" s="1262">
        <v>400</v>
      </c>
      <c r="H179" s="1258">
        <v>180</v>
      </c>
      <c r="I179" s="1262">
        <f>G179*H179</f>
        <v>72000</v>
      </c>
      <c r="J179" s="1258"/>
    </row>
    <row r="180" spans="1:10">
      <c r="A180" s="1258">
        <v>4</v>
      </c>
      <c r="B180" s="1261" t="s">
        <v>3526</v>
      </c>
      <c r="C180" s="1260" t="s">
        <v>3489</v>
      </c>
      <c r="D180" s="1261" t="s">
        <v>3458</v>
      </c>
      <c r="E180" s="1259" t="s">
        <v>3450</v>
      </c>
      <c r="F180" s="1258"/>
      <c r="G180" s="1262">
        <v>2000</v>
      </c>
      <c r="H180" s="1258">
        <v>4</v>
      </c>
      <c r="I180" s="1262">
        <f t="shared" ref="I180:I182" si="21">G180*H180</f>
        <v>8000</v>
      </c>
      <c r="J180" s="1258"/>
    </row>
    <row r="181" spans="1:10">
      <c r="A181" s="1258">
        <v>4</v>
      </c>
      <c r="B181" s="1261" t="s">
        <v>3526</v>
      </c>
      <c r="C181" s="1260" t="s">
        <v>3489</v>
      </c>
      <c r="D181" s="1261" t="s">
        <v>3458</v>
      </c>
      <c r="E181" s="1259" t="s">
        <v>3451</v>
      </c>
      <c r="F181" s="1258"/>
      <c r="G181" s="1262">
        <v>3500</v>
      </c>
      <c r="H181" s="1258">
        <v>4</v>
      </c>
      <c r="I181" s="1262">
        <f t="shared" si="21"/>
        <v>14000</v>
      </c>
      <c r="J181" s="1258"/>
    </row>
    <row r="182" spans="1:10" ht="34.5">
      <c r="A182" s="1258">
        <v>4</v>
      </c>
      <c r="B182" s="1261" t="s">
        <v>3526</v>
      </c>
      <c r="C182" s="1260" t="s">
        <v>3489</v>
      </c>
      <c r="D182" s="1263" t="s">
        <v>3452</v>
      </c>
      <c r="E182" s="1259" t="s">
        <v>3453</v>
      </c>
      <c r="F182" s="1258"/>
      <c r="G182" s="1262">
        <v>22000</v>
      </c>
      <c r="H182" s="1258">
        <v>4</v>
      </c>
      <c r="I182" s="1262">
        <f t="shared" si="21"/>
        <v>88000</v>
      </c>
      <c r="J182" s="1258"/>
    </row>
    <row r="183" spans="1:10">
      <c r="A183" s="1258"/>
      <c r="B183" s="1286" t="s">
        <v>3515</v>
      </c>
      <c r="C183" s="1260"/>
      <c r="D183" s="1287"/>
      <c r="E183" s="1259"/>
      <c r="F183" s="1258"/>
      <c r="G183" s="1262"/>
      <c r="H183" s="1285"/>
      <c r="I183" s="1267">
        <f>SUM(I179:I182)</f>
        <v>182000</v>
      </c>
      <c r="J183" s="1258"/>
    </row>
    <row r="184" spans="1:10" s="1275" customFormat="1" ht="12.75">
      <c r="A184" s="1268">
        <v>5</v>
      </c>
      <c r="B184" s="1269" t="s">
        <v>3527</v>
      </c>
      <c r="C184" s="1260" t="s">
        <v>3457</v>
      </c>
      <c r="D184" s="1270" t="s">
        <v>3458</v>
      </c>
      <c r="E184" s="1259" t="s">
        <v>3459</v>
      </c>
      <c r="F184" s="1271" t="s">
        <v>3460</v>
      </c>
      <c r="G184" s="1272">
        <v>650</v>
      </c>
      <c r="H184" s="1273">
        <v>10</v>
      </c>
      <c r="I184" s="1274">
        <f>H184*G184</f>
        <v>6500</v>
      </c>
      <c r="J184" s="1284"/>
    </row>
    <row r="185" spans="1:10" s="1275" customFormat="1" ht="12.75">
      <c r="A185" s="1268">
        <v>5</v>
      </c>
      <c r="B185" s="1269" t="s">
        <v>3527</v>
      </c>
      <c r="C185" s="1260" t="s">
        <v>3457</v>
      </c>
      <c r="D185" s="1270" t="s">
        <v>3458</v>
      </c>
      <c r="E185" s="1259" t="s">
        <v>3461</v>
      </c>
      <c r="F185" s="1271" t="s">
        <v>3460</v>
      </c>
      <c r="G185" s="1272">
        <v>650</v>
      </c>
      <c r="H185" s="1273">
        <v>10</v>
      </c>
      <c r="I185" s="1274">
        <f>H185*G185</f>
        <v>6500</v>
      </c>
      <c r="J185" s="1284"/>
    </row>
    <row r="186" spans="1:10" s="1275" customFormat="1" ht="22.5">
      <c r="A186" s="1268">
        <v>5</v>
      </c>
      <c r="B186" s="1269" t="s">
        <v>3527</v>
      </c>
      <c r="C186" s="1260" t="s">
        <v>3457</v>
      </c>
      <c r="D186" s="1270" t="s">
        <v>3458</v>
      </c>
      <c r="E186" s="1259" t="s">
        <v>3462</v>
      </c>
      <c r="F186" s="1259" t="s">
        <v>3463</v>
      </c>
      <c r="G186" s="1272">
        <v>380</v>
      </c>
      <c r="H186" s="1273">
        <v>60</v>
      </c>
      <c r="I186" s="1274">
        <f>H186*G186</f>
        <v>22800</v>
      </c>
      <c r="J186" s="1284"/>
    </row>
    <row r="187" spans="1:10" s="1275" customFormat="1" ht="12.75">
      <c r="A187" s="1268">
        <v>5</v>
      </c>
      <c r="B187" s="1269" t="s">
        <v>3527</v>
      </c>
      <c r="C187" s="1260" t="s">
        <v>3457</v>
      </c>
      <c r="D187" s="1270" t="s">
        <v>3458</v>
      </c>
      <c r="E187" s="1259" t="s">
        <v>3483</v>
      </c>
      <c r="F187" s="1259" t="s">
        <v>3484</v>
      </c>
      <c r="G187" s="1277">
        <v>2400</v>
      </c>
      <c r="H187" s="1273">
        <v>2</v>
      </c>
      <c r="I187" s="1274">
        <f t="shared" ref="I187:I192" si="22">H187*G187</f>
        <v>4800</v>
      </c>
      <c r="J187" s="1284"/>
    </row>
    <row r="188" spans="1:10" s="1275" customFormat="1" ht="45">
      <c r="A188" s="1268">
        <v>5</v>
      </c>
      <c r="B188" s="1269" t="s">
        <v>3527</v>
      </c>
      <c r="C188" s="1260" t="s">
        <v>3457</v>
      </c>
      <c r="D188" s="1270" t="s">
        <v>3458</v>
      </c>
      <c r="E188" s="1259" t="s">
        <v>3464</v>
      </c>
      <c r="F188" s="1259" t="s">
        <v>3465</v>
      </c>
      <c r="G188" s="1272">
        <v>700</v>
      </c>
      <c r="H188" s="1273">
        <v>2</v>
      </c>
      <c r="I188" s="1274">
        <f t="shared" si="22"/>
        <v>1400</v>
      </c>
      <c r="J188" s="1284"/>
    </row>
    <row r="189" spans="1:10" s="1275" customFormat="1" ht="45">
      <c r="A189" s="1268">
        <v>5</v>
      </c>
      <c r="B189" s="1269" t="s">
        <v>3527</v>
      </c>
      <c r="C189" s="1260" t="s">
        <v>3457</v>
      </c>
      <c r="D189" s="1270" t="s">
        <v>3458</v>
      </c>
      <c r="E189" s="1259" t="s">
        <v>3466</v>
      </c>
      <c r="F189" s="1259" t="s">
        <v>3467</v>
      </c>
      <c r="G189" s="1272">
        <v>6000</v>
      </c>
      <c r="H189" s="1273">
        <v>2</v>
      </c>
      <c r="I189" s="1274">
        <f t="shared" si="22"/>
        <v>12000</v>
      </c>
      <c r="J189" s="1284"/>
    </row>
    <row r="190" spans="1:10" s="1275" customFormat="1" ht="12.75">
      <c r="A190" s="1268">
        <v>5</v>
      </c>
      <c r="B190" s="1269" t="s">
        <v>3527</v>
      </c>
      <c r="C190" s="1260" t="s">
        <v>3457</v>
      </c>
      <c r="D190" s="1259" t="s">
        <v>3468</v>
      </c>
      <c r="E190" s="1259" t="s">
        <v>3468</v>
      </c>
      <c r="F190" s="1259"/>
      <c r="G190" s="1272">
        <v>13000</v>
      </c>
      <c r="H190" s="1273">
        <v>2</v>
      </c>
      <c r="I190" s="1274">
        <f t="shared" si="22"/>
        <v>26000</v>
      </c>
      <c r="J190" s="1284"/>
    </row>
    <row r="191" spans="1:10" s="1275" customFormat="1" ht="12.75">
      <c r="A191" s="1268">
        <v>5</v>
      </c>
      <c r="B191" s="1269" t="s">
        <v>3527</v>
      </c>
      <c r="C191" s="1260" t="s">
        <v>3457</v>
      </c>
      <c r="D191" s="1259" t="s">
        <v>3469</v>
      </c>
      <c r="E191" s="1259" t="s">
        <v>3469</v>
      </c>
      <c r="F191" s="1276" t="s">
        <v>3470</v>
      </c>
      <c r="G191" s="1277">
        <v>9000</v>
      </c>
      <c r="H191" s="1273">
        <v>2</v>
      </c>
      <c r="I191" s="1274">
        <f t="shared" si="22"/>
        <v>18000</v>
      </c>
      <c r="J191" s="1284"/>
    </row>
    <row r="192" spans="1:10" s="1275" customFormat="1" ht="12.75">
      <c r="A192" s="1268">
        <v>5</v>
      </c>
      <c r="B192" s="1269" t="s">
        <v>3527</v>
      </c>
      <c r="C192" s="1260" t="s">
        <v>3457</v>
      </c>
      <c r="D192" s="1278" t="s">
        <v>3487</v>
      </c>
      <c r="E192" s="1278" t="s">
        <v>3487</v>
      </c>
      <c r="F192" s="1259"/>
      <c r="G192" s="1272">
        <v>5000</v>
      </c>
      <c r="H192" s="1273">
        <v>4</v>
      </c>
      <c r="I192" s="1274">
        <f t="shared" si="22"/>
        <v>20000</v>
      </c>
      <c r="J192" s="1284"/>
    </row>
    <row r="193" spans="1:10" s="1275" customFormat="1" ht="12.75">
      <c r="A193" s="1268">
        <v>5</v>
      </c>
      <c r="B193" s="1269" t="s">
        <v>3527</v>
      </c>
      <c r="C193" s="1260" t="s">
        <v>3457</v>
      </c>
      <c r="D193" s="1259" t="s">
        <v>3474</v>
      </c>
      <c r="E193" s="1278" t="s">
        <v>3521</v>
      </c>
      <c r="F193" s="1259"/>
      <c r="G193" s="1272">
        <v>7300</v>
      </c>
      <c r="H193" s="1273">
        <v>2</v>
      </c>
      <c r="I193" s="1274">
        <f>H193*G193</f>
        <v>14600</v>
      </c>
      <c r="J193" s="1284"/>
    </row>
    <row r="194" spans="1:10" s="1275" customFormat="1" ht="12.75">
      <c r="A194" s="1268">
        <v>5</v>
      </c>
      <c r="B194" s="1269" t="s">
        <v>3527</v>
      </c>
      <c r="C194" s="1260" t="s">
        <v>3457</v>
      </c>
      <c r="D194" s="1259" t="s">
        <v>3476</v>
      </c>
      <c r="E194" s="1259" t="s">
        <v>3477</v>
      </c>
      <c r="F194" s="1259"/>
      <c r="G194" s="1272">
        <v>12000</v>
      </c>
      <c r="H194" s="1273">
        <v>2</v>
      </c>
      <c r="I194" s="1274">
        <f>H194*G194</f>
        <v>24000</v>
      </c>
      <c r="J194" s="1284"/>
    </row>
    <row r="195" spans="1:10" s="1275" customFormat="1" ht="23.25">
      <c r="A195" s="1268">
        <v>5</v>
      </c>
      <c r="B195" s="1269" t="s">
        <v>3527</v>
      </c>
      <c r="C195" s="1260" t="s">
        <v>3457</v>
      </c>
      <c r="D195" s="1263" t="s">
        <v>3452</v>
      </c>
      <c r="E195" s="1259" t="s">
        <v>3478</v>
      </c>
      <c r="F195" s="1259"/>
      <c r="G195" s="1277">
        <v>15000</v>
      </c>
      <c r="H195" s="1273">
        <v>2</v>
      </c>
      <c r="I195" s="1274">
        <f>H195*G195</f>
        <v>30000</v>
      </c>
      <c r="J195" s="1284"/>
    </row>
    <row r="196" spans="1:10" s="1275" customFormat="1" ht="12.75">
      <c r="A196" s="1268">
        <v>5</v>
      </c>
      <c r="B196" s="1269" t="s">
        <v>3527</v>
      </c>
      <c r="C196" s="1260" t="s">
        <v>3457</v>
      </c>
      <c r="D196" s="1259" t="s">
        <v>3479</v>
      </c>
      <c r="E196" s="1259" t="s">
        <v>3479</v>
      </c>
      <c r="F196" s="1259"/>
      <c r="G196" s="1277">
        <v>1200</v>
      </c>
      <c r="H196" s="1273">
        <v>2</v>
      </c>
      <c r="I196" s="1274">
        <f>H196*G196</f>
        <v>2400</v>
      </c>
      <c r="J196" s="1284"/>
    </row>
    <row r="197" spans="1:10" s="1275" customFormat="1" ht="12.75">
      <c r="A197" s="1268">
        <v>5</v>
      </c>
      <c r="B197" s="1269" t="s">
        <v>3527</v>
      </c>
      <c r="C197" s="1260" t="s">
        <v>3457</v>
      </c>
      <c r="D197" s="1259" t="s">
        <v>3480</v>
      </c>
      <c r="E197" s="1259" t="s">
        <v>3480</v>
      </c>
      <c r="F197" s="1259"/>
      <c r="G197" s="1277">
        <v>1400</v>
      </c>
      <c r="H197" s="1273">
        <v>2</v>
      </c>
      <c r="I197" s="1274">
        <f>H197*G197</f>
        <v>2800</v>
      </c>
      <c r="J197" s="1284"/>
    </row>
    <row r="198" spans="1:10" s="1275" customFormat="1" ht="12.75">
      <c r="A198" s="1268"/>
      <c r="B198" s="1279" t="s">
        <v>3481</v>
      </c>
      <c r="C198" s="1260"/>
      <c r="D198" s="1279"/>
      <c r="E198" s="1269"/>
      <c r="F198" s="1269"/>
      <c r="G198" s="1280"/>
      <c r="H198" s="1280"/>
      <c r="I198" s="1281">
        <f>SUM(I184:I197)</f>
        <v>191800</v>
      </c>
      <c r="J198" s="1284"/>
    </row>
    <row r="199" spans="1:10" s="1275" customFormat="1" ht="12.75">
      <c r="A199" s="1268">
        <v>6</v>
      </c>
      <c r="B199" s="1269" t="s">
        <v>3528</v>
      </c>
      <c r="C199" s="1260" t="s">
        <v>3457</v>
      </c>
      <c r="D199" s="1270" t="s">
        <v>3458</v>
      </c>
      <c r="E199" s="1259" t="s">
        <v>3459</v>
      </c>
      <c r="F199" s="1271" t="s">
        <v>3460</v>
      </c>
      <c r="G199" s="1272">
        <v>650</v>
      </c>
      <c r="H199" s="1273">
        <v>5</v>
      </c>
      <c r="I199" s="1274">
        <f>H199*G199</f>
        <v>3250</v>
      </c>
      <c r="J199" s="1284"/>
    </row>
    <row r="200" spans="1:10" s="1275" customFormat="1" ht="12.75">
      <c r="A200" s="1268">
        <v>6</v>
      </c>
      <c r="B200" s="1269" t="s">
        <v>3528</v>
      </c>
      <c r="C200" s="1260" t="s">
        <v>3457</v>
      </c>
      <c r="D200" s="1270" t="s">
        <v>3458</v>
      </c>
      <c r="E200" s="1259" t="s">
        <v>3461</v>
      </c>
      <c r="F200" s="1271" t="s">
        <v>3460</v>
      </c>
      <c r="G200" s="1272">
        <v>650</v>
      </c>
      <c r="H200" s="1273">
        <v>5</v>
      </c>
      <c r="I200" s="1274">
        <f>H200*G200</f>
        <v>3250</v>
      </c>
      <c r="J200" s="1284"/>
    </row>
    <row r="201" spans="1:10" s="1275" customFormat="1" ht="22.5">
      <c r="A201" s="1268">
        <v>6</v>
      </c>
      <c r="B201" s="1269" t="s">
        <v>3528</v>
      </c>
      <c r="C201" s="1260" t="s">
        <v>3457</v>
      </c>
      <c r="D201" s="1270" t="s">
        <v>3458</v>
      </c>
      <c r="E201" s="1259" t="s">
        <v>3462</v>
      </c>
      <c r="F201" s="1259" t="s">
        <v>3463</v>
      </c>
      <c r="G201" s="1272">
        <v>380</v>
      </c>
      <c r="H201" s="1273">
        <v>30</v>
      </c>
      <c r="I201" s="1274">
        <f>H201*G201</f>
        <v>11400</v>
      </c>
      <c r="J201" s="1284"/>
    </row>
    <row r="202" spans="1:10" s="1275" customFormat="1" ht="12.75">
      <c r="A202" s="1268">
        <v>6</v>
      </c>
      <c r="B202" s="1269" t="s">
        <v>3528</v>
      </c>
      <c r="C202" s="1260" t="s">
        <v>3457</v>
      </c>
      <c r="D202" s="1270" t="s">
        <v>3458</v>
      </c>
      <c r="E202" s="1259" t="s">
        <v>3483</v>
      </c>
      <c r="F202" s="1259" t="s">
        <v>3484</v>
      </c>
      <c r="G202" s="1277">
        <v>2400</v>
      </c>
      <c r="H202" s="1273">
        <v>1</v>
      </c>
      <c r="I202" s="1274">
        <f t="shared" ref="I202:I209" si="23">H202*G202</f>
        <v>2400</v>
      </c>
      <c r="J202" s="1284"/>
    </row>
    <row r="203" spans="1:10" s="1275" customFormat="1" ht="45">
      <c r="A203" s="1268">
        <v>6</v>
      </c>
      <c r="B203" s="1269" t="s">
        <v>3528</v>
      </c>
      <c r="C203" s="1260" t="s">
        <v>3457</v>
      </c>
      <c r="D203" s="1270" t="s">
        <v>3458</v>
      </c>
      <c r="E203" s="1259" t="s">
        <v>3464</v>
      </c>
      <c r="F203" s="1259" t="s">
        <v>3465</v>
      </c>
      <c r="G203" s="1272">
        <v>700</v>
      </c>
      <c r="H203" s="1273">
        <v>1</v>
      </c>
      <c r="I203" s="1274">
        <f t="shared" si="23"/>
        <v>700</v>
      </c>
      <c r="J203" s="1284"/>
    </row>
    <row r="204" spans="1:10" s="1275" customFormat="1" ht="45">
      <c r="A204" s="1268">
        <v>6</v>
      </c>
      <c r="B204" s="1269" t="s">
        <v>3528</v>
      </c>
      <c r="C204" s="1260" t="s">
        <v>3457</v>
      </c>
      <c r="D204" s="1270" t="s">
        <v>3458</v>
      </c>
      <c r="E204" s="1259" t="s">
        <v>3466</v>
      </c>
      <c r="F204" s="1259" t="s">
        <v>3467</v>
      </c>
      <c r="G204" s="1272">
        <v>6000</v>
      </c>
      <c r="H204" s="1273">
        <v>1</v>
      </c>
      <c r="I204" s="1274">
        <f t="shared" si="23"/>
        <v>6000</v>
      </c>
      <c r="J204" s="1284"/>
    </row>
    <row r="205" spans="1:10" s="1275" customFormat="1" ht="12.75">
      <c r="A205" s="1268">
        <v>6</v>
      </c>
      <c r="B205" s="1269" t="s">
        <v>3528</v>
      </c>
      <c r="C205" s="1260" t="s">
        <v>3457</v>
      </c>
      <c r="D205" s="1270" t="s">
        <v>3458</v>
      </c>
      <c r="E205" s="1259" t="s">
        <v>3485</v>
      </c>
      <c r="F205" s="1259"/>
      <c r="G205" s="1272">
        <v>1600</v>
      </c>
      <c r="H205" s="1273">
        <v>2</v>
      </c>
      <c r="I205" s="1274">
        <f t="shared" si="23"/>
        <v>3200</v>
      </c>
      <c r="J205" s="1284"/>
    </row>
    <row r="206" spans="1:10" s="1275" customFormat="1" ht="12.75">
      <c r="A206" s="1268">
        <v>6</v>
      </c>
      <c r="B206" s="1269" t="s">
        <v>3528</v>
      </c>
      <c r="C206" s="1260" t="s">
        <v>3457</v>
      </c>
      <c r="D206" s="1270" t="s">
        <v>3458</v>
      </c>
      <c r="E206" s="1259" t="s">
        <v>3486</v>
      </c>
      <c r="F206" s="1259"/>
      <c r="G206" s="1272">
        <v>700</v>
      </c>
      <c r="H206" s="1273">
        <v>1</v>
      </c>
      <c r="I206" s="1274">
        <f t="shared" si="23"/>
        <v>700</v>
      </c>
      <c r="J206" s="1284"/>
    </row>
    <row r="207" spans="1:10" s="1275" customFormat="1" ht="12.75">
      <c r="A207" s="1268">
        <v>6</v>
      </c>
      <c r="B207" s="1269" t="s">
        <v>3528</v>
      </c>
      <c r="C207" s="1260" t="s">
        <v>3457</v>
      </c>
      <c r="D207" s="1259" t="s">
        <v>3468</v>
      </c>
      <c r="E207" s="1259" t="s">
        <v>3468</v>
      </c>
      <c r="F207" s="1259"/>
      <c r="G207" s="1272">
        <v>13000</v>
      </c>
      <c r="H207" s="1273">
        <v>1</v>
      </c>
      <c r="I207" s="1274">
        <f t="shared" si="23"/>
        <v>13000</v>
      </c>
      <c r="J207" s="1284"/>
    </row>
    <row r="208" spans="1:10" s="1275" customFormat="1" ht="12.75">
      <c r="A208" s="1268">
        <v>6</v>
      </c>
      <c r="B208" s="1269" t="s">
        <v>3528</v>
      </c>
      <c r="C208" s="1260" t="s">
        <v>3457</v>
      </c>
      <c r="D208" s="1259" t="s">
        <v>3469</v>
      </c>
      <c r="E208" s="1259" t="s">
        <v>3469</v>
      </c>
      <c r="F208" s="1276" t="s">
        <v>3470</v>
      </c>
      <c r="G208" s="1277">
        <v>9000</v>
      </c>
      <c r="H208" s="1273">
        <v>1</v>
      </c>
      <c r="I208" s="1274">
        <f t="shared" si="23"/>
        <v>9000</v>
      </c>
      <c r="J208" s="1284"/>
    </row>
    <row r="209" spans="1:10" s="1275" customFormat="1" ht="12.75">
      <c r="A209" s="1268">
        <v>6</v>
      </c>
      <c r="B209" s="1269" t="s">
        <v>3528</v>
      </c>
      <c r="C209" s="1260" t="s">
        <v>3457</v>
      </c>
      <c r="D209" s="1278" t="s">
        <v>3487</v>
      </c>
      <c r="E209" s="1278" t="s">
        <v>3487</v>
      </c>
      <c r="F209" s="1259"/>
      <c r="G209" s="1272">
        <v>5000</v>
      </c>
      <c r="H209" s="1273">
        <v>2</v>
      </c>
      <c r="I209" s="1274">
        <f t="shared" si="23"/>
        <v>10000</v>
      </c>
      <c r="J209" s="1284"/>
    </row>
    <row r="210" spans="1:10" s="1275" customFormat="1" ht="12.75">
      <c r="A210" s="1268">
        <v>6</v>
      </c>
      <c r="B210" s="1269" t="s">
        <v>3528</v>
      </c>
      <c r="C210" s="1260" t="s">
        <v>3457</v>
      </c>
      <c r="D210" s="1259" t="s">
        <v>3474</v>
      </c>
      <c r="E210" s="1278" t="s">
        <v>3475</v>
      </c>
      <c r="F210" s="1259"/>
      <c r="G210" s="1272">
        <v>7300</v>
      </c>
      <c r="H210" s="1273">
        <v>1</v>
      </c>
      <c r="I210" s="1274">
        <f>H210*G210</f>
        <v>7300</v>
      </c>
      <c r="J210" s="1284"/>
    </row>
    <row r="211" spans="1:10" s="1275" customFormat="1" ht="12.75">
      <c r="A211" s="1268">
        <v>6</v>
      </c>
      <c r="B211" s="1269" t="s">
        <v>3528</v>
      </c>
      <c r="C211" s="1260" t="s">
        <v>3457</v>
      </c>
      <c r="D211" s="1259" t="s">
        <v>3476</v>
      </c>
      <c r="E211" s="1259" t="s">
        <v>3477</v>
      </c>
      <c r="F211" s="1259"/>
      <c r="G211" s="1272">
        <v>12000</v>
      </c>
      <c r="H211" s="1273">
        <v>1</v>
      </c>
      <c r="I211" s="1274">
        <f>H211*G211</f>
        <v>12000</v>
      </c>
      <c r="J211" s="1284"/>
    </row>
    <row r="212" spans="1:10" s="1275" customFormat="1" ht="23.25">
      <c r="A212" s="1268">
        <v>6</v>
      </c>
      <c r="B212" s="1269" t="s">
        <v>3528</v>
      </c>
      <c r="C212" s="1260" t="s">
        <v>3457</v>
      </c>
      <c r="D212" s="1263" t="s">
        <v>3452</v>
      </c>
      <c r="E212" s="1259" t="s">
        <v>3478</v>
      </c>
      <c r="F212" s="1259"/>
      <c r="G212" s="1277">
        <v>15000</v>
      </c>
      <c r="H212" s="1273">
        <v>1</v>
      </c>
      <c r="I212" s="1274">
        <f>H212*G212</f>
        <v>15000</v>
      </c>
      <c r="J212" s="1284"/>
    </row>
    <row r="213" spans="1:10" s="1275" customFormat="1" ht="12.75">
      <c r="A213" s="1268">
        <v>6</v>
      </c>
      <c r="B213" s="1269" t="s">
        <v>3528</v>
      </c>
      <c r="C213" s="1260" t="s">
        <v>3457</v>
      </c>
      <c r="D213" s="1259" t="s">
        <v>3479</v>
      </c>
      <c r="E213" s="1259" t="s">
        <v>3479</v>
      </c>
      <c r="F213" s="1259"/>
      <c r="G213" s="1277">
        <v>1200</v>
      </c>
      <c r="H213" s="1273">
        <v>1</v>
      </c>
      <c r="I213" s="1274">
        <f>H213*G213</f>
        <v>1200</v>
      </c>
      <c r="J213" s="1284"/>
    </row>
    <row r="214" spans="1:10" s="1275" customFormat="1" ht="12.75">
      <c r="A214" s="1268">
        <v>6</v>
      </c>
      <c r="B214" s="1269" t="s">
        <v>3528</v>
      </c>
      <c r="C214" s="1260" t="s">
        <v>3457</v>
      </c>
      <c r="D214" s="1259" t="s">
        <v>3480</v>
      </c>
      <c r="E214" s="1259" t="s">
        <v>3480</v>
      </c>
      <c r="F214" s="1259"/>
      <c r="G214" s="1277">
        <v>1400</v>
      </c>
      <c r="H214" s="1273">
        <v>1</v>
      </c>
      <c r="I214" s="1274">
        <f>H214*G214</f>
        <v>1400</v>
      </c>
      <c r="J214" s="1284"/>
    </row>
    <row r="215" spans="1:10" s="1275" customFormat="1" ht="12.75">
      <c r="A215" s="1268"/>
      <c r="B215" s="1279" t="s">
        <v>3481</v>
      </c>
      <c r="C215" s="1260"/>
      <c r="D215" s="1279"/>
      <c r="E215" s="1269"/>
      <c r="F215" s="1269"/>
      <c r="G215" s="1280"/>
      <c r="H215" s="1280"/>
      <c r="I215" s="1281">
        <f>SUM(I199:I214)</f>
        <v>99800</v>
      </c>
      <c r="J215" s="1284"/>
    </row>
    <row r="216" spans="1:10" s="1275" customFormat="1" ht="12.75">
      <c r="A216" s="1268"/>
      <c r="B216" s="1279" t="s">
        <v>3555</v>
      </c>
      <c r="C216" s="1260"/>
      <c r="D216" s="1279"/>
      <c r="E216" s="1269"/>
      <c r="F216" s="1269"/>
      <c r="G216" s="1280"/>
      <c r="H216" s="1280"/>
      <c r="I216" s="1281">
        <f>SUM(I215,I198,I183,I178,I174,I168)</f>
        <v>1267100</v>
      </c>
      <c r="J216" s="1284"/>
    </row>
    <row r="217" spans="1:10">
      <c r="A217" s="1258">
        <v>1</v>
      </c>
      <c r="B217" s="1261" t="s">
        <v>3529</v>
      </c>
      <c r="C217" s="1260" t="s">
        <v>3489</v>
      </c>
      <c r="D217" s="1261" t="s">
        <v>3458</v>
      </c>
      <c r="E217" s="1261" t="s">
        <v>3449</v>
      </c>
      <c r="F217" s="1258"/>
      <c r="G217" s="1262">
        <v>400</v>
      </c>
      <c r="H217" s="1258">
        <v>135</v>
      </c>
      <c r="I217" s="1262">
        <f>G217*H217</f>
        <v>54000</v>
      </c>
      <c r="J217" s="1258"/>
    </row>
    <row r="218" spans="1:10">
      <c r="A218" s="1258">
        <v>1</v>
      </c>
      <c r="B218" s="1261" t="s">
        <v>3529</v>
      </c>
      <c r="C218" s="1260" t="s">
        <v>3489</v>
      </c>
      <c r="D218" s="1261" t="s">
        <v>3458</v>
      </c>
      <c r="E218" s="1259" t="s">
        <v>3450</v>
      </c>
      <c r="F218" s="1258"/>
      <c r="G218" s="1262">
        <v>2000</v>
      </c>
      <c r="H218" s="1258">
        <v>3</v>
      </c>
      <c r="I218" s="1262">
        <f t="shared" ref="I218:I221" si="24">G218*H218</f>
        <v>6000</v>
      </c>
      <c r="J218" s="1258"/>
    </row>
    <row r="219" spans="1:10" s="1264" customFormat="1">
      <c r="A219" s="1258">
        <v>1</v>
      </c>
      <c r="B219" s="1261" t="s">
        <v>3529</v>
      </c>
      <c r="C219" s="1260" t="s">
        <v>3489</v>
      </c>
      <c r="D219" s="1261" t="s">
        <v>3458</v>
      </c>
      <c r="E219" s="1259" t="s">
        <v>3451</v>
      </c>
      <c r="F219" s="1258"/>
      <c r="G219" s="1262">
        <v>3500</v>
      </c>
      <c r="H219" s="1258">
        <v>3</v>
      </c>
      <c r="I219" s="1262">
        <f t="shared" si="24"/>
        <v>10500</v>
      </c>
      <c r="J219" s="1258"/>
    </row>
    <row r="220" spans="1:10" ht="34.5">
      <c r="A220" s="1258">
        <v>1</v>
      </c>
      <c r="B220" s="1261" t="s">
        <v>3529</v>
      </c>
      <c r="C220" s="1260" t="s">
        <v>3489</v>
      </c>
      <c r="D220" s="1263" t="s">
        <v>3452</v>
      </c>
      <c r="E220" s="1259" t="s">
        <v>3453</v>
      </c>
      <c r="F220" s="1258"/>
      <c r="G220" s="1262">
        <v>22000</v>
      </c>
      <c r="H220" s="1258">
        <v>3</v>
      </c>
      <c r="I220" s="1262">
        <f t="shared" si="24"/>
        <v>66000</v>
      </c>
      <c r="J220" s="1258"/>
    </row>
    <row r="221" spans="1:10">
      <c r="A221" s="1258">
        <v>1</v>
      </c>
      <c r="B221" s="1261" t="s">
        <v>3529</v>
      </c>
      <c r="C221" s="1260" t="s">
        <v>3489</v>
      </c>
      <c r="D221" s="1261" t="s">
        <v>3454</v>
      </c>
      <c r="E221" s="1259" t="s">
        <v>3454</v>
      </c>
      <c r="F221" s="1258"/>
      <c r="G221" s="1262">
        <v>5000</v>
      </c>
      <c r="H221" s="1258">
        <v>9</v>
      </c>
      <c r="I221" s="1262">
        <f t="shared" si="24"/>
        <v>45000</v>
      </c>
      <c r="J221" s="1258"/>
    </row>
    <row r="222" spans="1:10">
      <c r="A222" s="1258"/>
      <c r="B222" s="1071" t="s">
        <v>3515</v>
      </c>
      <c r="C222" s="1260"/>
      <c r="D222" s="1287"/>
      <c r="E222" s="1259"/>
      <c r="F222" s="1258"/>
      <c r="G222" s="1262"/>
      <c r="H222" s="1285"/>
      <c r="I222" s="1267">
        <f>SUM(I217:I221)</f>
        <v>181500</v>
      </c>
      <c r="J222" s="1258"/>
    </row>
    <row r="223" spans="1:10">
      <c r="A223" s="1258">
        <v>2</v>
      </c>
      <c r="B223" s="1261" t="s">
        <v>3530</v>
      </c>
      <c r="C223" s="1260" t="s">
        <v>3489</v>
      </c>
      <c r="D223" s="1261" t="s">
        <v>3458</v>
      </c>
      <c r="E223" s="1261" t="s">
        <v>3449</v>
      </c>
      <c r="F223" s="1258"/>
      <c r="G223" s="1262">
        <v>400</v>
      </c>
      <c r="H223" s="1258">
        <v>40</v>
      </c>
      <c r="I223" s="1262">
        <f>G223*H223</f>
        <v>16000</v>
      </c>
      <c r="J223" s="1258"/>
    </row>
    <row r="224" spans="1:10">
      <c r="A224" s="1258">
        <v>2</v>
      </c>
      <c r="B224" s="1261" t="s">
        <v>3530</v>
      </c>
      <c r="C224" s="1260" t="s">
        <v>3489</v>
      </c>
      <c r="D224" s="1261" t="s">
        <v>3458</v>
      </c>
      <c r="E224" s="1259" t="s">
        <v>3450</v>
      </c>
      <c r="F224" s="1258"/>
      <c r="G224" s="1262">
        <v>2000</v>
      </c>
      <c r="H224" s="1258">
        <v>1</v>
      </c>
      <c r="I224" s="1262">
        <f t="shared" ref="I224:I227" si="25">G224*H224</f>
        <v>2000</v>
      </c>
      <c r="J224" s="1258"/>
    </row>
    <row r="225" spans="1:10">
      <c r="A225" s="1258">
        <v>2</v>
      </c>
      <c r="B225" s="1261" t="s">
        <v>3530</v>
      </c>
      <c r="C225" s="1260" t="s">
        <v>3489</v>
      </c>
      <c r="D225" s="1261" t="s">
        <v>3458</v>
      </c>
      <c r="E225" s="1259" t="s">
        <v>3451</v>
      </c>
      <c r="F225" s="1258"/>
      <c r="G225" s="1262">
        <v>3500</v>
      </c>
      <c r="H225" s="1258">
        <v>1</v>
      </c>
      <c r="I225" s="1262">
        <f t="shared" si="25"/>
        <v>3500</v>
      </c>
      <c r="J225" s="1258"/>
    </row>
    <row r="226" spans="1:10" ht="34.5">
      <c r="A226" s="1258">
        <v>2</v>
      </c>
      <c r="B226" s="1261" t="s">
        <v>3530</v>
      </c>
      <c r="C226" s="1260" t="s">
        <v>3489</v>
      </c>
      <c r="D226" s="1263" t="s">
        <v>3452</v>
      </c>
      <c r="E226" s="1259" t="s">
        <v>3453</v>
      </c>
      <c r="F226" s="1258"/>
      <c r="G226" s="1262">
        <v>22000</v>
      </c>
      <c r="H226" s="1258">
        <v>1</v>
      </c>
      <c r="I226" s="1262">
        <f t="shared" si="25"/>
        <v>22000</v>
      </c>
      <c r="J226" s="1258"/>
    </row>
    <row r="227" spans="1:10">
      <c r="A227" s="1258">
        <v>2</v>
      </c>
      <c r="B227" s="1261" t="s">
        <v>3530</v>
      </c>
      <c r="C227" s="1260" t="s">
        <v>3489</v>
      </c>
      <c r="D227" s="1261" t="s">
        <v>3454</v>
      </c>
      <c r="E227" s="1259" t="s">
        <v>3454</v>
      </c>
      <c r="F227" s="1258"/>
      <c r="G227" s="1262">
        <v>5000</v>
      </c>
      <c r="H227" s="1258">
        <v>3</v>
      </c>
      <c r="I227" s="1262">
        <f t="shared" si="25"/>
        <v>15000</v>
      </c>
      <c r="J227" s="1258"/>
    </row>
    <row r="228" spans="1:10">
      <c r="A228" s="1258"/>
      <c r="B228" s="1286" t="s">
        <v>3515</v>
      </c>
      <c r="C228" s="1260"/>
      <c r="D228" s="1287"/>
      <c r="E228" s="1259"/>
      <c r="F228" s="1258"/>
      <c r="G228" s="1262"/>
      <c r="H228" s="1285"/>
      <c r="I228" s="1267">
        <f>SUM(I223:I227)</f>
        <v>58500</v>
      </c>
      <c r="J228" s="1258"/>
    </row>
    <row r="229" spans="1:10">
      <c r="A229" s="1258">
        <v>3</v>
      </c>
      <c r="B229" s="1261" t="s">
        <v>3531</v>
      </c>
      <c r="C229" s="1260" t="s">
        <v>3489</v>
      </c>
      <c r="D229" s="1261" t="s">
        <v>3458</v>
      </c>
      <c r="E229" s="1261" t="s">
        <v>3449</v>
      </c>
      <c r="F229" s="1258"/>
      <c r="G229" s="1262">
        <v>400</v>
      </c>
      <c r="H229" s="1258">
        <v>40</v>
      </c>
      <c r="I229" s="1262">
        <f>G229*H229</f>
        <v>16000</v>
      </c>
      <c r="J229" s="1258"/>
    </row>
    <row r="230" spans="1:10">
      <c r="A230" s="1258">
        <v>3</v>
      </c>
      <c r="B230" s="1261" t="s">
        <v>3531</v>
      </c>
      <c r="C230" s="1260" t="s">
        <v>3489</v>
      </c>
      <c r="D230" s="1261" t="s">
        <v>3458</v>
      </c>
      <c r="E230" s="1259" t="s">
        <v>3450</v>
      </c>
      <c r="F230" s="1258"/>
      <c r="G230" s="1262">
        <v>2000</v>
      </c>
      <c r="H230" s="1258">
        <v>2</v>
      </c>
      <c r="I230" s="1262">
        <f t="shared" ref="I230:I233" si="26">G230*H230</f>
        <v>4000</v>
      </c>
      <c r="J230" s="1258"/>
    </row>
    <row r="231" spans="1:10">
      <c r="A231" s="1258">
        <v>3</v>
      </c>
      <c r="B231" s="1261" t="s">
        <v>3531</v>
      </c>
      <c r="C231" s="1260" t="s">
        <v>3489</v>
      </c>
      <c r="D231" s="1261" t="s">
        <v>3458</v>
      </c>
      <c r="E231" s="1259" t="s">
        <v>3451</v>
      </c>
      <c r="F231" s="1258"/>
      <c r="G231" s="1262">
        <v>3500</v>
      </c>
      <c r="H231" s="1258">
        <v>2</v>
      </c>
      <c r="I231" s="1262">
        <f t="shared" si="26"/>
        <v>7000</v>
      </c>
      <c r="J231" s="1258"/>
    </row>
    <row r="232" spans="1:10" ht="34.5">
      <c r="A232" s="1258">
        <v>3</v>
      </c>
      <c r="B232" s="1261" t="s">
        <v>3531</v>
      </c>
      <c r="C232" s="1260" t="s">
        <v>3489</v>
      </c>
      <c r="D232" s="1263" t="s">
        <v>3452</v>
      </c>
      <c r="E232" s="1259" t="s">
        <v>3453</v>
      </c>
      <c r="F232" s="1258"/>
      <c r="G232" s="1262">
        <v>22000</v>
      </c>
      <c r="H232" s="1258">
        <v>2</v>
      </c>
      <c r="I232" s="1262">
        <f t="shared" si="26"/>
        <v>44000</v>
      </c>
      <c r="J232" s="1258"/>
    </row>
    <row r="233" spans="1:10">
      <c r="A233" s="1258">
        <v>3</v>
      </c>
      <c r="B233" s="1261" t="s">
        <v>3531</v>
      </c>
      <c r="C233" s="1260" t="s">
        <v>3489</v>
      </c>
      <c r="D233" s="1265" t="s">
        <v>2804</v>
      </c>
      <c r="E233" s="1259" t="s">
        <v>3454</v>
      </c>
      <c r="F233" s="1258"/>
      <c r="G233" s="1262">
        <v>5000</v>
      </c>
      <c r="H233" s="1258">
        <v>6</v>
      </c>
      <c r="I233" s="1262">
        <f t="shared" si="26"/>
        <v>30000</v>
      </c>
      <c r="J233" s="1258"/>
    </row>
    <row r="234" spans="1:10">
      <c r="A234" s="1258"/>
      <c r="B234" s="1286" t="s">
        <v>3515</v>
      </c>
      <c r="C234" s="1260"/>
      <c r="D234" s="1287"/>
      <c r="E234" s="1259"/>
      <c r="F234" s="1258"/>
      <c r="G234" s="1262"/>
      <c r="H234" s="1285"/>
      <c r="I234" s="1267">
        <f>SUM(I229:I233)</f>
        <v>101000</v>
      </c>
      <c r="J234" s="1258"/>
    </row>
    <row r="235" spans="1:10">
      <c r="A235" s="1258">
        <v>4</v>
      </c>
      <c r="B235" s="1261" t="s">
        <v>3532</v>
      </c>
      <c r="C235" s="1260" t="s">
        <v>3489</v>
      </c>
      <c r="D235" s="1265" t="s">
        <v>2804</v>
      </c>
      <c r="E235" s="1261" t="s">
        <v>3449</v>
      </c>
      <c r="F235" s="1258"/>
      <c r="G235" s="1262">
        <v>400</v>
      </c>
      <c r="H235" s="1285">
        <v>40</v>
      </c>
      <c r="I235" s="1262">
        <f>G235*H235</f>
        <v>16000</v>
      </c>
      <c r="J235" s="1258"/>
    </row>
    <row r="236" spans="1:10">
      <c r="A236" s="1258">
        <v>4</v>
      </c>
      <c r="B236" s="1261" t="s">
        <v>3532</v>
      </c>
      <c r="C236" s="1260" t="s">
        <v>3489</v>
      </c>
      <c r="D236" s="1265" t="s">
        <v>2804</v>
      </c>
      <c r="E236" s="1259" t="s">
        <v>3450</v>
      </c>
      <c r="F236" s="1258"/>
      <c r="G236" s="1262">
        <v>2000</v>
      </c>
      <c r="H236" s="1285">
        <v>3</v>
      </c>
      <c r="I236" s="1262">
        <f t="shared" ref="I236:I239" si="27">G236*H236</f>
        <v>6000</v>
      </c>
      <c r="J236" s="1258"/>
    </row>
    <row r="237" spans="1:10">
      <c r="A237" s="1258">
        <v>4</v>
      </c>
      <c r="B237" s="1261" t="s">
        <v>3532</v>
      </c>
      <c r="C237" s="1260" t="s">
        <v>3489</v>
      </c>
      <c r="D237" s="1265" t="s">
        <v>2804</v>
      </c>
      <c r="E237" s="1259" t="s">
        <v>3451</v>
      </c>
      <c r="F237" s="1258"/>
      <c r="G237" s="1262">
        <v>3500</v>
      </c>
      <c r="H237" s="1285">
        <v>3</v>
      </c>
      <c r="I237" s="1262">
        <f t="shared" si="27"/>
        <v>10500</v>
      </c>
      <c r="J237" s="1258"/>
    </row>
    <row r="238" spans="1:10" ht="34.5">
      <c r="A238" s="1258">
        <v>4</v>
      </c>
      <c r="B238" s="1261" t="s">
        <v>3532</v>
      </c>
      <c r="C238" s="1260" t="s">
        <v>3489</v>
      </c>
      <c r="D238" s="1263" t="s">
        <v>3452</v>
      </c>
      <c r="E238" s="1259" t="s">
        <v>3453</v>
      </c>
      <c r="F238" s="1258"/>
      <c r="G238" s="1262">
        <v>22000</v>
      </c>
      <c r="H238" s="1285">
        <v>3</v>
      </c>
      <c r="I238" s="1262">
        <f t="shared" si="27"/>
        <v>66000</v>
      </c>
      <c r="J238" s="1258"/>
    </row>
    <row r="239" spans="1:10">
      <c r="A239" s="1258">
        <v>4</v>
      </c>
      <c r="B239" s="1261" t="s">
        <v>3532</v>
      </c>
      <c r="C239" s="1260" t="s">
        <v>3489</v>
      </c>
      <c r="D239" s="1261" t="s">
        <v>3454</v>
      </c>
      <c r="E239" s="1259" t="s">
        <v>3454</v>
      </c>
      <c r="F239" s="1258"/>
      <c r="G239" s="1262">
        <v>5000</v>
      </c>
      <c r="H239" s="1285">
        <v>9</v>
      </c>
      <c r="I239" s="1262">
        <f t="shared" si="27"/>
        <v>45000</v>
      </c>
      <c r="J239" s="1258"/>
    </row>
    <row r="240" spans="1:10">
      <c r="A240" s="1258"/>
      <c r="B240" s="1286" t="s">
        <v>3515</v>
      </c>
      <c r="C240" s="1260"/>
      <c r="D240" s="1287"/>
      <c r="E240" s="1258"/>
      <c r="F240" s="1258"/>
      <c r="G240" s="1262"/>
      <c r="H240" s="1285"/>
      <c r="I240" s="1267">
        <f>SUM(I235:I239)</f>
        <v>143500</v>
      </c>
      <c r="J240" s="1258"/>
    </row>
    <row r="241" spans="1:10">
      <c r="A241" s="1258">
        <v>5</v>
      </c>
      <c r="B241" s="1261" t="s">
        <v>3533</v>
      </c>
      <c r="C241" s="1260" t="s">
        <v>3489</v>
      </c>
      <c r="D241" s="1265" t="s">
        <v>2804</v>
      </c>
      <c r="E241" s="1261" t="s">
        <v>3449</v>
      </c>
      <c r="F241" s="1258"/>
      <c r="G241" s="1262">
        <v>400</v>
      </c>
      <c r="H241" s="1285">
        <v>160</v>
      </c>
      <c r="I241" s="1262">
        <f>G241*H241</f>
        <v>64000</v>
      </c>
      <c r="J241" s="1258"/>
    </row>
    <row r="242" spans="1:10">
      <c r="A242" s="1258">
        <v>5</v>
      </c>
      <c r="B242" s="1261" t="s">
        <v>3533</v>
      </c>
      <c r="C242" s="1260" t="s">
        <v>3489</v>
      </c>
      <c r="D242" s="1265" t="s">
        <v>2804</v>
      </c>
      <c r="E242" s="1259" t="s">
        <v>3450</v>
      </c>
      <c r="F242" s="1258"/>
      <c r="G242" s="1262">
        <v>2000</v>
      </c>
      <c r="H242" s="1285">
        <v>4</v>
      </c>
      <c r="I242" s="1262">
        <f t="shared" ref="I242:I244" si="28">G242*H242</f>
        <v>8000</v>
      </c>
      <c r="J242" s="1258"/>
    </row>
    <row r="243" spans="1:10">
      <c r="A243" s="1258">
        <v>5</v>
      </c>
      <c r="B243" s="1261" t="s">
        <v>3533</v>
      </c>
      <c r="C243" s="1260" t="s">
        <v>3489</v>
      </c>
      <c r="D243" s="1265" t="s">
        <v>2804</v>
      </c>
      <c r="E243" s="1259" t="s">
        <v>3451</v>
      </c>
      <c r="F243" s="1258"/>
      <c r="G243" s="1262">
        <v>3500</v>
      </c>
      <c r="H243" s="1285">
        <v>4</v>
      </c>
      <c r="I243" s="1262">
        <f t="shared" si="28"/>
        <v>14000</v>
      </c>
      <c r="J243" s="1258"/>
    </row>
    <row r="244" spans="1:10">
      <c r="A244" s="1258">
        <v>5</v>
      </c>
      <c r="B244" s="1261" t="s">
        <v>3533</v>
      </c>
      <c r="C244" s="1260" t="s">
        <v>3489</v>
      </c>
      <c r="D244" s="1265" t="s">
        <v>2804</v>
      </c>
      <c r="E244" s="1259" t="s">
        <v>3512</v>
      </c>
      <c r="F244" s="1258"/>
      <c r="G244" s="1262">
        <v>1100</v>
      </c>
      <c r="H244" s="1285">
        <v>4</v>
      </c>
      <c r="I244" s="1262">
        <f t="shared" si="28"/>
        <v>4400</v>
      </c>
      <c r="J244" s="1258"/>
    </row>
    <row r="245" spans="1:10" s="1264" customFormat="1">
      <c r="A245" s="1258">
        <v>5</v>
      </c>
      <c r="B245" s="1261" t="s">
        <v>3533</v>
      </c>
      <c r="C245" s="1260" t="s">
        <v>3489</v>
      </c>
      <c r="D245" s="1265" t="s">
        <v>2804</v>
      </c>
      <c r="E245" s="1259" t="s">
        <v>3513</v>
      </c>
      <c r="F245" s="1258"/>
      <c r="G245" s="1262">
        <v>1600</v>
      </c>
      <c r="H245" s="1285">
        <v>12</v>
      </c>
      <c r="I245" s="1262">
        <f>G245*H245</f>
        <v>19200</v>
      </c>
      <c r="J245" s="1258"/>
    </row>
    <row r="246" spans="1:10">
      <c r="A246" s="1258">
        <v>5</v>
      </c>
      <c r="B246" s="1261" t="s">
        <v>3533</v>
      </c>
      <c r="C246" s="1260" t="s">
        <v>3489</v>
      </c>
      <c r="D246" s="1265" t="s">
        <v>2804</v>
      </c>
      <c r="E246" s="1259" t="s">
        <v>3514</v>
      </c>
      <c r="F246" s="1258"/>
      <c r="G246" s="1262">
        <v>700</v>
      </c>
      <c r="H246" s="1285">
        <v>6</v>
      </c>
      <c r="I246" s="1262">
        <f>G246*H246</f>
        <v>4200</v>
      </c>
      <c r="J246" s="1258"/>
    </row>
    <row r="247" spans="1:10" ht="34.5">
      <c r="A247" s="1258">
        <v>5</v>
      </c>
      <c r="B247" s="1261" t="s">
        <v>3533</v>
      </c>
      <c r="C247" s="1260" t="s">
        <v>3489</v>
      </c>
      <c r="D247" s="1263" t="s">
        <v>3452</v>
      </c>
      <c r="E247" s="1259" t="s">
        <v>3453</v>
      </c>
      <c r="F247" s="1258"/>
      <c r="G247" s="1262">
        <v>22000</v>
      </c>
      <c r="H247" s="1285">
        <v>4</v>
      </c>
      <c r="I247" s="1262">
        <f t="shared" ref="I247:I248" si="29">G247*H247</f>
        <v>88000</v>
      </c>
      <c r="J247" s="1258"/>
    </row>
    <row r="248" spans="1:10">
      <c r="A248" s="1258">
        <v>5</v>
      </c>
      <c r="B248" s="1261" t="s">
        <v>3533</v>
      </c>
      <c r="C248" s="1260" t="s">
        <v>3489</v>
      </c>
      <c r="D248" s="1261" t="s">
        <v>3454</v>
      </c>
      <c r="E248" s="1259" t="s">
        <v>3454</v>
      </c>
      <c r="F248" s="1258"/>
      <c r="G248" s="1262">
        <v>5000</v>
      </c>
      <c r="H248" s="1285">
        <v>12</v>
      </c>
      <c r="I248" s="1262">
        <f t="shared" si="29"/>
        <v>60000</v>
      </c>
      <c r="J248" s="1258"/>
    </row>
    <row r="249" spans="1:10">
      <c r="A249" s="1258"/>
      <c r="B249" s="1286" t="s">
        <v>3515</v>
      </c>
      <c r="C249" s="1260"/>
      <c r="D249" s="1287"/>
      <c r="E249" s="1258"/>
      <c r="F249" s="1258"/>
      <c r="G249" s="1262"/>
      <c r="H249" s="1285"/>
      <c r="I249" s="1267">
        <f>SUM(I241:I248)</f>
        <v>261800</v>
      </c>
      <c r="J249" s="1258"/>
    </row>
    <row r="250" spans="1:10">
      <c r="A250" s="1258">
        <v>6</v>
      </c>
      <c r="B250" s="1261" t="s">
        <v>3534</v>
      </c>
      <c r="C250" s="1260" t="s">
        <v>3489</v>
      </c>
      <c r="D250" s="1261" t="s">
        <v>3458</v>
      </c>
      <c r="E250" s="1261" t="s">
        <v>3449</v>
      </c>
      <c r="F250" s="1258"/>
      <c r="G250" s="1262">
        <v>400</v>
      </c>
      <c r="H250" s="1258">
        <v>180</v>
      </c>
      <c r="I250" s="1262">
        <f>G250*H250</f>
        <v>72000</v>
      </c>
      <c r="J250" s="1258"/>
    </row>
    <row r="251" spans="1:10">
      <c r="A251" s="1258">
        <v>6</v>
      </c>
      <c r="B251" s="1261" t="s">
        <v>3534</v>
      </c>
      <c r="C251" s="1260" t="s">
        <v>3489</v>
      </c>
      <c r="D251" s="1261" t="s">
        <v>3458</v>
      </c>
      <c r="E251" s="1259" t="s">
        <v>3450</v>
      </c>
      <c r="F251" s="1258"/>
      <c r="G251" s="1262">
        <v>2000</v>
      </c>
      <c r="H251" s="1258">
        <v>4</v>
      </c>
      <c r="I251" s="1262">
        <f t="shared" ref="I251:I257" si="30">G251*H251</f>
        <v>8000</v>
      </c>
      <c r="J251" s="1258"/>
    </row>
    <row r="252" spans="1:10" s="1289" customFormat="1">
      <c r="A252" s="1258">
        <v>6</v>
      </c>
      <c r="B252" s="1261" t="s">
        <v>3534</v>
      </c>
      <c r="C252" s="1260" t="s">
        <v>3489</v>
      </c>
      <c r="D252" s="1261" t="s">
        <v>3458</v>
      </c>
      <c r="E252" s="1259" t="s">
        <v>3451</v>
      </c>
      <c r="F252" s="1258"/>
      <c r="G252" s="1262">
        <v>3500</v>
      </c>
      <c r="H252" s="1258">
        <v>4</v>
      </c>
      <c r="I252" s="1262">
        <f t="shared" si="30"/>
        <v>14000</v>
      </c>
      <c r="J252" s="1258"/>
    </row>
    <row r="253" spans="1:10">
      <c r="A253" s="1258">
        <v>6</v>
      </c>
      <c r="B253" s="1261" t="s">
        <v>3534</v>
      </c>
      <c r="C253" s="1260" t="s">
        <v>3489</v>
      </c>
      <c r="D253" s="1261" t="s">
        <v>3458</v>
      </c>
      <c r="E253" s="1259" t="s">
        <v>3512</v>
      </c>
      <c r="F253" s="1258"/>
      <c r="G253" s="1262">
        <v>1100</v>
      </c>
      <c r="H253" s="1258">
        <v>4</v>
      </c>
      <c r="I253" s="1262">
        <f t="shared" si="30"/>
        <v>4400</v>
      </c>
      <c r="J253" s="1258"/>
    </row>
    <row r="254" spans="1:10">
      <c r="A254" s="1258">
        <v>6</v>
      </c>
      <c r="B254" s="1261" t="s">
        <v>3534</v>
      </c>
      <c r="C254" s="1260" t="s">
        <v>3489</v>
      </c>
      <c r="D254" s="1261" t="s">
        <v>3458</v>
      </c>
      <c r="E254" s="1259" t="s">
        <v>3513</v>
      </c>
      <c r="F254" s="1258"/>
      <c r="G254" s="1262">
        <v>1600</v>
      </c>
      <c r="H254" s="1258">
        <v>16</v>
      </c>
      <c r="I254" s="1262">
        <f t="shared" si="30"/>
        <v>25600</v>
      </c>
      <c r="J254" s="1258"/>
    </row>
    <row r="255" spans="1:10">
      <c r="A255" s="1258">
        <v>6</v>
      </c>
      <c r="B255" s="1261" t="s">
        <v>3534</v>
      </c>
      <c r="C255" s="1260" t="s">
        <v>3489</v>
      </c>
      <c r="D255" s="1261" t="s">
        <v>3458</v>
      </c>
      <c r="E255" s="1259" t="s">
        <v>3514</v>
      </c>
      <c r="F255" s="1258"/>
      <c r="G255" s="1262">
        <v>700</v>
      </c>
      <c r="H255" s="1258">
        <v>8</v>
      </c>
      <c r="I255" s="1262">
        <f t="shared" si="30"/>
        <v>5600</v>
      </c>
      <c r="J255" s="1258"/>
    </row>
    <row r="256" spans="1:10" ht="24">
      <c r="A256" s="1258">
        <v>6</v>
      </c>
      <c r="B256" s="1261" t="s">
        <v>3534</v>
      </c>
      <c r="C256" s="1260" t="s">
        <v>3489</v>
      </c>
      <c r="D256" s="1263" t="s">
        <v>3452</v>
      </c>
      <c r="E256" s="1259" t="s">
        <v>3507</v>
      </c>
      <c r="F256" s="1258"/>
      <c r="G256" s="1262">
        <v>27000</v>
      </c>
      <c r="H256" s="1258">
        <v>4</v>
      </c>
      <c r="I256" s="1262">
        <f t="shared" si="30"/>
        <v>108000</v>
      </c>
      <c r="J256" s="1258"/>
    </row>
    <row r="257" spans="1:10">
      <c r="A257" s="1258">
        <v>6</v>
      </c>
      <c r="B257" s="1261" t="s">
        <v>3534</v>
      </c>
      <c r="C257" s="1260" t="s">
        <v>3489</v>
      </c>
      <c r="D257" s="1261" t="s">
        <v>3454</v>
      </c>
      <c r="E257" s="1259" t="s">
        <v>3454</v>
      </c>
      <c r="F257" s="1258"/>
      <c r="G257" s="1262">
        <v>5000</v>
      </c>
      <c r="H257" s="1258">
        <v>16</v>
      </c>
      <c r="I257" s="1262">
        <f t="shared" si="30"/>
        <v>80000</v>
      </c>
      <c r="J257" s="1258"/>
    </row>
    <row r="258" spans="1:10">
      <c r="A258" s="1258"/>
      <c r="B258" s="1286" t="s">
        <v>3515</v>
      </c>
      <c r="C258" s="1260"/>
      <c r="D258" s="1287"/>
      <c r="E258" s="1259"/>
      <c r="F258" s="1258"/>
      <c r="G258" s="1262"/>
      <c r="H258" s="1285"/>
      <c r="I258" s="1267">
        <f>SUM(I250:I257)</f>
        <v>317600</v>
      </c>
      <c r="J258" s="1258"/>
    </row>
    <row r="259" spans="1:10">
      <c r="A259" s="1258">
        <v>7</v>
      </c>
      <c r="B259" s="1261" t="s">
        <v>3535</v>
      </c>
      <c r="C259" s="1260" t="s">
        <v>3489</v>
      </c>
      <c r="D259" s="1261" t="s">
        <v>3458</v>
      </c>
      <c r="E259" s="1261" t="s">
        <v>3449</v>
      </c>
      <c r="F259" s="1258"/>
      <c r="G259" s="1262">
        <v>400</v>
      </c>
      <c r="H259" s="1258">
        <v>90</v>
      </c>
      <c r="I259" s="1262">
        <f>G259*H259</f>
        <v>36000</v>
      </c>
      <c r="J259" s="1258"/>
    </row>
    <row r="260" spans="1:10">
      <c r="A260" s="1258">
        <v>7</v>
      </c>
      <c r="B260" s="1261" t="s">
        <v>3535</v>
      </c>
      <c r="C260" s="1260" t="s">
        <v>3489</v>
      </c>
      <c r="D260" s="1261" t="s">
        <v>3458</v>
      </c>
      <c r="E260" s="1259" t="s">
        <v>3450</v>
      </c>
      <c r="F260" s="1258"/>
      <c r="G260" s="1262">
        <v>2000</v>
      </c>
      <c r="H260" s="1258">
        <v>2</v>
      </c>
      <c r="I260" s="1262">
        <f t="shared" ref="I260:I263" si="31">G260*H260</f>
        <v>4000</v>
      </c>
      <c r="J260" s="1258"/>
    </row>
    <row r="261" spans="1:10">
      <c r="A261" s="1258">
        <v>7</v>
      </c>
      <c r="B261" s="1261" t="s">
        <v>3535</v>
      </c>
      <c r="C261" s="1260" t="s">
        <v>3489</v>
      </c>
      <c r="D261" s="1261" t="s">
        <v>3458</v>
      </c>
      <c r="E261" s="1259" t="s">
        <v>3451</v>
      </c>
      <c r="F261" s="1258"/>
      <c r="G261" s="1262">
        <v>3500</v>
      </c>
      <c r="H261" s="1258">
        <v>2</v>
      </c>
      <c r="I261" s="1262">
        <f t="shared" si="31"/>
        <v>7000</v>
      </c>
      <c r="J261" s="1258"/>
    </row>
    <row r="262" spans="1:10" ht="24">
      <c r="A262" s="1258">
        <v>7</v>
      </c>
      <c r="B262" s="1261" t="s">
        <v>3535</v>
      </c>
      <c r="C262" s="1260" t="s">
        <v>3489</v>
      </c>
      <c r="D262" s="1263" t="s">
        <v>3452</v>
      </c>
      <c r="E262" s="1259" t="s">
        <v>3507</v>
      </c>
      <c r="F262" s="1258"/>
      <c r="G262" s="1262">
        <v>27000</v>
      </c>
      <c r="H262" s="1258">
        <v>2</v>
      </c>
      <c r="I262" s="1262">
        <f t="shared" si="31"/>
        <v>54000</v>
      </c>
      <c r="J262" s="1258"/>
    </row>
    <row r="263" spans="1:10">
      <c r="A263" s="1258">
        <v>7</v>
      </c>
      <c r="B263" s="1261" t="s">
        <v>3535</v>
      </c>
      <c r="C263" s="1260" t="s">
        <v>3489</v>
      </c>
      <c r="D263" s="1261" t="s">
        <v>3454</v>
      </c>
      <c r="E263" s="1259" t="s">
        <v>3454</v>
      </c>
      <c r="F263" s="1258"/>
      <c r="G263" s="1262">
        <v>5000</v>
      </c>
      <c r="H263" s="1258">
        <v>8</v>
      </c>
      <c r="I263" s="1262">
        <f t="shared" si="31"/>
        <v>40000</v>
      </c>
      <c r="J263" s="1258"/>
    </row>
    <row r="264" spans="1:10">
      <c r="A264" s="1258"/>
      <c r="B264" s="1286" t="s">
        <v>3515</v>
      </c>
      <c r="C264" s="1258"/>
      <c r="D264" s="1287"/>
      <c r="E264" s="1259"/>
      <c r="F264" s="1258"/>
      <c r="G264" s="1262"/>
      <c r="H264" s="1285"/>
      <c r="I264" s="1267">
        <f>SUM(I259:I263)</f>
        <v>141000</v>
      </c>
      <c r="J264" s="1258"/>
    </row>
    <row r="265" spans="1:10" s="1275" customFormat="1" ht="12.75">
      <c r="A265" s="1268">
        <v>8</v>
      </c>
      <c r="B265" s="1269" t="s">
        <v>3536</v>
      </c>
      <c r="C265" s="1260" t="s">
        <v>3447</v>
      </c>
      <c r="D265" s="1270" t="s">
        <v>3458</v>
      </c>
      <c r="E265" s="1259" t="s">
        <v>3459</v>
      </c>
      <c r="F265" s="1271" t="s">
        <v>3460</v>
      </c>
      <c r="G265" s="1272">
        <v>650</v>
      </c>
      <c r="H265" s="1273">
        <v>5</v>
      </c>
      <c r="I265" s="1274">
        <f>H265*G265</f>
        <v>3250</v>
      </c>
      <c r="J265" s="1258"/>
    </row>
    <row r="266" spans="1:10" s="1275" customFormat="1" ht="12.75">
      <c r="A266" s="1268">
        <v>8</v>
      </c>
      <c r="B266" s="1269" t="s">
        <v>3536</v>
      </c>
      <c r="C266" s="1260" t="s">
        <v>3447</v>
      </c>
      <c r="D266" s="1270" t="s">
        <v>3458</v>
      </c>
      <c r="E266" s="1259" t="s">
        <v>3461</v>
      </c>
      <c r="F266" s="1271" t="s">
        <v>3460</v>
      </c>
      <c r="G266" s="1272">
        <v>650</v>
      </c>
      <c r="H266" s="1273">
        <v>5</v>
      </c>
      <c r="I266" s="1274">
        <f>H266*G266</f>
        <v>3250</v>
      </c>
      <c r="J266" s="1258"/>
    </row>
    <row r="267" spans="1:10" s="1275" customFormat="1" ht="22.5">
      <c r="A267" s="1268">
        <v>8</v>
      </c>
      <c r="B267" s="1269" t="s">
        <v>3536</v>
      </c>
      <c r="C267" s="1260" t="s">
        <v>3447</v>
      </c>
      <c r="D267" s="1270" t="s">
        <v>3458</v>
      </c>
      <c r="E267" s="1259" t="s">
        <v>3462</v>
      </c>
      <c r="F267" s="1259" t="s">
        <v>3463</v>
      </c>
      <c r="G267" s="1272">
        <v>380</v>
      </c>
      <c r="H267" s="1273">
        <v>30</v>
      </c>
      <c r="I267" s="1274">
        <f>H267*G267</f>
        <v>11400</v>
      </c>
      <c r="J267" s="1258"/>
    </row>
    <row r="268" spans="1:10" s="1275" customFormat="1" ht="12.75">
      <c r="A268" s="1268">
        <v>8</v>
      </c>
      <c r="B268" s="1269" t="s">
        <v>3536</v>
      </c>
      <c r="C268" s="1260" t="s">
        <v>3447</v>
      </c>
      <c r="D268" s="1270" t="s">
        <v>3458</v>
      </c>
      <c r="E268" s="1259" t="s">
        <v>3483</v>
      </c>
      <c r="F268" s="1259" t="s">
        <v>3484</v>
      </c>
      <c r="G268" s="1277">
        <v>2400</v>
      </c>
      <c r="H268" s="1273">
        <v>1</v>
      </c>
      <c r="I268" s="1274">
        <f t="shared" ref="I268:I272" si="32">H268*G268</f>
        <v>2400</v>
      </c>
      <c r="J268" s="1258"/>
    </row>
    <row r="269" spans="1:10" s="1275" customFormat="1" ht="45">
      <c r="A269" s="1268">
        <v>8</v>
      </c>
      <c r="B269" s="1269" t="s">
        <v>3536</v>
      </c>
      <c r="C269" s="1260" t="s">
        <v>3447</v>
      </c>
      <c r="D269" s="1270" t="s">
        <v>3458</v>
      </c>
      <c r="E269" s="1259" t="s">
        <v>3464</v>
      </c>
      <c r="F269" s="1259" t="s">
        <v>3465</v>
      </c>
      <c r="G269" s="1272">
        <v>700</v>
      </c>
      <c r="H269" s="1273">
        <v>1</v>
      </c>
      <c r="I269" s="1274">
        <f t="shared" si="32"/>
        <v>700</v>
      </c>
      <c r="J269" s="1258"/>
    </row>
    <row r="270" spans="1:10" s="1275" customFormat="1" ht="45">
      <c r="A270" s="1268">
        <v>8</v>
      </c>
      <c r="B270" s="1269" t="s">
        <v>3536</v>
      </c>
      <c r="C270" s="1260" t="s">
        <v>3447</v>
      </c>
      <c r="D270" s="1270" t="s">
        <v>3458</v>
      </c>
      <c r="E270" s="1259" t="s">
        <v>3466</v>
      </c>
      <c r="F270" s="1259" t="s">
        <v>3467</v>
      </c>
      <c r="G270" s="1272">
        <v>6000</v>
      </c>
      <c r="H270" s="1273">
        <v>1</v>
      </c>
      <c r="I270" s="1274">
        <f t="shared" si="32"/>
        <v>6000</v>
      </c>
      <c r="J270" s="1258"/>
    </row>
    <row r="271" spans="1:10" s="1275" customFormat="1" ht="12.75">
      <c r="A271" s="1268">
        <v>8</v>
      </c>
      <c r="B271" s="1269" t="s">
        <v>3536</v>
      </c>
      <c r="C271" s="1260" t="s">
        <v>3447</v>
      </c>
      <c r="D271" s="1259" t="s">
        <v>3469</v>
      </c>
      <c r="E271" s="1259" t="s">
        <v>3469</v>
      </c>
      <c r="F271" s="1276" t="s">
        <v>3470</v>
      </c>
      <c r="G271" s="1277">
        <v>9000</v>
      </c>
      <c r="H271" s="1273">
        <v>1</v>
      </c>
      <c r="I271" s="1274">
        <f t="shared" si="32"/>
        <v>9000</v>
      </c>
      <c r="J271" s="1258"/>
    </row>
    <row r="272" spans="1:10" s="1275" customFormat="1" ht="12.75">
      <c r="A272" s="1268">
        <v>8</v>
      </c>
      <c r="B272" s="1269" t="s">
        <v>3536</v>
      </c>
      <c r="C272" s="1260" t="s">
        <v>3447</v>
      </c>
      <c r="D272" s="1278" t="s">
        <v>3471</v>
      </c>
      <c r="E272" s="1278" t="s">
        <v>3472</v>
      </c>
      <c r="F272" s="1278" t="s">
        <v>3473</v>
      </c>
      <c r="G272" s="1272">
        <v>5000</v>
      </c>
      <c r="H272" s="1273">
        <v>2</v>
      </c>
      <c r="I272" s="1274">
        <f t="shared" si="32"/>
        <v>10000</v>
      </c>
      <c r="J272" s="1258"/>
    </row>
    <row r="273" spans="1:10" s="1275" customFormat="1" ht="12.75">
      <c r="A273" s="1268">
        <v>8</v>
      </c>
      <c r="B273" s="1269" t="s">
        <v>3536</v>
      </c>
      <c r="C273" s="1260" t="s">
        <v>3447</v>
      </c>
      <c r="D273" s="1259" t="s">
        <v>3474</v>
      </c>
      <c r="E273" s="1278" t="s">
        <v>3475</v>
      </c>
      <c r="F273" s="1259"/>
      <c r="G273" s="1272">
        <v>7300</v>
      </c>
      <c r="H273" s="1273">
        <v>1</v>
      </c>
      <c r="I273" s="1274">
        <f>H273*G273</f>
        <v>7300</v>
      </c>
      <c r="J273" s="1258"/>
    </row>
    <row r="274" spans="1:10" s="1275" customFormat="1" ht="12.75">
      <c r="A274" s="1268">
        <v>8</v>
      </c>
      <c r="B274" s="1269" t="s">
        <v>3536</v>
      </c>
      <c r="C274" s="1260" t="s">
        <v>3447</v>
      </c>
      <c r="D274" s="1259" t="s">
        <v>3476</v>
      </c>
      <c r="E274" s="1259" t="s">
        <v>3477</v>
      </c>
      <c r="F274" s="1259"/>
      <c r="G274" s="1272">
        <v>12000</v>
      </c>
      <c r="H274" s="1273">
        <v>1</v>
      </c>
      <c r="I274" s="1274">
        <f>H274*G274</f>
        <v>12000</v>
      </c>
      <c r="J274" s="1258"/>
    </row>
    <row r="275" spans="1:10" s="1275" customFormat="1" ht="23.25">
      <c r="A275" s="1268">
        <v>8</v>
      </c>
      <c r="B275" s="1269" t="s">
        <v>3536</v>
      </c>
      <c r="C275" s="1260" t="s">
        <v>3447</v>
      </c>
      <c r="D275" s="1259" t="s">
        <v>3537</v>
      </c>
      <c r="E275" s="1259" t="s">
        <v>3478</v>
      </c>
      <c r="F275" s="1259"/>
      <c r="G275" s="1277">
        <v>15000</v>
      </c>
      <c r="H275" s="1273">
        <v>1</v>
      </c>
      <c r="I275" s="1274">
        <f>H275*G275</f>
        <v>15000</v>
      </c>
      <c r="J275" s="1258"/>
    </row>
    <row r="276" spans="1:10" s="1275" customFormat="1" ht="12.75">
      <c r="A276" s="1268">
        <v>8</v>
      </c>
      <c r="B276" s="1269" t="s">
        <v>3536</v>
      </c>
      <c r="C276" s="1260" t="s">
        <v>3447</v>
      </c>
      <c r="D276" s="1259" t="s">
        <v>3479</v>
      </c>
      <c r="E276" s="1259" t="s">
        <v>3479</v>
      </c>
      <c r="F276" s="1259"/>
      <c r="G276" s="1277">
        <v>1200</v>
      </c>
      <c r="H276" s="1273">
        <v>1</v>
      </c>
      <c r="I276" s="1274">
        <f>H276*G276</f>
        <v>1200</v>
      </c>
      <c r="J276" s="1258"/>
    </row>
    <row r="277" spans="1:10" s="1275" customFormat="1" ht="12.75">
      <c r="A277" s="1268">
        <v>8</v>
      </c>
      <c r="B277" s="1269" t="s">
        <v>3536</v>
      </c>
      <c r="C277" s="1260" t="s">
        <v>3447</v>
      </c>
      <c r="D277" s="1259" t="s">
        <v>3480</v>
      </c>
      <c r="E277" s="1259" t="s">
        <v>3480</v>
      </c>
      <c r="F277" s="1259"/>
      <c r="G277" s="1277">
        <v>1400</v>
      </c>
      <c r="H277" s="1273">
        <v>1</v>
      </c>
      <c r="I277" s="1274">
        <f>H277*G277</f>
        <v>1400</v>
      </c>
      <c r="J277" s="1258"/>
    </row>
    <row r="278" spans="1:10" s="1275" customFormat="1" ht="12.75">
      <c r="A278" s="1268"/>
      <c r="B278" s="1290" t="s">
        <v>3538</v>
      </c>
      <c r="C278" s="1260"/>
      <c r="D278" s="1290"/>
      <c r="E278" s="1269"/>
      <c r="F278" s="1269"/>
      <c r="G278" s="1280"/>
      <c r="H278" s="1280"/>
      <c r="I278" s="1281">
        <f>SUM(I265:I277)</f>
        <v>82900</v>
      </c>
      <c r="J278" s="1258"/>
    </row>
    <row r="279" spans="1:10" s="1275" customFormat="1" ht="12.75">
      <c r="A279" s="1268">
        <v>9</v>
      </c>
      <c r="B279" s="1269" t="s">
        <v>3539</v>
      </c>
      <c r="C279" s="1260" t="s">
        <v>3457</v>
      </c>
      <c r="D279" s="1270" t="s">
        <v>3458</v>
      </c>
      <c r="E279" s="1259" t="s">
        <v>3459</v>
      </c>
      <c r="F279" s="1271" t="s">
        <v>3460</v>
      </c>
      <c r="G279" s="1272">
        <v>650</v>
      </c>
      <c r="H279" s="1273">
        <v>5</v>
      </c>
      <c r="I279" s="1274">
        <f>H279*G279</f>
        <v>3250</v>
      </c>
      <c r="J279" s="1258"/>
    </row>
    <row r="280" spans="1:10" s="1275" customFormat="1" ht="12.75">
      <c r="A280" s="1268">
        <v>9</v>
      </c>
      <c r="B280" s="1269" t="s">
        <v>3539</v>
      </c>
      <c r="C280" s="1260" t="s">
        <v>3457</v>
      </c>
      <c r="D280" s="1270" t="s">
        <v>3458</v>
      </c>
      <c r="E280" s="1259" t="s">
        <v>3461</v>
      </c>
      <c r="F280" s="1271" t="s">
        <v>3460</v>
      </c>
      <c r="G280" s="1272">
        <v>650</v>
      </c>
      <c r="H280" s="1273">
        <v>5</v>
      </c>
      <c r="I280" s="1274">
        <f>H280*G280</f>
        <v>3250</v>
      </c>
      <c r="J280" s="1258"/>
    </row>
    <row r="281" spans="1:10" s="1275" customFormat="1" ht="22.5">
      <c r="A281" s="1268">
        <v>9</v>
      </c>
      <c r="B281" s="1269" t="s">
        <v>3539</v>
      </c>
      <c r="C281" s="1260" t="s">
        <v>3457</v>
      </c>
      <c r="D281" s="1270" t="s">
        <v>3458</v>
      </c>
      <c r="E281" s="1259" t="s">
        <v>3462</v>
      </c>
      <c r="F281" s="1259" t="s">
        <v>3463</v>
      </c>
      <c r="G281" s="1272">
        <v>380</v>
      </c>
      <c r="H281" s="1273">
        <v>30</v>
      </c>
      <c r="I281" s="1274">
        <f>H281*G281</f>
        <v>11400</v>
      </c>
      <c r="J281" s="1258"/>
    </row>
    <row r="282" spans="1:10" s="1275" customFormat="1" ht="12.75">
      <c r="A282" s="1268">
        <v>9</v>
      </c>
      <c r="B282" s="1269" t="s">
        <v>3539</v>
      </c>
      <c r="C282" s="1260" t="s">
        <v>3457</v>
      </c>
      <c r="D282" s="1270" t="s">
        <v>3458</v>
      </c>
      <c r="E282" s="1259" t="s">
        <v>3483</v>
      </c>
      <c r="F282" s="1259" t="s">
        <v>3484</v>
      </c>
      <c r="G282" s="1277">
        <v>2400</v>
      </c>
      <c r="H282" s="1273">
        <v>1</v>
      </c>
      <c r="I282" s="1274">
        <f t="shared" ref="I282:I289" si="33">H282*G282</f>
        <v>2400</v>
      </c>
      <c r="J282" s="1258"/>
    </row>
    <row r="283" spans="1:10" s="1275" customFormat="1" ht="45">
      <c r="A283" s="1268">
        <v>9</v>
      </c>
      <c r="B283" s="1269" t="s">
        <v>3539</v>
      </c>
      <c r="C283" s="1260" t="s">
        <v>3457</v>
      </c>
      <c r="D283" s="1270" t="s">
        <v>3458</v>
      </c>
      <c r="E283" s="1259" t="s">
        <v>3464</v>
      </c>
      <c r="F283" s="1259" t="s">
        <v>3465</v>
      </c>
      <c r="G283" s="1272">
        <v>700</v>
      </c>
      <c r="H283" s="1273">
        <v>1</v>
      </c>
      <c r="I283" s="1274">
        <f t="shared" si="33"/>
        <v>700</v>
      </c>
      <c r="J283" s="1258"/>
    </row>
    <row r="284" spans="1:10" s="1275" customFormat="1" ht="45">
      <c r="A284" s="1268">
        <v>9</v>
      </c>
      <c r="B284" s="1269" t="s">
        <v>3539</v>
      </c>
      <c r="C284" s="1260" t="s">
        <v>3457</v>
      </c>
      <c r="D284" s="1270" t="s">
        <v>3458</v>
      </c>
      <c r="E284" s="1259" t="s">
        <v>3466</v>
      </c>
      <c r="F284" s="1259" t="s">
        <v>3467</v>
      </c>
      <c r="G284" s="1272">
        <v>6000</v>
      </c>
      <c r="H284" s="1273">
        <v>1</v>
      </c>
      <c r="I284" s="1274">
        <f t="shared" si="33"/>
        <v>6000</v>
      </c>
      <c r="J284" s="1258"/>
    </row>
    <row r="285" spans="1:10" s="1275" customFormat="1" ht="12.75">
      <c r="A285" s="1268">
        <v>9</v>
      </c>
      <c r="B285" s="1269" t="s">
        <v>3539</v>
      </c>
      <c r="C285" s="1260" t="s">
        <v>3457</v>
      </c>
      <c r="D285" s="1270" t="s">
        <v>3458</v>
      </c>
      <c r="E285" s="1259" t="s">
        <v>3485</v>
      </c>
      <c r="F285" s="1259"/>
      <c r="G285" s="1272">
        <v>1600</v>
      </c>
      <c r="H285" s="1273">
        <v>2</v>
      </c>
      <c r="I285" s="1274">
        <f>G285*H285</f>
        <v>3200</v>
      </c>
      <c r="J285" s="1258"/>
    </row>
    <row r="286" spans="1:10" s="1275" customFormat="1" ht="12.75">
      <c r="A286" s="1268">
        <v>9</v>
      </c>
      <c r="B286" s="1269" t="s">
        <v>3539</v>
      </c>
      <c r="C286" s="1260" t="s">
        <v>3457</v>
      </c>
      <c r="D286" s="1270" t="s">
        <v>3458</v>
      </c>
      <c r="E286" s="1259" t="s">
        <v>3486</v>
      </c>
      <c r="F286" s="1259"/>
      <c r="G286" s="1272">
        <v>700</v>
      </c>
      <c r="H286" s="1273">
        <v>1</v>
      </c>
      <c r="I286" s="1274">
        <f>G286*H286</f>
        <v>700</v>
      </c>
      <c r="J286" s="1258"/>
    </row>
    <row r="287" spans="1:10" s="1275" customFormat="1" ht="12.75">
      <c r="A287" s="1268">
        <v>9</v>
      </c>
      <c r="B287" s="1269" t="s">
        <v>3539</v>
      </c>
      <c r="C287" s="1260" t="s">
        <v>3457</v>
      </c>
      <c r="D287" s="1259" t="s">
        <v>3468</v>
      </c>
      <c r="E287" s="1259" t="s">
        <v>3468</v>
      </c>
      <c r="F287" s="1259"/>
      <c r="G287" s="1272">
        <v>13000</v>
      </c>
      <c r="H287" s="1273">
        <v>1</v>
      </c>
      <c r="I287" s="1274">
        <f t="shared" si="33"/>
        <v>13000</v>
      </c>
      <c r="J287" s="1258"/>
    </row>
    <row r="288" spans="1:10" s="1275" customFormat="1" ht="12.75">
      <c r="A288" s="1268">
        <v>9</v>
      </c>
      <c r="B288" s="1269" t="s">
        <v>3539</v>
      </c>
      <c r="C288" s="1260" t="s">
        <v>3457</v>
      </c>
      <c r="D288" s="1259" t="s">
        <v>3469</v>
      </c>
      <c r="E288" s="1259" t="s">
        <v>3469</v>
      </c>
      <c r="F288" s="1276" t="s">
        <v>3470</v>
      </c>
      <c r="G288" s="1277">
        <v>9000</v>
      </c>
      <c r="H288" s="1273">
        <v>1</v>
      </c>
      <c r="I288" s="1274">
        <f t="shared" si="33"/>
        <v>9000</v>
      </c>
      <c r="J288" s="1258"/>
    </row>
    <row r="289" spans="1:10" s="1275" customFormat="1" ht="12.75">
      <c r="A289" s="1268">
        <v>9</v>
      </c>
      <c r="B289" s="1269" t="s">
        <v>3539</v>
      </c>
      <c r="C289" s="1260" t="s">
        <v>3457</v>
      </c>
      <c r="D289" s="1278" t="s">
        <v>3471</v>
      </c>
      <c r="E289" s="1278" t="s">
        <v>3472</v>
      </c>
      <c r="F289" s="1278" t="s">
        <v>3473</v>
      </c>
      <c r="G289" s="1272">
        <v>5000</v>
      </c>
      <c r="H289" s="1273">
        <v>2</v>
      </c>
      <c r="I289" s="1274">
        <f t="shared" si="33"/>
        <v>10000</v>
      </c>
      <c r="J289" s="1258"/>
    </row>
    <row r="290" spans="1:10" s="1275" customFormat="1" ht="12.75">
      <c r="A290" s="1268">
        <v>9</v>
      </c>
      <c r="B290" s="1269" t="s">
        <v>3539</v>
      </c>
      <c r="C290" s="1260" t="s">
        <v>3457</v>
      </c>
      <c r="D290" s="1259" t="s">
        <v>3474</v>
      </c>
      <c r="E290" s="1278" t="s">
        <v>3475</v>
      </c>
      <c r="F290" s="1259"/>
      <c r="G290" s="1272">
        <v>7300</v>
      </c>
      <c r="H290" s="1273">
        <v>1</v>
      </c>
      <c r="I290" s="1274">
        <f>H290*G290</f>
        <v>7300</v>
      </c>
      <c r="J290" s="1258"/>
    </row>
    <row r="291" spans="1:10" s="1275" customFormat="1" ht="12.75">
      <c r="A291" s="1268">
        <v>9</v>
      </c>
      <c r="B291" s="1269" t="s">
        <v>3539</v>
      </c>
      <c r="C291" s="1260" t="s">
        <v>3457</v>
      </c>
      <c r="D291" s="1259" t="s">
        <v>3476</v>
      </c>
      <c r="E291" s="1259" t="s">
        <v>3477</v>
      </c>
      <c r="F291" s="1259"/>
      <c r="G291" s="1272">
        <v>12000</v>
      </c>
      <c r="H291" s="1273">
        <v>1</v>
      </c>
      <c r="I291" s="1274">
        <f>H291*G291</f>
        <v>12000</v>
      </c>
      <c r="J291" s="1258"/>
    </row>
    <row r="292" spans="1:10" s="1275" customFormat="1" ht="23.25">
      <c r="A292" s="1268">
        <v>9</v>
      </c>
      <c r="B292" s="1269" t="s">
        <v>3539</v>
      </c>
      <c r="C292" s="1260" t="s">
        <v>3457</v>
      </c>
      <c r="D292" s="1259" t="s">
        <v>3537</v>
      </c>
      <c r="E292" s="1259" t="s">
        <v>3478</v>
      </c>
      <c r="F292" s="1259"/>
      <c r="G292" s="1277">
        <v>15000</v>
      </c>
      <c r="H292" s="1273">
        <v>1</v>
      </c>
      <c r="I292" s="1274">
        <f>H292*G292</f>
        <v>15000</v>
      </c>
      <c r="J292" s="1258"/>
    </row>
    <row r="293" spans="1:10" s="1275" customFormat="1" ht="12.75">
      <c r="A293" s="1268">
        <v>9</v>
      </c>
      <c r="B293" s="1269" t="s">
        <v>3539</v>
      </c>
      <c r="C293" s="1260" t="s">
        <v>3457</v>
      </c>
      <c r="D293" s="1259" t="s">
        <v>3479</v>
      </c>
      <c r="E293" s="1259" t="s">
        <v>3479</v>
      </c>
      <c r="F293" s="1259"/>
      <c r="G293" s="1277">
        <v>1200</v>
      </c>
      <c r="H293" s="1273">
        <v>1</v>
      </c>
      <c r="I293" s="1274">
        <f>H293*G293</f>
        <v>1200</v>
      </c>
      <c r="J293" s="1258"/>
    </row>
    <row r="294" spans="1:10" s="1275" customFormat="1" ht="12.75">
      <c r="A294" s="1268">
        <v>9</v>
      </c>
      <c r="B294" s="1269" t="s">
        <v>3539</v>
      </c>
      <c r="C294" s="1260" t="s">
        <v>3457</v>
      </c>
      <c r="D294" s="1259" t="s">
        <v>3480</v>
      </c>
      <c r="E294" s="1259" t="s">
        <v>3480</v>
      </c>
      <c r="F294" s="1259"/>
      <c r="G294" s="1277">
        <v>1400</v>
      </c>
      <c r="H294" s="1273">
        <v>1</v>
      </c>
      <c r="I294" s="1274">
        <f>H294*G294</f>
        <v>1400</v>
      </c>
      <c r="J294" s="1258"/>
    </row>
    <row r="295" spans="1:10" s="1275" customFormat="1" ht="12.75">
      <c r="A295" s="1268"/>
      <c r="B295" s="1290" t="s">
        <v>3538</v>
      </c>
      <c r="C295" s="1260"/>
      <c r="D295" s="1290"/>
      <c r="E295" s="1269"/>
      <c r="F295" s="1269"/>
      <c r="G295" s="1280"/>
      <c r="H295" s="1280"/>
      <c r="I295" s="1281">
        <f>SUM(I279:I294)</f>
        <v>99800</v>
      </c>
      <c r="J295" s="1258"/>
    </row>
    <row r="296" spans="1:10" s="1275" customFormat="1" ht="12.75">
      <c r="A296" s="1268">
        <v>10</v>
      </c>
      <c r="B296" s="1269" t="s">
        <v>3540</v>
      </c>
      <c r="C296" s="1260" t="s">
        <v>3457</v>
      </c>
      <c r="D296" s="1270" t="s">
        <v>3458</v>
      </c>
      <c r="E296" s="1259" t="s">
        <v>3459</v>
      </c>
      <c r="F296" s="1271" t="s">
        <v>3460</v>
      </c>
      <c r="G296" s="1272">
        <v>650</v>
      </c>
      <c r="H296" s="1273">
        <v>5</v>
      </c>
      <c r="I296" s="1274">
        <f>H296*G296</f>
        <v>3250</v>
      </c>
      <c r="J296" s="1258"/>
    </row>
    <row r="297" spans="1:10" s="1275" customFormat="1" ht="12.75">
      <c r="A297" s="1268">
        <v>10</v>
      </c>
      <c r="B297" s="1269" t="s">
        <v>3540</v>
      </c>
      <c r="C297" s="1260" t="s">
        <v>3457</v>
      </c>
      <c r="D297" s="1270" t="s">
        <v>3458</v>
      </c>
      <c r="E297" s="1259" t="s">
        <v>3461</v>
      </c>
      <c r="F297" s="1271" t="s">
        <v>3460</v>
      </c>
      <c r="G297" s="1272">
        <v>650</v>
      </c>
      <c r="H297" s="1273">
        <v>5</v>
      </c>
      <c r="I297" s="1274">
        <f>H297*G297</f>
        <v>3250</v>
      </c>
      <c r="J297" s="1258"/>
    </row>
    <row r="298" spans="1:10" s="1275" customFormat="1" ht="22.5">
      <c r="A298" s="1268">
        <v>10</v>
      </c>
      <c r="B298" s="1269" t="s">
        <v>3540</v>
      </c>
      <c r="C298" s="1260" t="s">
        <v>3457</v>
      </c>
      <c r="D298" s="1270" t="s">
        <v>3458</v>
      </c>
      <c r="E298" s="1259" t="s">
        <v>3462</v>
      </c>
      <c r="F298" s="1259" t="s">
        <v>3463</v>
      </c>
      <c r="G298" s="1272">
        <v>380</v>
      </c>
      <c r="H298" s="1273">
        <v>30</v>
      </c>
      <c r="I298" s="1274">
        <f>H298*G298</f>
        <v>11400</v>
      </c>
      <c r="J298" s="1258"/>
    </row>
    <row r="299" spans="1:10" s="1275" customFormat="1" ht="12.75">
      <c r="A299" s="1268">
        <v>10</v>
      </c>
      <c r="B299" s="1269" t="s">
        <v>3540</v>
      </c>
      <c r="C299" s="1260" t="s">
        <v>3457</v>
      </c>
      <c r="D299" s="1270" t="s">
        <v>3458</v>
      </c>
      <c r="E299" s="1259" t="s">
        <v>3483</v>
      </c>
      <c r="F299" s="1259" t="s">
        <v>3484</v>
      </c>
      <c r="G299" s="1277">
        <v>2400</v>
      </c>
      <c r="H299" s="1273">
        <v>1</v>
      </c>
      <c r="I299" s="1274">
        <f t="shared" ref="I299:I306" si="34">H299*G299</f>
        <v>2400</v>
      </c>
      <c r="J299" s="1258"/>
    </row>
    <row r="300" spans="1:10" s="1275" customFormat="1" ht="45">
      <c r="A300" s="1268">
        <v>10</v>
      </c>
      <c r="B300" s="1269" t="s">
        <v>3540</v>
      </c>
      <c r="C300" s="1260" t="s">
        <v>3457</v>
      </c>
      <c r="D300" s="1270" t="s">
        <v>3458</v>
      </c>
      <c r="E300" s="1259" t="s">
        <v>3464</v>
      </c>
      <c r="F300" s="1259" t="s">
        <v>3465</v>
      </c>
      <c r="G300" s="1272">
        <v>700</v>
      </c>
      <c r="H300" s="1273">
        <v>1</v>
      </c>
      <c r="I300" s="1274">
        <f t="shared" si="34"/>
        <v>700</v>
      </c>
      <c r="J300" s="1258"/>
    </row>
    <row r="301" spans="1:10" s="1275" customFormat="1" ht="45">
      <c r="A301" s="1268">
        <v>10</v>
      </c>
      <c r="B301" s="1269" t="s">
        <v>3540</v>
      </c>
      <c r="C301" s="1260" t="s">
        <v>3457</v>
      </c>
      <c r="D301" s="1270" t="s">
        <v>3458</v>
      </c>
      <c r="E301" s="1259" t="s">
        <v>3466</v>
      </c>
      <c r="F301" s="1259" t="s">
        <v>3467</v>
      </c>
      <c r="G301" s="1272">
        <v>6000</v>
      </c>
      <c r="H301" s="1273">
        <v>1</v>
      </c>
      <c r="I301" s="1274">
        <f t="shared" si="34"/>
        <v>6000</v>
      </c>
      <c r="J301" s="1258"/>
    </row>
    <row r="302" spans="1:10" s="1275" customFormat="1" ht="12.75">
      <c r="A302" s="1268">
        <v>10</v>
      </c>
      <c r="B302" s="1269" t="s">
        <v>3540</v>
      </c>
      <c r="C302" s="1260" t="s">
        <v>3457</v>
      </c>
      <c r="D302" s="1270" t="s">
        <v>3458</v>
      </c>
      <c r="E302" s="1259" t="s">
        <v>3485</v>
      </c>
      <c r="F302" s="1259"/>
      <c r="G302" s="1272">
        <v>1600</v>
      </c>
      <c r="H302" s="1273">
        <v>2</v>
      </c>
      <c r="I302" s="1274">
        <f t="shared" ref="I302:I303" si="35">G302*H302</f>
        <v>3200</v>
      </c>
      <c r="J302" s="1258"/>
    </row>
    <row r="303" spans="1:10" s="1275" customFormat="1" ht="12.75">
      <c r="A303" s="1268">
        <v>10</v>
      </c>
      <c r="B303" s="1269" t="s">
        <v>3540</v>
      </c>
      <c r="C303" s="1260" t="s">
        <v>3457</v>
      </c>
      <c r="D303" s="1270" t="s">
        <v>3458</v>
      </c>
      <c r="E303" s="1259" t="s">
        <v>3486</v>
      </c>
      <c r="F303" s="1259"/>
      <c r="G303" s="1272">
        <v>700</v>
      </c>
      <c r="H303" s="1273">
        <v>1</v>
      </c>
      <c r="I303" s="1274">
        <f t="shared" si="35"/>
        <v>700</v>
      </c>
      <c r="J303" s="1258"/>
    </row>
    <row r="304" spans="1:10" s="1275" customFormat="1" ht="12.75">
      <c r="A304" s="1268">
        <v>10</v>
      </c>
      <c r="B304" s="1269" t="s">
        <v>3540</v>
      </c>
      <c r="C304" s="1260" t="s">
        <v>3457</v>
      </c>
      <c r="D304" s="1259" t="s">
        <v>3468</v>
      </c>
      <c r="E304" s="1259" t="s">
        <v>3468</v>
      </c>
      <c r="F304" s="1259"/>
      <c r="G304" s="1272">
        <v>13000</v>
      </c>
      <c r="H304" s="1273">
        <v>1</v>
      </c>
      <c r="I304" s="1274">
        <f t="shared" si="34"/>
        <v>13000</v>
      </c>
      <c r="J304" s="1258"/>
    </row>
    <row r="305" spans="1:10" s="1275" customFormat="1" ht="12.75">
      <c r="A305" s="1268">
        <v>10</v>
      </c>
      <c r="B305" s="1269" t="s">
        <v>3540</v>
      </c>
      <c r="C305" s="1260" t="s">
        <v>3457</v>
      </c>
      <c r="D305" s="1259" t="s">
        <v>3469</v>
      </c>
      <c r="E305" s="1259" t="s">
        <v>3469</v>
      </c>
      <c r="F305" s="1276" t="s">
        <v>3470</v>
      </c>
      <c r="G305" s="1277">
        <v>9000</v>
      </c>
      <c r="H305" s="1273">
        <v>1</v>
      </c>
      <c r="I305" s="1274">
        <f t="shared" si="34"/>
        <v>9000</v>
      </c>
      <c r="J305" s="1258"/>
    </row>
    <row r="306" spans="1:10" s="1275" customFormat="1" ht="12.75">
      <c r="A306" s="1268">
        <v>10</v>
      </c>
      <c r="B306" s="1269" t="s">
        <v>3540</v>
      </c>
      <c r="C306" s="1260" t="s">
        <v>3457</v>
      </c>
      <c r="D306" s="1278" t="s">
        <v>3487</v>
      </c>
      <c r="E306" s="1278" t="s">
        <v>3487</v>
      </c>
      <c r="F306" s="1259"/>
      <c r="G306" s="1272">
        <v>5000</v>
      </c>
      <c r="H306" s="1273">
        <v>2</v>
      </c>
      <c r="I306" s="1274">
        <f t="shared" si="34"/>
        <v>10000</v>
      </c>
      <c r="J306" s="1258"/>
    </row>
    <row r="307" spans="1:10" s="1275" customFormat="1" ht="12.75">
      <c r="A307" s="1268">
        <v>10</v>
      </c>
      <c r="B307" s="1269" t="s">
        <v>3540</v>
      </c>
      <c r="C307" s="1260" t="s">
        <v>3457</v>
      </c>
      <c r="D307" s="1259" t="s">
        <v>3474</v>
      </c>
      <c r="E307" s="1278" t="s">
        <v>3475</v>
      </c>
      <c r="F307" s="1259"/>
      <c r="G307" s="1272">
        <v>7300</v>
      </c>
      <c r="H307" s="1273">
        <v>1</v>
      </c>
      <c r="I307" s="1274">
        <f>H307*G307</f>
        <v>7300</v>
      </c>
      <c r="J307" s="1258"/>
    </row>
    <row r="308" spans="1:10" s="1275" customFormat="1" ht="12.75">
      <c r="A308" s="1268">
        <v>10</v>
      </c>
      <c r="B308" s="1269" t="s">
        <v>3540</v>
      </c>
      <c r="C308" s="1260" t="s">
        <v>3457</v>
      </c>
      <c r="D308" s="1259" t="s">
        <v>3476</v>
      </c>
      <c r="E308" s="1259" t="s">
        <v>3477</v>
      </c>
      <c r="F308" s="1259"/>
      <c r="G308" s="1272">
        <v>12000</v>
      </c>
      <c r="H308" s="1273">
        <v>1</v>
      </c>
      <c r="I308" s="1274">
        <f>H308*G308</f>
        <v>12000</v>
      </c>
      <c r="J308" s="1258"/>
    </row>
    <row r="309" spans="1:10" s="1275" customFormat="1" ht="23.25">
      <c r="A309" s="1268">
        <v>10</v>
      </c>
      <c r="B309" s="1269" t="s">
        <v>3540</v>
      </c>
      <c r="C309" s="1260" t="s">
        <v>3457</v>
      </c>
      <c r="D309" s="1259" t="s">
        <v>3537</v>
      </c>
      <c r="E309" s="1259" t="s">
        <v>3478</v>
      </c>
      <c r="F309" s="1259"/>
      <c r="G309" s="1277">
        <v>15000</v>
      </c>
      <c r="H309" s="1273">
        <v>1</v>
      </c>
      <c r="I309" s="1274">
        <f>H309*G309</f>
        <v>15000</v>
      </c>
      <c r="J309" s="1258"/>
    </row>
    <row r="310" spans="1:10" s="1275" customFormat="1" ht="12.75">
      <c r="A310" s="1268">
        <v>10</v>
      </c>
      <c r="B310" s="1269" t="s">
        <v>3540</v>
      </c>
      <c r="C310" s="1260" t="s">
        <v>3457</v>
      </c>
      <c r="D310" s="1259" t="s">
        <v>3479</v>
      </c>
      <c r="E310" s="1259" t="s">
        <v>3479</v>
      </c>
      <c r="F310" s="1259"/>
      <c r="G310" s="1277">
        <v>1200</v>
      </c>
      <c r="H310" s="1273">
        <v>1</v>
      </c>
      <c r="I310" s="1274">
        <f>H310*G310</f>
        <v>1200</v>
      </c>
      <c r="J310" s="1258"/>
    </row>
    <row r="311" spans="1:10" s="1275" customFormat="1" ht="12.75">
      <c r="A311" s="1268">
        <v>10</v>
      </c>
      <c r="B311" s="1269" t="s">
        <v>3540</v>
      </c>
      <c r="C311" s="1260" t="s">
        <v>3457</v>
      </c>
      <c r="D311" s="1259" t="s">
        <v>3480</v>
      </c>
      <c r="E311" s="1259" t="s">
        <v>3480</v>
      </c>
      <c r="F311" s="1259"/>
      <c r="G311" s="1277">
        <v>1400</v>
      </c>
      <c r="H311" s="1273">
        <v>1</v>
      </c>
      <c r="I311" s="1274">
        <f>H311*G311</f>
        <v>1400</v>
      </c>
      <c r="J311" s="1258"/>
    </row>
    <row r="312" spans="1:10" s="1275" customFormat="1" ht="12.75">
      <c r="A312" s="1268"/>
      <c r="B312" s="1290" t="s">
        <v>3538</v>
      </c>
      <c r="C312" s="1260"/>
      <c r="D312" s="1290"/>
      <c r="E312" s="1269"/>
      <c r="F312" s="1269"/>
      <c r="G312" s="1280"/>
      <c r="H312" s="1280"/>
      <c r="I312" s="1281">
        <f>SUM(I296:I311)</f>
        <v>99800</v>
      </c>
      <c r="J312" s="1258"/>
    </row>
    <row r="313" spans="1:10" s="1275" customFormat="1" ht="12.75">
      <c r="A313" s="1268">
        <v>11</v>
      </c>
      <c r="B313" s="1269" t="s">
        <v>3541</v>
      </c>
      <c r="C313" s="1260" t="s">
        <v>3457</v>
      </c>
      <c r="D313" s="1270" t="s">
        <v>3458</v>
      </c>
      <c r="E313" s="1259" t="s">
        <v>3459</v>
      </c>
      <c r="F313" s="1271" t="s">
        <v>3460</v>
      </c>
      <c r="G313" s="1272">
        <v>650</v>
      </c>
      <c r="H313" s="1273">
        <v>5</v>
      </c>
      <c r="I313" s="1274">
        <f>H313*G313</f>
        <v>3250</v>
      </c>
      <c r="J313" s="1258"/>
    </row>
    <row r="314" spans="1:10" s="1275" customFormat="1" ht="12.75">
      <c r="A314" s="1268">
        <v>11</v>
      </c>
      <c r="B314" s="1269" t="s">
        <v>3541</v>
      </c>
      <c r="C314" s="1260" t="s">
        <v>3457</v>
      </c>
      <c r="D314" s="1270" t="s">
        <v>3458</v>
      </c>
      <c r="E314" s="1259" t="s">
        <v>3461</v>
      </c>
      <c r="F314" s="1271" t="s">
        <v>3460</v>
      </c>
      <c r="G314" s="1272">
        <v>650</v>
      </c>
      <c r="H314" s="1273">
        <v>5</v>
      </c>
      <c r="I314" s="1274">
        <f>H314*G314</f>
        <v>3250</v>
      </c>
      <c r="J314" s="1258"/>
    </row>
    <row r="315" spans="1:10" s="1275" customFormat="1" ht="22.5">
      <c r="A315" s="1268">
        <v>11</v>
      </c>
      <c r="B315" s="1269" t="s">
        <v>3541</v>
      </c>
      <c r="C315" s="1260" t="s">
        <v>3457</v>
      </c>
      <c r="D315" s="1270" t="s">
        <v>3458</v>
      </c>
      <c r="E315" s="1259" t="s">
        <v>3462</v>
      </c>
      <c r="F315" s="1259" t="s">
        <v>3463</v>
      </c>
      <c r="G315" s="1272">
        <v>380</v>
      </c>
      <c r="H315" s="1273">
        <v>30</v>
      </c>
      <c r="I315" s="1274">
        <f>H315*G315</f>
        <v>11400</v>
      </c>
      <c r="J315" s="1258"/>
    </row>
    <row r="316" spans="1:10" s="1275" customFormat="1" ht="12.75">
      <c r="A316" s="1268">
        <v>11</v>
      </c>
      <c r="B316" s="1269" t="s">
        <v>3541</v>
      </c>
      <c r="C316" s="1260" t="s">
        <v>3457</v>
      </c>
      <c r="D316" s="1270" t="s">
        <v>3458</v>
      </c>
      <c r="E316" s="1259" t="s">
        <v>3483</v>
      </c>
      <c r="F316" s="1259" t="s">
        <v>3484</v>
      </c>
      <c r="G316" s="1277">
        <v>2400</v>
      </c>
      <c r="H316" s="1273">
        <v>1</v>
      </c>
      <c r="I316" s="1274">
        <f t="shared" ref="I316:I321" si="36">H316*G316</f>
        <v>2400</v>
      </c>
      <c r="J316" s="1258"/>
    </row>
    <row r="317" spans="1:10" s="1275" customFormat="1" ht="45">
      <c r="A317" s="1268">
        <v>11</v>
      </c>
      <c r="B317" s="1269" t="s">
        <v>3541</v>
      </c>
      <c r="C317" s="1260" t="s">
        <v>3457</v>
      </c>
      <c r="D317" s="1270" t="s">
        <v>3458</v>
      </c>
      <c r="E317" s="1259" t="s">
        <v>3464</v>
      </c>
      <c r="F317" s="1259" t="s">
        <v>3465</v>
      </c>
      <c r="G317" s="1272">
        <v>700</v>
      </c>
      <c r="H317" s="1273">
        <v>1</v>
      </c>
      <c r="I317" s="1274">
        <f t="shared" si="36"/>
        <v>700</v>
      </c>
      <c r="J317" s="1258"/>
    </row>
    <row r="318" spans="1:10" s="1275" customFormat="1" ht="45">
      <c r="A318" s="1268">
        <v>11</v>
      </c>
      <c r="B318" s="1269" t="s">
        <v>3541</v>
      </c>
      <c r="C318" s="1260" t="s">
        <v>3457</v>
      </c>
      <c r="D318" s="1270" t="s">
        <v>3458</v>
      </c>
      <c r="E318" s="1259" t="s">
        <v>3466</v>
      </c>
      <c r="F318" s="1259" t="s">
        <v>3467</v>
      </c>
      <c r="G318" s="1272">
        <v>6000</v>
      </c>
      <c r="H318" s="1273">
        <v>1</v>
      </c>
      <c r="I318" s="1274">
        <f t="shared" si="36"/>
        <v>6000</v>
      </c>
      <c r="J318" s="1258"/>
    </row>
    <row r="319" spans="1:10" s="1275" customFormat="1" ht="12.75">
      <c r="A319" s="1268">
        <v>11</v>
      </c>
      <c r="B319" s="1269" t="s">
        <v>3541</v>
      </c>
      <c r="C319" s="1260" t="s">
        <v>3457</v>
      </c>
      <c r="D319" s="1259" t="s">
        <v>3468</v>
      </c>
      <c r="E319" s="1259" t="s">
        <v>3468</v>
      </c>
      <c r="F319" s="1259"/>
      <c r="G319" s="1272">
        <v>13000</v>
      </c>
      <c r="H319" s="1273">
        <v>1</v>
      </c>
      <c r="I319" s="1274">
        <f t="shared" si="36"/>
        <v>13000</v>
      </c>
      <c r="J319" s="1258"/>
    </row>
    <row r="320" spans="1:10" s="1275" customFormat="1" ht="12.75">
      <c r="A320" s="1268">
        <v>11</v>
      </c>
      <c r="B320" s="1269" t="s">
        <v>3541</v>
      </c>
      <c r="C320" s="1260" t="s">
        <v>3457</v>
      </c>
      <c r="D320" s="1259" t="s">
        <v>3469</v>
      </c>
      <c r="E320" s="1259" t="s">
        <v>3469</v>
      </c>
      <c r="F320" s="1276" t="s">
        <v>3470</v>
      </c>
      <c r="G320" s="1277">
        <v>9000</v>
      </c>
      <c r="H320" s="1273">
        <v>1</v>
      </c>
      <c r="I320" s="1274">
        <f t="shared" si="36"/>
        <v>9000</v>
      </c>
      <c r="J320" s="1258"/>
    </row>
    <row r="321" spans="1:10" s="1275" customFormat="1" ht="12.75">
      <c r="A321" s="1268">
        <v>11</v>
      </c>
      <c r="B321" s="1269" t="s">
        <v>3541</v>
      </c>
      <c r="C321" s="1260" t="s">
        <v>3457</v>
      </c>
      <c r="D321" s="1278" t="s">
        <v>3487</v>
      </c>
      <c r="E321" s="1278" t="s">
        <v>3487</v>
      </c>
      <c r="F321" s="1259"/>
      <c r="G321" s="1272">
        <v>5000</v>
      </c>
      <c r="H321" s="1273">
        <v>2</v>
      </c>
      <c r="I321" s="1274">
        <f t="shared" si="36"/>
        <v>10000</v>
      </c>
      <c r="J321" s="1258"/>
    </row>
    <row r="322" spans="1:10" s="1275" customFormat="1" ht="12.75">
      <c r="A322" s="1268">
        <v>11</v>
      </c>
      <c r="B322" s="1269" t="s">
        <v>3541</v>
      </c>
      <c r="C322" s="1260" t="s">
        <v>3457</v>
      </c>
      <c r="D322" s="1259" t="s">
        <v>3474</v>
      </c>
      <c r="E322" s="1278" t="s">
        <v>3475</v>
      </c>
      <c r="F322" s="1259"/>
      <c r="G322" s="1272">
        <v>7300</v>
      </c>
      <c r="H322" s="1273">
        <v>1</v>
      </c>
      <c r="I322" s="1274">
        <f>H322*G322</f>
        <v>7300</v>
      </c>
      <c r="J322" s="1258"/>
    </row>
    <row r="323" spans="1:10" s="1275" customFormat="1" ht="12.75">
      <c r="A323" s="1268">
        <v>11</v>
      </c>
      <c r="B323" s="1269" t="s">
        <v>3541</v>
      </c>
      <c r="C323" s="1260" t="s">
        <v>3457</v>
      </c>
      <c r="D323" s="1259" t="s">
        <v>3477</v>
      </c>
      <c r="E323" s="1259" t="s">
        <v>3477</v>
      </c>
      <c r="F323" s="1259"/>
      <c r="G323" s="1272">
        <v>12000</v>
      </c>
      <c r="H323" s="1273">
        <v>1</v>
      </c>
      <c r="I323" s="1274">
        <f>H323*G323</f>
        <v>12000</v>
      </c>
      <c r="J323" s="1258"/>
    </row>
    <row r="324" spans="1:10" s="1275" customFormat="1" ht="23.25">
      <c r="A324" s="1268">
        <v>11</v>
      </c>
      <c r="B324" s="1269" t="s">
        <v>3541</v>
      </c>
      <c r="C324" s="1260" t="s">
        <v>3457</v>
      </c>
      <c r="D324" s="1259" t="s">
        <v>3537</v>
      </c>
      <c r="E324" s="1259" t="s">
        <v>3478</v>
      </c>
      <c r="F324" s="1259"/>
      <c r="G324" s="1277">
        <v>15000</v>
      </c>
      <c r="H324" s="1273">
        <v>1</v>
      </c>
      <c r="I324" s="1274">
        <f>H324*G324</f>
        <v>15000</v>
      </c>
      <c r="J324" s="1258"/>
    </row>
    <row r="325" spans="1:10" s="1275" customFormat="1" ht="12.75">
      <c r="A325" s="1268">
        <v>11</v>
      </c>
      <c r="B325" s="1269" t="s">
        <v>3541</v>
      </c>
      <c r="C325" s="1260" t="s">
        <v>3457</v>
      </c>
      <c r="D325" s="1259" t="s">
        <v>3479</v>
      </c>
      <c r="E325" s="1259" t="s">
        <v>3479</v>
      </c>
      <c r="F325" s="1259"/>
      <c r="G325" s="1277">
        <v>1200</v>
      </c>
      <c r="H325" s="1273">
        <v>1</v>
      </c>
      <c r="I325" s="1274">
        <f>H325*G325</f>
        <v>1200</v>
      </c>
      <c r="J325" s="1258"/>
    </row>
    <row r="326" spans="1:10" s="1275" customFormat="1" ht="12.75">
      <c r="A326" s="1268">
        <v>11</v>
      </c>
      <c r="B326" s="1269" t="s">
        <v>3541</v>
      </c>
      <c r="C326" s="1260" t="s">
        <v>3457</v>
      </c>
      <c r="D326" s="1259" t="s">
        <v>3480</v>
      </c>
      <c r="E326" s="1259" t="s">
        <v>3480</v>
      </c>
      <c r="F326" s="1259"/>
      <c r="G326" s="1277">
        <v>1400</v>
      </c>
      <c r="H326" s="1273">
        <v>1</v>
      </c>
      <c r="I326" s="1274">
        <f>H326*G326</f>
        <v>1400</v>
      </c>
      <c r="J326" s="1258"/>
    </row>
    <row r="327" spans="1:10" s="1275" customFormat="1" ht="12.75">
      <c r="A327" s="1268"/>
      <c r="B327" s="1290" t="s">
        <v>3538</v>
      </c>
      <c r="C327" s="1260"/>
      <c r="D327" s="1290"/>
      <c r="E327" s="1269"/>
      <c r="F327" s="1269"/>
      <c r="G327" s="1280"/>
      <c r="H327" s="1280"/>
      <c r="I327" s="1281">
        <f>SUM(I313:I326)</f>
        <v>95900</v>
      </c>
      <c r="J327" s="1258"/>
    </row>
    <row r="328" spans="1:10" s="1275" customFormat="1" ht="12.75">
      <c r="A328" s="1268"/>
      <c r="B328" s="1279" t="s">
        <v>3556</v>
      </c>
      <c r="C328" s="1260"/>
      <c r="D328" s="1290"/>
      <c r="E328" s="1269"/>
      <c r="F328" s="1269"/>
      <c r="G328" s="1280"/>
      <c r="H328" s="1280"/>
      <c r="I328" s="1281">
        <f>SUM(I327,I312,I295,I278,I264,I258,I249,I240,I234,I228,I222)</f>
        <v>1583300</v>
      </c>
      <c r="J328" s="1258"/>
    </row>
    <row r="329" spans="1:10">
      <c r="A329" s="1258">
        <v>1</v>
      </c>
      <c r="B329" s="1261" t="s">
        <v>3542</v>
      </c>
      <c r="C329" s="1260" t="s">
        <v>3457</v>
      </c>
      <c r="D329" s="1261" t="s">
        <v>3458</v>
      </c>
      <c r="E329" s="1261" t="s">
        <v>3449</v>
      </c>
      <c r="F329" s="1258"/>
      <c r="G329" s="1262">
        <v>400</v>
      </c>
      <c r="H329" s="1258">
        <v>120</v>
      </c>
      <c r="I329" s="1262">
        <f>G329*H329</f>
        <v>48000</v>
      </c>
      <c r="J329" s="1258"/>
    </row>
    <row r="330" spans="1:10">
      <c r="A330" s="1258">
        <v>1</v>
      </c>
      <c r="B330" s="1261" t="s">
        <v>3542</v>
      </c>
      <c r="C330" s="1260" t="s">
        <v>3457</v>
      </c>
      <c r="D330" s="1261" t="s">
        <v>3458</v>
      </c>
      <c r="E330" s="1259" t="s">
        <v>3450</v>
      </c>
      <c r="F330" s="1258"/>
      <c r="G330" s="1262">
        <v>2000</v>
      </c>
      <c r="H330" s="1258">
        <v>3</v>
      </c>
      <c r="I330" s="1262">
        <f t="shared" ref="I330:I336" si="37">G330*H330</f>
        <v>6000</v>
      </c>
      <c r="J330" s="1258"/>
    </row>
    <row r="331" spans="1:10" s="1264" customFormat="1">
      <c r="A331" s="1258">
        <v>1</v>
      </c>
      <c r="B331" s="1261" t="s">
        <v>3542</v>
      </c>
      <c r="C331" s="1260" t="s">
        <v>3457</v>
      </c>
      <c r="D331" s="1261" t="s">
        <v>3458</v>
      </c>
      <c r="E331" s="1259" t="s">
        <v>3451</v>
      </c>
      <c r="F331" s="1258"/>
      <c r="G331" s="1262">
        <v>3500</v>
      </c>
      <c r="H331" s="1258">
        <v>3</v>
      </c>
      <c r="I331" s="1262">
        <f t="shared" si="37"/>
        <v>10500</v>
      </c>
      <c r="J331" s="1258"/>
    </row>
    <row r="332" spans="1:10">
      <c r="A332" s="1258">
        <v>1</v>
      </c>
      <c r="B332" s="1261" t="s">
        <v>3542</v>
      </c>
      <c r="C332" s="1260" t="s">
        <v>3457</v>
      </c>
      <c r="D332" s="1261" t="s">
        <v>3458</v>
      </c>
      <c r="E332" s="1259" t="s">
        <v>3512</v>
      </c>
      <c r="F332" s="1258"/>
      <c r="G332" s="1262">
        <v>1100</v>
      </c>
      <c r="H332" s="1258">
        <v>3</v>
      </c>
      <c r="I332" s="1262">
        <f t="shared" si="37"/>
        <v>3300</v>
      </c>
      <c r="J332" s="1258"/>
    </row>
    <row r="333" spans="1:10">
      <c r="A333" s="1258">
        <v>1</v>
      </c>
      <c r="B333" s="1261" t="s">
        <v>3542</v>
      </c>
      <c r="C333" s="1260" t="s">
        <v>3457</v>
      </c>
      <c r="D333" s="1261" t="s">
        <v>3458</v>
      </c>
      <c r="E333" s="1259" t="s">
        <v>3513</v>
      </c>
      <c r="F333" s="1258"/>
      <c r="G333" s="1262">
        <v>1600</v>
      </c>
      <c r="H333" s="1258">
        <v>9</v>
      </c>
      <c r="I333" s="1262">
        <f t="shared" si="37"/>
        <v>14400</v>
      </c>
      <c r="J333" s="1258"/>
    </row>
    <row r="334" spans="1:10">
      <c r="A334" s="1258">
        <v>1</v>
      </c>
      <c r="B334" s="1261" t="s">
        <v>3542</v>
      </c>
      <c r="C334" s="1260" t="s">
        <v>3457</v>
      </c>
      <c r="D334" s="1261" t="s">
        <v>3458</v>
      </c>
      <c r="E334" s="1259" t="s">
        <v>3514</v>
      </c>
      <c r="F334" s="1258"/>
      <c r="G334" s="1262">
        <v>700</v>
      </c>
      <c r="H334" s="1258">
        <v>5</v>
      </c>
      <c r="I334" s="1262">
        <f t="shared" si="37"/>
        <v>3500</v>
      </c>
      <c r="J334" s="1258"/>
    </row>
    <row r="335" spans="1:10" ht="34.5">
      <c r="A335" s="1258">
        <v>1</v>
      </c>
      <c r="B335" s="1261" t="s">
        <v>3542</v>
      </c>
      <c r="C335" s="1260" t="s">
        <v>3457</v>
      </c>
      <c r="D335" s="1263" t="s">
        <v>3452</v>
      </c>
      <c r="E335" s="1259" t="s">
        <v>3453</v>
      </c>
      <c r="F335" s="1258"/>
      <c r="G335" s="1262">
        <v>22000</v>
      </c>
      <c r="H335" s="1258">
        <v>3</v>
      </c>
      <c r="I335" s="1262">
        <f t="shared" si="37"/>
        <v>66000</v>
      </c>
      <c r="J335" s="1258"/>
    </row>
    <row r="336" spans="1:10">
      <c r="A336" s="1258">
        <v>1</v>
      </c>
      <c r="B336" s="1261" t="s">
        <v>3542</v>
      </c>
      <c r="C336" s="1260" t="s">
        <v>3457</v>
      </c>
      <c r="D336" s="1261" t="s">
        <v>3454</v>
      </c>
      <c r="E336" s="1259" t="s">
        <v>3454</v>
      </c>
      <c r="F336" s="1258"/>
      <c r="G336" s="1262">
        <v>5000</v>
      </c>
      <c r="H336" s="1258">
        <v>9</v>
      </c>
      <c r="I336" s="1262">
        <f t="shared" si="37"/>
        <v>45000</v>
      </c>
      <c r="J336" s="1258"/>
    </row>
    <row r="337" spans="1:10">
      <c r="A337" s="1258"/>
      <c r="B337" s="1252"/>
      <c r="C337" s="1260"/>
      <c r="D337" s="1287"/>
      <c r="E337" s="1259"/>
      <c r="F337" s="1258"/>
      <c r="G337" s="1262"/>
      <c r="H337" s="1285"/>
      <c r="I337" s="1267">
        <f>SUM(I329:I336)</f>
        <v>196700</v>
      </c>
      <c r="J337" s="1258"/>
    </row>
    <row r="338" spans="1:10">
      <c r="A338" s="1258">
        <v>2</v>
      </c>
      <c r="B338" s="1261" t="s">
        <v>3543</v>
      </c>
      <c r="C338" s="1260" t="s">
        <v>3457</v>
      </c>
      <c r="D338" s="1261" t="s">
        <v>3458</v>
      </c>
      <c r="E338" s="1261" t="s">
        <v>3449</v>
      </c>
      <c r="F338" s="1258"/>
      <c r="G338" s="1262">
        <v>400</v>
      </c>
      <c r="H338" s="1258">
        <v>135</v>
      </c>
      <c r="I338" s="1262">
        <f>G338*H338</f>
        <v>54000</v>
      </c>
      <c r="J338" s="1258"/>
    </row>
    <row r="339" spans="1:10">
      <c r="A339" s="1258">
        <v>2</v>
      </c>
      <c r="B339" s="1261" t="s">
        <v>3543</v>
      </c>
      <c r="C339" s="1260" t="s">
        <v>3457</v>
      </c>
      <c r="D339" s="1261" t="s">
        <v>3458</v>
      </c>
      <c r="E339" s="1259" t="s">
        <v>3450</v>
      </c>
      <c r="F339" s="1258"/>
      <c r="G339" s="1262">
        <v>2000</v>
      </c>
      <c r="H339" s="1258">
        <v>3</v>
      </c>
      <c r="I339" s="1262">
        <f t="shared" ref="I339:I342" si="38">G339*H339</f>
        <v>6000</v>
      </c>
      <c r="J339" s="1258"/>
    </row>
    <row r="340" spans="1:10">
      <c r="A340" s="1258">
        <v>2</v>
      </c>
      <c r="B340" s="1261" t="s">
        <v>3543</v>
      </c>
      <c r="C340" s="1260" t="s">
        <v>3457</v>
      </c>
      <c r="D340" s="1261" t="s">
        <v>3458</v>
      </c>
      <c r="E340" s="1259" t="s">
        <v>3451</v>
      </c>
      <c r="F340" s="1258"/>
      <c r="G340" s="1262">
        <v>3500</v>
      </c>
      <c r="H340" s="1258">
        <v>3</v>
      </c>
      <c r="I340" s="1262">
        <f t="shared" si="38"/>
        <v>10500</v>
      </c>
      <c r="J340" s="1258"/>
    </row>
    <row r="341" spans="1:10" ht="24">
      <c r="A341" s="1258">
        <v>2</v>
      </c>
      <c r="B341" s="1261" t="s">
        <v>3543</v>
      </c>
      <c r="C341" s="1260" t="s">
        <v>3457</v>
      </c>
      <c r="D341" s="1263" t="s">
        <v>3452</v>
      </c>
      <c r="E341" s="1259" t="s">
        <v>3507</v>
      </c>
      <c r="F341" s="1258"/>
      <c r="G341" s="1262">
        <v>27000</v>
      </c>
      <c r="H341" s="1258">
        <v>3</v>
      </c>
      <c r="I341" s="1262">
        <f t="shared" si="38"/>
        <v>81000</v>
      </c>
      <c r="J341" s="1258"/>
    </row>
    <row r="342" spans="1:10">
      <c r="A342" s="1258">
        <v>2</v>
      </c>
      <c r="B342" s="1261" t="s">
        <v>3543</v>
      </c>
      <c r="C342" s="1260" t="s">
        <v>3457</v>
      </c>
      <c r="D342" s="1261" t="s">
        <v>3454</v>
      </c>
      <c r="E342" s="1259" t="s">
        <v>3454</v>
      </c>
      <c r="F342" s="1258"/>
      <c r="G342" s="1262">
        <v>5000</v>
      </c>
      <c r="H342" s="1258">
        <v>12</v>
      </c>
      <c r="I342" s="1262">
        <f t="shared" si="38"/>
        <v>60000</v>
      </c>
      <c r="J342" s="1258"/>
    </row>
    <row r="343" spans="1:10">
      <c r="A343" s="1258"/>
      <c r="B343" s="1286" t="s">
        <v>3515</v>
      </c>
      <c r="C343" s="1260"/>
      <c r="D343" s="1261"/>
      <c r="E343" s="1259"/>
      <c r="F343" s="1258"/>
      <c r="G343" s="1262"/>
      <c r="H343" s="1258"/>
      <c r="I343" s="1267">
        <f>SUM(I338:I342)</f>
        <v>211500</v>
      </c>
      <c r="J343" s="1258"/>
    </row>
    <row r="344" spans="1:10" s="1288" customFormat="1">
      <c r="A344" s="1268">
        <v>3</v>
      </c>
      <c r="B344" s="1269" t="s">
        <v>3544</v>
      </c>
      <c r="C344" s="1260" t="s">
        <v>3457</v>
      </c>
      <c r="D344" s="1270" t="s">
        <v>3458</v>
      </c>
      <c r="E344" s="1259" t="s">
        <v>3459</v>
      </c>
      <c r="F344" s="1271" t="s">
        <v>3460</v>
      </c>
      <c r="G344" s="1272">
        <v>650</v>
      </c>
      <c r="H344" s="1273">
        <v>5</v>
      </c>
      <c r="I344" s="1274">
        <f>H344*G344</f>
        <v>3250</v>
      </c>
      <c r="J344" s="1258"/>
    </row>
    <row r="345" spans="1:10" s="1288" customFormat="1">
      <c r="A345" s="1268">
        <v>3</v>
      </c>
      <c r="B345" s="1269" t="s">
        <v>3544</v>
      </c>
      <c r="C345" s="1260" t="s">
        <v>3457</v>
      </c>
      <c r="D345" s="1270" t="s">
        <v>3458</v>
      </c>
      <c r="E345" s="1259" t="s">
        <v>3461</v>
      </c>
      <c r="F345" s="1271" t="s">
        <v>3460</v>
      </c>
      <c r="G345" s="1272">
        <v>650</v>
      </c>
      <c r="H345" s="1273">
        <v>5</v>
      </c>
      <c r="I345" s="1274">
        <f>H345*G345</f>
        <v>3250</v>
      </c>
      <c r="J345" s="1258"/>
    </row>
    <row r="346" spans="1:10" s="1288" customFormat="1" ht="22.5">
      <c r="A346" s="1268">
        <v>3</v>
      </c>
      <c r="B346" s="1269" t="s">
        <v>3544</v>
      </c>
      <c r="C346" s="1260" t="s">
        <v>3457</v>
      </c>
      <c r="D346" s="1270" t="s">
        <v>3458</v>
      </c>
      <c r="E346" s="1259" t="s">
        <v>3462</v>
      </c>
      <c r="F346" s="1259" t="s">
        <v>3463</v>
      </c>
      <c r="G346" s="1272">
        <v>380</v>
      </c>
      <c r="H346" s="1273">
        <v>30</v>
      </c>
      <c r="I346" s="1274">
        <f>H346*G346</f>
        <v>11400</v>
      </c>
      <c r="J346" s="1258"/>
    </row>
    <row r="347" spans="1:10" s="1288" customFormat="1">
      <c r="A347" s="1268">
        <v>3</v>
      </c>
      <c r="B347" s="1269" t="s">
        <v>3544</v>
      </c>
      <c r="C347" s="1260" t="s">
        <v>3457</v>
      </c>
      <c r="D347" s="1270" t="s">
        <v>3458</v>
      </c>
      <c r="E347" s="1259" t="s">
        <v>3483</v>
      </c>
      <c r="F347" s="1259" t="s">
        <v>3484</v>
      </c>
      <c r="G347" s="1277">
        <v>2400</v>
      </c>
      <c r="H347" s="1273">
        <v>1</v>
      </c>
      <c r="I347" s="1274">
        <f t="shared" ref="I347:I354" si="39">H347*G347</f>
        <v>2400</v>
      </c>
      <c r="J347" s="1258"/>
    </row>
    <row r="348" spans="1:10" s="1288" customFormat="1" ht="45">
      <c r="A348" s="1268">
        <v>3</v>
      </c>
      <c r="B348" s="1269" t="s">
        <v>3544</v>
      </c>
      <c r="C348" s="1260" t="s">
        <v>3457</v>
      </c>
      <c r="D348" s="1270" t="s">
        <v>3458</v>
      </c>
      <c r="E348" s="1259" t="s">
        <v>3464</v>
      </c>
      <c r="F348" s="1259" t="s">
        <v>3465</v>
      </c>
      <c r="G348" s="1272">
        <v>700</v>
      </c>
      <c r="H348" s="1273">
        <v>1</v>
      </c>
      <c r="I348" s="1274">
        <f t="shared" si="39"/>
        <v>700</v>
      </c>
      <c r="J348" s="1258"/>
    </row>
    <row r="349" spans="1:10" s="1288" customFormat="1" ht="45">
      <c r="A349" s="1268">
        <v>3</v>
      </c>
      <c r="B349" s="1269" t="s">
        <v>3544</v>
      </c>
      <c r="C349" s="1260" t="s">
        <v>3457</v>
      </c>
      <c r="D349" s="1270" t="s">
        <v>3458</v>
      </c>
      <c r="E349" s="1259" t="s">
        <v>3466</v>
      </c>
      <c r="F349" s="1259" t="s">
        <v>3467</v>
      </c>
      <c r="G349" s="1272">
        <v>6000</v>
      </c>
      <c r="H349" s="1273">
        <v>1</v>
      </c>
      <c r="I349" s="1274">
        <f t="shared" si="39"/>
        <v>6000</v>
      </c>
      <c r="J349" s="1258"/>
    </row>
    <row r="350" spans="1:10" s="1288" customFormat="1">
      <c r="A350" s="1268">
        <v>3</v>
      </c>
      <c r="B350" s="1269" t="s">
        <v>3544</v>
      </c>
      <c r="C350" s="1260" t="s">
        <v>3457</v>
      </c>
      <c r="D350" s="1270" t="s">
        <v>3458</v>
      </c>
      <c r="E350" s="1259" t="s">
        <v>3485</v>
      </c>
      <c r="F350" s="1259"/>
      <c r="G350" s="1272">
        <v>1600</v>
      </c>
      <c r="H350" s="1273">
        <v>2</v>
      </c>
      <c r="I350" s="1274">
        <f>H350*G350</f>
        <v>3200</v>
      </c>
      <c r="J350" s="1258"/>
    </row>
    <row r="351" spans="1:10" s="1288" customFormat="1">
      <c r="A351" s="1268">
        <v>3</v>
      </c>
      <c r="B351" s="1269" t="s">
        <v>3544</v>
      </c>
      <c r="C351" s="1260" t="s">
        <v>3457</v>
      </c>
      <c r="D351" s="1270" t="s">
        <v>3458</v>
      </c>
      <c r="E351" s="1259" t="s">
        <v>3486</v>
      </c>
      <c r="F351" s="1259"/>
      <c r="G351" s="1272">
        <v>700</v>
      </c>
      <c r="H351" s="1273">
        <v>1</v>
      </c>
      <c r="I351" s="1274">
        <f>H351*G351</f>
        <v>700</v>
      </c>
      <c r="J351" s="1258"/>
    </row>
    <row r="352" spans="1:10" s="1288" customFormat="1">
      <c r="A352" s="1268">
        <v>3</v>
      </c>
      <c r="B352" s="1269" t="s">
        <v>3544</v>
      </c>
      <c r="C352" s="1260" t="s">
        <v>3457</v>
      </c>
      <c r="D352" s="1259" t="s">
        <v>3468</v>
      </c>
      <c r="E352" s="1259" t="s">
        <v>3468</v>
      </c>
      <c r="F352" s="1259"/>
      <c r="G352" s="1272">
        <v>13000</v>
      </c>
      <c r="H352" s="1273">
        <v>1</v>
      </c>
      <c r="I352" s="1274">
        <f t="shared" si="39"/>
        <v>13000</v>
      </c>
      <c r="J352" s="1258"/>
    </row>
    <row r="353" spans="1:10" s="1288" customFormat="1">
      <c r="A353" s="1268">
        <v>3</v>
      </c>
      <c r="B353" s="1269" t="s">
        <v>3544</v>
      </c>
      <c r="C353" s="1260" t="s">
        <v>3457</v>
      </c>
      <c r="D353" s="1259" t="s">
        <v>3469</v>
      </c>
      <c r="E353" s="1259" t="s">
        <v>3469</v>
      </c>
      <c r="F353" s="1276" t="s">
        <v>3470</v>
      </c>
      <c r="G353" s="1277">
        <v>9000</v>
      </c>
      <c r="H353" s="1273">
        <v>1</v>
      </c>
      <c r="I353" s="1274">
        <f t="shared" si="39"/>
        <v>9000</v>
      </c>
      <c r="J353" s="1258"/>
    </row>
    <row r="354" spans="1:10" s="1288" customFormat="1">
      <c r="A354" s="1268">
        <v>3</v>
      </c>
      <c r="B354" s="1269" t="s">
        <v>3544</v>
      </c>
      <c r="C354" s="1260" t="s">
        <v>3457</v>
      </c>
      <c r="D354" s="1278" t="s">
        <v>3471</v>
      </c>
      <c r="E354" s="1278" t="s">
        <v>3472</v>
      </c>
      <c r="F354" s="1278" t="s">
        <v>3473</v>
      </c>
      <c r="G354" s="1272">
        <v>5000</v>
      </c>
      <c r="H354" s="1273">
        <v>2</v>
      </c>
      <c r="I354" s="1274">
        <f t="shared" si="39"/>
        <v>10000</v>
      </c>
      <c r="J354" s="1258"/>
    </row>
    <row r="355" spans="1:10" s="1288" customFormat="1">
      <c r="A355" s="1268">
        <v>3</v>
      </c>
      <c r="B355" s="1269" t="s">
        <v>3544</v>
      </c>
      <c r="C355" s="1260" t="s">
        <v>3457</v>
      </c>
      <c r="D355" s="1259" t="s">
        <v>3474</v>
      </c>
      <c r="E355" s="1278" t="s">
        <v>3475</v>
      </c>
      <c r="F355" s="1259"/>
      <c r="G355" s="1272">
        <v>7300</v>
      </c>
      <c r="H355" s="1273">
        <v>1</v>
      </c>
      <c r="I355" s="1274">
        <f>H355*G355</f>
        <v>7300</v>
      </c>
      <c r="J355" s="1258"/>
    </row>
    <row r="356" spans="1:10" s="1288" customFormat="1">
      <c r="A356" s="1268">
        <v>3</v>
      </c>
      <c r="B356" s="1269" t="s">
        <v>3544</v>
      </c>
      <c r="C356" s="1260" t="s">
        <v>3457</v>
      </c>
      <c r="D356" s="1259" t="s">
        <v>3476</v>
      </c>
      <c r="E356" s="1259" t="s">
        <v>3477</v>
      </c>
      <c r="F356" s="1259"/>
      <c r="G356" s="1272">
        <v>12000</v>
      </c>
      <c r="H356" s="1273">
        <v>1</v>
      </c>
      <c r="I356" s="1274">
        <f>H356*G356</f>
        <v>12000</v>
      </c>
      <c r="J356" s="1258"/>
    </row>
    <row r="357" spans="1:10" s="1288" customFormat="1" ht="23.25">
      <c r="A357" s="1268">
        <v>3</v>
      </c>
      <c r="B357" s="1269" t="s">
        <v>3544</v>
      </c>
      <c r="C357" s="1260" t="s">
        <v>3457</v>
      </c>
      <c r="D357" s="1263" t="s">
        <v>3452</v>
      </c>
      <c r="E357" s="1259" t="s">
        <v>3478</v>
      </c>
      <c r="F357" s="1259"/>
      <c r="G357" s="1277">
        <v>15000</v>
      </c>
      <c r="H357" s="1273">
        <v>1</v>
      </c>
      <c r="I357" s="1274">
        <f>H357*G357</f>
        <v>15000</v>
      </c>
      <c r="J357" s="1258"/>
    </row>
    <row r="358" spans="1:10" s="1288" customFormat="1">
      <c r="A358" s="1268">
        <v>3</v>
      </c>
      <c r="B358" s="1269" t="s">
        <v>3544</v>
      </c>
      <c r="C358" s="1260" t="s">
        <v>3457</v>
      </c>
      <c r="D358" s="1259" t="s">
        <v>3479</v>
      </c>
      <c r="E358" s="1259" t="s">
        <v>3479</v>
      </c>
      <c r="F358" s="1259"/>
      <c r="G358" s="1277">
        <v>1200</v>
      </c>
      <c r="H358" s="1273">
        <v>1</v>
      </c>
      <c r="I358" s="1274">
        <f>H358*G358</f>
        <v>1200</v>
      </c>
      <c r="J358" s="1258"/>
    </row>
    <row r="359" spans="1:10" s="1288" customFormat="1">
      <c r="A359" s="1268">
        <v>3</v>
      </c>
      <c r="B359" s="1269" t="s">
        <v>3544</v>
      </c>
      <c r="C359" s="1260" t="s">
        <v>3457</v>
      </c>
      <c r="D359" s="1259" t="s">
        <v>3480</v>
      </c>
      <c r="E359" s="1259" t="s">
        <v>3480</v>
      </c>
      <c r="F359" s="1259"/>
      <c r="G359" s="1277">
        <v>1400</v>
      </c>
      <c r="H359" s="1273">
        <v>1</v>
      </c>
      <c r="I359" s="1274">
        <f>H359*G359</f>
        <v>1400</v>
      </c>
      <c r="J359" s="1258"/>
    </row>
    <row r="360" spans="1:10" s="1288" customFormat="1">
      <c r="A360" s="1268"/>
      <c r="B360" s="1279" t="s">
        <v>3481</v>
      </c>
      <c r="C360" s="1279"/>
      <c r="D360" s="1279"/>
      <c r="E360" s="1269"/>
      <c r="F360" s="1269"/>
      <c r="G360" s="1280"/>
      <c r="H360" s="1280"/>
      <c r="I360" s="1281">
        <f>SUM(I344:I359)</f>
        <v>99800</v>
      </c>
      <c r="J360" s="1258"/>
    </row>
    <row r="361" spans="1:10" s="1288" customFormat="1">
      <c r="A361" s="1268"/>
      <c r="B361" s="1279" t="s">
        <v>3557</v>
      </c>
      <c r="C361" s="1279"/>
      <c r="D361" s="1279"/>
      <c r="E361" s="1269"/>
      <c r="F361" s="1269"/>
      <c r="G361" s="1280"/>
      <c r="H361" s="1280"/>
      <c r="I361" s="1281">
        <f>SUM(I360,I343,I337)</f>
        <v>508000</v>
      </c>
      <c r="J361" s="1258"/>
    </row>
    <row r="362" spans="1:10">
      <c r="A362" s="1258">
        <v>1</v>
      </c>
      <c r="B362" s="1261" t="s">
        <v>3545</v>
      </c>
      <c r="C362" s="1260" t="s">
        <v>3457</v>
      </c>
      <c r="D362" s="1261" t="s">
        <v>3458</v>
      </c>
      <c r="E362" s="1261" t="s">
        <v>3449</v>
      </c>
      <c r="F362" s="1258"/>
      <c r="G362" s="1262">
        <v>400</v>
      </c>
      <c r="H362" s="1258">
        <v>80</v>
      </c>
      <c r="I362" s="1262">
        <f>G362*H362</f>
        <v>32000</v>
      </c>
      <c r="J362" s="1258"/>
    </row>
    <row r="363" spans="1:10">
      <c r="A363" s="1258">
        <v>1</v>
      </c>
      <c r="B363" s="1261" t="s">
        <v>3545</v>
      </c>
      <c r="C363" s="1260" t="s">
        <v>3457</v>
      </c>
      <c r="D363" s="1261" t="s">
        <v>3458</v>
      </c>
      <c r="E363" s="1259" t="s">
        <v>3450</v>
      </c>
      <c r="F363" s="1258"/>
      <c r="G363" s="1262">
        <v>2000</v>
      </c>
      <c r="H363" s="1258">
        <v>2</v>
      </c>
      <c r="I363" s="1262">
        <f t="shared" ref="I363:I369" si="40">G363*H363</f>
        <v>4000</v>
      </c>
      <c r="J363" s="1258"/>
    </row>
    <row r="364" spans="1:10" s="1264" customFormat="1">
      <c r="A364" s="1258">
        <v>1</v>
      </c>
      <c r="B364" s="1261" t="s">
        <v>3545</v>
      </c>
      <c r="C364" s="1260" t="s">
        <v>3457</v>
      </c>
      <c r="D364" s="1261" t="s">
        <v>3458</v>
      </c>
      <c r="E364" s="1259" t="s">
        <v>3451</v>
      </c>
      <c r="F364" s="1258"/>
      <c r="G364" s="1262">
        <v>3500</v>
      </c>
      <c r="H364" s="1258">
        <v>2</v>
      </c>
      <c r="I364" s="1262">
        <f t="shared" si="40"/>
        <v>7000</v>
      </c>
      <c r="J364" s="1258"/>
    </row>
    <row r="365" spans="1:10">
      <c r="A365" s="1258">
        <v>1</v>
      </c>
      <c r="B365" s="1261" t="s">
        <v>3545</v>
      </c>
      <c r="C365" s="1260" t="s">
        <v>3457</v>
      </c>
      <c r="D365" s="1261" t="s">
        <v>3458</v>
      </c>
      <c r="E365" s="1259" t="s">
        <v>3512</v>
      </c>
      <c r="F365" s="1258"/>
      <c r="G365" s="1262">
        <v>1100</v>
      </c>
      <c r="H365" s="1258">
        <v>2</v>
      </c>
      <c r="I365" s="1262">
        <f t="shared" si="40"/>
        <v>2200</v>
      </c>
      <c r="J365" s="1258"/>
    </row>
    <row r="366" spans="1:10">
      <c r="A366" s="1258">
        <v>1</v>
      </c>
      <c r="B366" s="1261" t="s">
        <v>3545</v>
      </c>
      <c r="C366" s="1260" t="s">
        <v>3457</v>
      </c>
      <c r="D366" s="1261" t="s">
        <v>3458</v>
      </c>
      <c r="E366" s="1259" t="s">
        <v>3513</v>
      </c>
      <c r="F366" s="1258"/>
      <c r="G366" s="1262">
        <v>1600</v>
      </c>
      <c r="H366" s="1258">
        <v>6</v>
      </c>
      <c r="I366" s="1262">
        <f t="shared" si="40"/>
        <v>9600</v>
      </c>
      <c r="J366" s="1258"/>
    </row>
    <row r="367" spans="1:10">
      <c r="A367" s="1258">
        <v>1</v>
      </c>
      <c r="B367" s="1261" t="s">
        <v>3545</v>
      </c>
      <c r="C367" s="1260" t="s">
        <v>3457</v>
      </c>
      <c r="D367" s="1261" t="s">
        <v>3458</v>
      </c>
      <c r="E367" s="1259" t="s">
        <v>3514</v>
      </c>
      <c r="F367" s="1258"/>
      <c r="G367" s="1262">
        <v>700</v>
      </c>
      <c r="H367" s="1258">
        <v>3</v>
      </c>
      <c r="I367" s="1262">
        <f t="shared" si="40"/>
        <v>2100</v>
      </c>
      <c r="J367" s="1258"/>
    </row>
    <row r="368" spans="1:10" ht="34.5">
      <c r="A368" s="1258">
        <v>1</v>
      </c>
      <c r="B368" s="1261" t="s">
        <v>3545</v>
      </c>
      <c r="C368" s="1260" t="s">
        <v>3457</v>
      </c>
      <c r="D368" s="1263" t="s">
        <v>3452</v>
      </c>
      <c r="E368" s="1259" t="s">
        <v>3453</v>
      </c>
      <c r="F368" s="1258"/>
      <c r="G368" s="1262">
        <v>22000</v>
      </c>
      <c r="H368" s="1258">
        <v>2</v>
      </c>
      <c r="I368" s="1262">
        <f t="shared" si="40"/>
        <v>44000</v>
      </c>
      <c r="J368" s="1258"/>
    </row>
    <row r="369" spans="1:10">
      <c r="A369" s="1258">
        <v>1</v>
      </c>
      <c r="B369" s="1261" t="s">
        <v>3545</v>
      </c>
      <c r="C369" s="1260" t="s">
        <v>3457</v>
      </c>
      <c r="D369" s="1261" t="s">
        <v>3454</v>
      </c>
      <c r="E369" s="1259" t="s">
        <v>3454</v>
      </c>
      <c r="F369" s="1258"/>
      <c r="G369" s="1262">
        <v>5000</v>
      </c>
      <c r="H369" s="1258">
        <v>6</v>
      </c>
      <c r="I369" s="1262">
        <f t="shared" si="40"/>
        <v>30000</v>
      </c>
      <c r="J369" s="1258"/>
    </row>
    <row r="370" spans="1:10">
      <c r="A370" s="1258"/>
      <c r="B370" s="1286" t="s">
        <v>3515</v>
      </c>
      <c r="C370" s="1260"/>
      <c r="D370" s="1287"/>
      <c r="E370" s="1259"/>
      <c r="F370" s="1258"/>
      <c r="G370" s="1262"/>
      <c r="H370" s="1285"/>
      <c r="I370" s="1267">
        <f>SUM(I362:I369)</f>
        <v>130900</v>
      </c>
      <c r="J370" s="1258"/>
    </row>
    <row r="371" spans="1:10" s="1288" customFormat="1">
      <c r="A371" s="1268">
        <v>2</v>
      </c>
      <c r="B371" s="1269" t="s">
        <v>3546</v>
      </c>
      <c r="C371" s="1260" t="s">
        <v>3457</v>
      </c>
      <c r="D371" s="1270" t="s">
        <v>3458</v>
      </c>
      <c r="E371" s="1259" t="s">
        <v>3459</v>
      </c>
      <c r="F371" s="1271" t="s">
        <v>3460</v>
      </c>
      <c r="G371" s="1272">
        <v>650</v>
      </c>
      <c r="H371" s="1273">
        <v>5</v>
      </c>
      <c r="I371" s="1274">
        <f>H371*G371</f>
        <v>3250</v>
      </c>
      <c r="J371" s="1284"/>
    </row>
    <row r="372" spans="1:10" s="1288" customFormat="1">
      <c r="A372" s="1268">
        <v>2</v>
      </c>
      <c r="B372" s="1269" t="s">
        <v>3546</v>
      </c>
      <c r="C372" s="1260" t="s">
        <v>3457</v>
      </c>
      <c r="D372" s="1270" t="s">
        <v>3458</v>
      </c>
      <c r="E372" s="1259" t="s">
        <v>3461</v>
      </c>
      <c r="F372" s="1271" t="s">
        <v>3460</v>
      </c>
      <c r="G372" s="1272">
        <v>650</v>
      </c>
      <c r="H372" s="1273">
        <v>5</v>
      </c>
      <c r="I372" s="1274">
        <f>H372*G372</f>
        <v>3250</v>
      </c>
      <c r="J372" s="1284"/>
    </row>
    <row r="373" spans="1:10" s="1288" customFormat="1" ht="22.5">
      <c r="A373" s="1268">
        <v>2</v>
      </c>
      <c r="B373" s="1269" t="s">
        <v>3546</v>
      </c>
      <c r="C373" s="1260" t="s">
        <v>3457</v>
      </c>
      <c r="D373" s="1270" t="s">
        <v>3458</v>
      </c>
      <c r="E373" s="1259" t="s">
        <v>3462</v>
      </c>
      <c r="F373" s="1259" t="s">
        <v>3463</v>
      </c>
      <c r="G373" s="1272">
        <v>380</v>
      </c>
      <c r="H373" s="1273">
        <v>30</v>
      </c>
      <c r="I373" s="1274">
        <f>H373*G373</f>
        <v>11400</v>
      </c>
      <c r="J373" s="1284"/>
    </row>
    <row r="374" spans="1:10" s="1288" customFormat="1">
      <c r="A374" s="1268">
        <v>2</v>
      </c>
      <c r="B374" s="1269" t="s">
        <v>3546</v>
      </c>
      <c r="C374" s="1260" t="s">
        <v>3457</v>
      </c>
      <c r="D374" s="1270" t="s">
        <v>3458</v>
      </c>
      <c r="E374" s="1259" t="s">
        <v>3483</v>
      </c>
      <c r="F374" s="1259" t="s">
        <v>3484</v>
      </c>
      <c r="G374" s="1277">
        <v>2400</v>
      </c>
      <c r="H374" s="1273">
        <v>1</v>
      </c>
      <c r="I374" s="1274">
        <f t="shared" ref="I374:I382" si="41">H374*G374</f>
        <v>2400</v>
      </c>
      <c r="J374" s="1284"/>
    </row>
    <row r="375" spans="1:10" s="1288" customFormat="1" ht="45">
      <c r="A375" s="1268">
        <v>2</v>
      </c>
      <c r="B375" s="1269" t="s">
        <v>3546</v>
      </c>
      <c r="C375" s="1260" t="s">
        <v>3457</v>
      </c>
      <c r="D375" s="1270" t="s">
        <v>3458</v>
      </c>
      <c r="E375" s="1259" t="s">
        <v>3464</v>
      </c>
      <c r="F375" s="1259" t="s">
        <v>3465</v>
      </c>
      <c r="G375" s="1272">
        <v>700</v>
      </c>
      <c r="H375" s="1273">
        <v>1</v>
      </c>
      <c r="I375" s="1274">
        <f t="shared" si="41"/>
        <v>700</v>
      </c>
      <c r="J375" s="1284"/>
    </row>
    <row r="376" spans="1:10" s="1288" customFormat="1" ht="45">
      <c r="A376" s="1268">
        <v>2</v>
      </c>
      <c r="B376" s="1269" t="s">
        <v>3546</v>
      </c>
      <c r="C376" s="1260" t="s">
        <v>3457</v>
      </c>
      <c r="D376" s="1270" t="s">
        <v>3458</v>
      </c>
      <c r="E376" s="1259" t="s">
        <v>3466</v>
      </c>
      <c r="F376" s="1259" t="s">
        <v>3467</v>
      </c>
      <c r="G376" s="1272">
        <v>6000</v>
      </c>
      <c r="H376" s="1273">
        <v>1</v>
      </c>
      <c r="I376" s="1274">
        <f t="shared" si="41"/>
        <v>6000</v>
      </c>
      <c r="J376" s="1284"/>
    </row>
    <row r="377" spans="1:10" s="1288" customFormat="1">
      <c r="A377" s="1268">
        <v>2</v>
      </c>
      <c r="B377" s="1269" t="s">
        <v>3546</v>
      </c>
      <c r="C377" s="1260" t="s">
        <v>3457</v>
      </c>
      <c r="D377" s="1270" t="s">
        <v>3458</v>
      </c>
      <c r="E377" s="1259" t="s">
        <v>3485</v>
      </c>
      <c r="F377" s="1259"/>
      <c r="G377" s="1272">
        <v>1600</v>
      </c>
      <c r="H377" s="1273">
        <v>2</v>
      </c>
      <c r="I377" s="1274">
        <f>G377*H377</f>
        <v>3200</v>
      </c>
      <c r="J377" s="1284"/>
    </row>
    <row r="378" spans="1:10" s="1288" customFormat="1">
      <c r="A378" s="1268">
        <v>2</v>
      </c>
      <c r="B378" s="1269" t="s">
        <v>3546</v>
      </c>
      <c r="C378" s="1260" t="s">
        <v>3457</v>
      </c>
      <c r="D378" s="1270" t="s">
        <v>3458</v>
      </c>
      <c r="E378" s="1259" t="s">
        <v>3486</v>
      </c>
      <c r="F378" s="1259"/>
      <c r="G378" s="1272">
        <v>700</v>
      </c>
      <c r="H378" s="1273">
        <v>1</v>
      </c>
      <c r="I378" s="1274">
        <f>G378*H378</f>
        <v>700</v>
      </c>
      <c r="J378" s="1284"/>
    </row>
    <row r="379" spans="1:10" s="1288" customFormat="1">
      <c r="A379" s="1268">
        <v>2</v>
      </c>
      <c r="B379" s="1269" t="s">
        <v>3546</v>
      </c>
      <c r="C379" s="1260" t="s">
        <v>3457</v>
      </c>
      <c r="D379" s="1259" t="s">
        <v>3468</v>
      </c>
      <c r="E379" s="1259" t="s">
        <v>3468</v>
      </c>
      <c r="F379" s="1259"/>
      <c r="G379" s="1272">
        <v>13000</v>
      </c>
      <c r="H379" s="1273">
        <v>4</v>
      </c>
      <c r="I379" s="1274">
        <f t="shared" si="41"/>
        <v>52000</v>
      </c>
      <c r="J379" s="1284"/>
    </row>
    <row r="380" spans="1:10" s="1288" customFormat="1">
      <c r="A380" s="1268">
        <v>2</v>
      </c>
      <c r="B380" s="1269" t="s">
        <v>3546</v>
      </c>
      <c r="C380" s="1260" t="s">
        <v>3457</v>
      </c>
      <c r="D380" s="1259" t="s">
        <v>3469</v>
      </c>
      <c r="E380" s="1259" t="s">
        <v>3469</v>
      </c>
      <c r="F380" s="1276" t="s">
        <v>3470</v>
      </c>
      <c r="G380" s="1277">
        <v>9000</v>
      </c>
      <c r="H380" s="1273">
        <v>4</v>
      </c>
      <c r="I380" s="1274">
        <f t="shared" si="41"/>
        <v>36000</v>
      </c>
      <c r="J380" s="1284"/>
    </row>
    <row r="381" spans="1:10" s="1288" customFormat="1">
      <c r="A381" s="1268">
        <v>2</v>
      </c>
      <c r="B381" s="1269" t="s">
        <v>3546</v>
      </c>
      <c r="C381" s="1260" t="s">
        <v>3457</v>
      </c>
      <c r="D381" s="1278" t="s">
        <v>3471</v>
      </c>
      <c r="E381" s="1278" t="s">
        <v>3472</v>
      </c>
      <c r="F381" s="1278" t="s">
        <v>3473</v>
      </c>
      <c r="G381" s="1272">
        <v>5000</v>
      </c>
      <c r="H381" s="1273">
        <v>1</v>
      </c>
      <c r="I381" s="1274">
        <f t="shared" si="41"/>
        <v>5000</v>
      </c>
      <c r="J381" s="1284"/>
    </row>
    <row r="382" spans="1:10" s="1288" customFormat="1">
      <c r="A382" s="1268">
        <v>2</v>
      </c>
      <c r="B382" s="1269" t="s">
        <v>3546</v>
      </c>
      <c r="C382" s="1260" t="s">
        <v>3457</v>
      </c>
      <c r="D382" s="1278" t="s">
        <v>3487</v>
      </c>
      <c r="E382" s="1278" t="s">
        <v>3487</v>
      </c>
      <c r="F382" s="1259"/>
      <c r="G382" s="1272">
        <v>5000</v>
      </c>
      <c r="H382" s="1273">
        <v>7</v>
      </c>
      <c r="I382" s="1274">
        <f t="shared" si="41"/>
        <v>35000</v>
      </c>
      <c r="J382" s="1284"/>
    </row>
    <row r="383" spans="1:10" s="1288" customFormat="1">
      <c r="A383" s="1268">
        <v>2</v>
      </c>
      <c r="B383" s="1269" t="s">
        <v>3546</v>
      </c>
      <c r="C383" s="1260" t="s">
        <v>3457</v>
      </c>
      <c r="D383" s="1259" t="s">
        <v>3474</v>
      </c>
      <c r="E383" s="1278" t="s">
        <v>3475</v>
      </c>
      <c r="F383" s="1259"/>
      <c r="G383" s="1272">
        <v>7300</v>
      </c>
      <c r="H383" s="1273">
        <v>4</v>
      </c>
      <c r="I383" s="1274">
        <f>H383*G383</f>
        <v>29200</v>
      </c>
      <c r="J383" s="1284"/>
    </row>
    <row r="384" spans="1:10" s="1288" customFormat="1">
      <c r="A384" s="1268">
        <v>2</v>
      </c>
      <c r="B384" s="1269" t="s">
        <v>3546</v>
      </c>
      <c r="C384" s="1260" t="s">
        <v>3457</v>
      </c>
      <c r="D384" s="1259" t="s">
        <v>3476</v>
      </c>
      <c r="E384" s="1259" t="s">
        <v>3477</v>
      </c>
      <c r="F384" s="1259"/>
      <c r="G384" s="1272">
        <v>12000</v>
      </c>
      <c r="H384" s="1273">
        <v>4</v>
      </c>
      <c r="I384" s="1274">
        <f>H384*G384</f>
        <v>48000</v>
      </c>
      <c r="J384" s="1284"/>
    </row>
    <row r="385" spans="1:10" s="1288" customFormat="1" ht="23.25">
      <c r="A385" s="1268">
        <v>2</v>
      </c>
      <c r="B385" s="1269" t="s">
        <v>3546</v>
      </c>
      <c r="C385" s="1260" t="s">
        <v>3457</v>
      </c>
      <c r="D385" s="1263" t="s">
        <v>3452</v>
      </c>
      <c r="E385" s="1259" t="s">
        <v>3478</v>
      </c>
      <c r="F385" s="1259"/>
      <c r="G385" s="1277">
        <v>15000</v>
      </c>
      <c r="H385" s="1273">
        <v>4</v>
      </c>
      <c r="I385" s="1274">
        <f>H385*G385</f>
        <v>60000</v>
      </c>
      <c r="J385" s="1284"/>
    </row>
    <row r="386" spans="1:10" s="1288" customFormat="1">
      <c r="A386" s="1268">
        <v>2</v>
      </c>
      <c r="B386" s="1269" t="s">
        <v>3546</v>
      </c>
      <c r="C386" s="1260" t="s">
        <v>3457</v>
      </c>
      <c r="D386" s="1259" t="s">
        <v>3479</v>
      </c>
      <c r="E386" s="1259" t="s">
        <v>3479</v>
      </c>
      <c r="F386" s="1259"/>
      <c r="G386" s="1277">
        <v>1200</v>
      </c>
      <c r="H386" s="1273">
        <v>4</v>
      </c>
      <c r="I386" s="1274">
        <f>H386*G386</f>
        <v>4800</v>
      </c>
      <c r="J386" s="1284"/>
    </row>
    <row r="387" spans="1:10" s="1288" customFormat="1">
      <c r="A387" s="1268">
        <v>2</v>
      </c>
      <c r="B387" s="1269" t="s">
        <v>3546</v>
      </c>
      <c r="C387" s="1260" t="s">
        <v>3457</v>
      </c>
      <c r="D387" s="1259" t="s">
        <v>3480</v>
      </c>
      <c r="E387" s="1259" t="s">
        <v>3480</v>
      </c>
      <c r="F387" s="1259"/>
      <c r="G387" s="1277">
        <v>1400</v>
      </c>
      <c r="H387" s="1273">
        <v>4</v>
      </c>
      <c r="I387" s="1274">
        <f>H387*G387</f>
        <v>5600</v>
      </c>
      <c r="J387" s="1284"/>
    </row>
    <row r="388" spans="1:10" s="1288" customFormat="1">
      <c r="A388" s="1268"/>
      <c r="B388" s="1279" t="s">
        <v>3481</v>
      </c>
      <c r="C388" s="1260"/>
      <c r="D388" s="1279"/>
      <c r="E388" s="1269"/>
      <c r="F388" s="1269"/>
      <c r="G388" s="1280"/>
      <c r="H388" s="1280"/>
      <c r="I388" s="1281">
        <f>SUM(I371:I387)</f>
        <v>306500</v>
      </c>
      <c r="J388" s="1284"/>
    </row>
    <row r="389" spans="1:10" s="1288" customFormat="1">
      <c r="A389" s="1268">
        <v>3</v>
      </c>
      <c r="B389" s="1269" t="s">
        <v>3547</v>
      </c>
      <c r="C389" s="1260" t="s">
        <v>3457</v>
      </c>
      <c r="D389" s="1270" t="s">
        <v>3458</v>
      </c>
      <c r="E389" s="1259" t="s">
        <v>3459</v>
      </c>
      <c r="F389" s="1271" t="s">
        <v>3460</v>
      </c>
      <c r="G389" s="1272">
        <v>650</v>
      </c>
      <c r="H389" s="1273">
        <v>30</v>
      </c>
      <c r="I389" s="1274">
        <f>H389*G389</f>
        <v>19500</v>
      </c>
      <c r="J389" s="1284"/>
    </row>
    <row r="390" spans="1:10" s="1288" customFormat="1">
      <c r="A390" s="1268">
        <v>3</v>
      </c>
      <c r="B390" s="1269" t="s">
        <v>3547</v>
      </c>
      <c r="C390" s="1260" t="s">
        <v>3457</v>
      </c>
      <c r="D390" s="1270" t="s">
        <v>3458</v>
      </c>
      <c r="E390" s="1259" t="s">
        <v>3461</v>
      </c>
      <c r="F390" s="1271" t="s">
        <v>3460</v>
      </c>
      <c r="G390" s="1272">
        <v>650</v>
      </c>
      <c r="H390" s="1273">
        <v>30</v>
      </c>
      <c r="I390" s="1274">
        <f>H390*G390</f>
        <v>19500</v>
      </c>
      <c r="J390" s="1284"/>
    </row>
    <row r="391" spans="1:10" s="1288" customFormat="1" ht="22.5">
      <c r="A391" s="1268">
        <v>3</v>
      </c>
      <c r="B391" s="1269" t="s">
        <v>3547</v>
      </c>
      <c r="C391" s="1260" t="s">
        <v>3457</v>
      </c>
      <c r="D391" s="1270" t="s">
        <v>3458</v>
      </c>
      <c r="E391" s="1259" t="s">
        <v>3462</v>
      </c>
      <c r="F391" s="1259" t="s">
        <v>3463</v>
      </c>
      <c r="G391" s="1272">
        <v>380</v>
      </c>
      <c r="H391" s="1273">
        <v>180</v>
      </c>
      <c r="I391" s="1274">
        <f>H391*G391</f>
        <v>68400</v>
      </c>
      <c r="J391" s="1284"/>
    </row>
    <row r="392" spans="1:10" s="1288" customFormat="1">
      <c r="A392" s="1268">
        <v>3</v>
      </c>
      <c r="B392" s="1269" t="s">
        <v>3547</v>
      </c>
      <c r="C392" s="1260" t="s">
        <v>3457</v>
      </c>
      <c r="D392" s="1270" t="s">
        <v>3458</v>
      </c>
      <c r="E392" s="1259" t="s">
        <v>3483</v>
      </c>
      <c r="F392" s="1259" t="s">
        <v>3484</v>
      </c>
      <c r="G392" s="1277">
        <v>2400</v>
      </c>
      <c r="H392" s="1273">
        <v>6</v>
      </c>
      <c r="I392" s="1274">
        <f t="shared" ref="I392:I399" si="42">H392*G392</f>
        <v>14400</v>
      </c>
      <c r="J392" s="1284"/>
    </row>
    <row r="393" spans="1:10" s="1288" customFormat="1" ht="45">
      <c r="A393" s="1268">
        <v>3</v>
      </c>
      <c r="B393" s="1269" t="s">
        <v>3547</v>
      </c>
      <c r="C393" s="1260" t="s">
        <v>3457</v>
      </c>
      <c r="D393" s="1270" t="s">
        <v>3458</v>
      </c>
      <c r="E393" s="1259" t="s">
        <v>3464</v>
      </c>
      <c r="F393" s="1259" t="s">
        <v>3465</v>
      </c>
      <c r="G393" s="1272">
        <v>700</v>
      </c>
      <c r="H393" s="1273">
        <v>6</v>
      </c>
      <c r="I393" s="1274">
        <f t="shared" si="42"/>
        <v>4200</v>
      </c>
      <c r="J393" s="1284"/>
    </row>
    <row r="394" spans="1:10" s="1288" customFormat="1" ht="45">
      <c r="A394" s="1268">
        <v>3</v>
      </c>
      <c r="B394" s="1269" t="s">
        <v>3547</v>
      </c>
      <c r="C394" s="1260" t="s">
        <v>3457</v>
      </c>
      <c r="D394" s="1270" t="s">
        <v>3458</v>
      </c>
      <c r="E394" s="1259" t="s">
        <v>3466</v>
      </c>
      <c r="F394" s="1259" t="s">
        <v>3467</v>
      </c>
      <c r="G394" s="1272">
        <v>6000</v>
      </c>
      <c r="H394" s="1273">
        <v>6</v>
      </c>
      <c r="I394" s="1274">
        <f t="shared" si="42"/>
        <v>36000</v>
      </c>
      <c r="J394" s="1284"/>
    </row>
    <row r="395" spans="1:10" s="1288" customFormat="1">
      <c r="A395" s="1268">
        <v>3</v>
      </c>
      <c r="B395" s="1269" t="s">
        <v>3547</v>
      </c>
      <c r="C395" s="1260" t="s">
        <v>3457</v>
      </c>
      <c r="D395" s="1270" t="s">
        <v>3458</v>
      </c>
      <c r="E395" s="1259" t="s">
        <v>3485</v>
      </c>
      <c r="F395" s="1259"/>
      <c r="G395" s="1272">
        <v>1600</v>
      </c>
      <c r="H395" s="1273">
        <v>12</v>
      </c>
      <c r="I395" s="1274">
        <f t="shared" ref="I395:I396" si="43">G395*H395</f>
        <v>19200</v>
      </c>
      <c r="J395" s="1284"/>
    </row>
    <row r="396" spans="1:10" s="1288" customFormat="1">
      <c r="A396" s="1268">
        <v>3</v>
      </c>
      <c r="B396" s="1269" t="s">
        <v>3547</v>
      </c>
      <c r="C396" s="1260" t="s">
        <v>3457</v>
      </c>
      <c r="D396" s="1270" t="s">
        <v>3458</v>
      </c>
      <c r="E396" s="1259" t="s">
        <v>3486</v>
      </c>
      <c r="F396" s="1259"/>
      <c r="G396" s="1272">
        <v>700</v>
      </c>
      <c r="H396" s="1273">
        <v>6</v>
      </c>
      <c r="I396" s="1274">
        <f t="shared" si="43"/>
        <v>4200</v>
      </c>
      <c r="J396" s="1284"/>
    </row>
    <row r="397" spans="1:10" s="1288" customFormat="1">
      <c r="A397" s="1268">
        <v>3</v>
      </c>
      <c r="B397" s="1269" t="s">
        <v>3547</v>
      </c>
      <c r="C397" s="1260" t="s">
        <v>3457</v>
      </c>
      <c r="D397" s="1259" t="s">
        <v>3468</v>
      </c>
      <c r="E397" s="1259" t="s">
        <v>3468</v>
      </c>
      <c r="F397" s="1259"/>
      <c r="G397" s="1272">
        <v>13000</v>
      </c>
      <c r="H397" s="1273">
        <v>6</v>
      </c>
      <c r="I397" s="1274">
        <f t="shared" si="42"/>
        <v>78000</v>
      </c>
      <c r="J397" s="1284"/>
    </row>
    <row r="398" spans="1:10" s="1288" customFormat="1">
      <c r="A398" s="1268">
        <v>3</v>
      </c>
      <c r="B398" s="1269" t="s">
        <v>3547</v>
      </c>
      <c r="C398" s="1260" t="s">
        <v>3457</v>
      </c>
      <c r="D398" s="1259" t="s">
        <v>3469</v>
      </c>
      <c r="E398" s="1259" t="s">
        <v>3469</v>
      </c>
      <c r="F398" s="1276" t="s">
        <v>3470</v>
      </c>
      <c r="G398" s="1277">
        <v>9000</v>
      </c>
      <c r="H398" s="1273">
        <v>6</v>
      </c>
      <c r="I398" s="1274">
        <f t="shared" si="42"/>
        <v>54000</v>
      </c>
      <c r="J398" s="1284"/>
    </row>
    <row r="399" spans="1:10" s="1288" customFormat="1">
      <c r="A399" s="1268">
        <v>3</v>
      </c>
      <c r="B399" s="1269" t="s">
        <v>3547</v>
      </c>
      <c r="C399" s="1260" t="s">
        <v>3457</v>
      </c>
      <c r="D399" s="1278" t="s">
        <v>3487</v>
      </c>
      <c r="E399" s="1278" t="s">
        <v>3487</v>
      </c>
      <c r="F399" s="1259"/>
      <c r="G399" s="1272">
        <v>5000</v>
      </c>
      <c r="H399" s="1273">
        <v>12</v>
      </c>
      <c r="I399" s="1274">
        <f t="shared" si="42"/>
        <v>60000</v>
      </c>
      <c r="J399" s="1284"/>
    </row>
    <row r="400" spans="1:10" s="1288" customFormat="1">
      <c r="A400" s="1268">
        <v>3</v>
      </c>
      <c r="B400" s="1269" t="s">
        <v>3547</v>
      </c>
      <c r="C400" s="1260" t="s">
        <v>3457</v>
      </c>
      <c r="D400" s="1259" t="s">
        <v>3474</v>
      </c>
      <c r="E400" s="1278" t="s">
        <v>3521</v>
      </c>
      <c r="F400" s="1259"/>
      <c r="G400" s="1272">
        <v>7300</v>
      </c>
      <c r="H400" s="1273">
        <v>6</v>
      </c>
      <c r="I400" s="1274">
        <f>H400*G400</f>
        <v>43800</v>
      </c>
      <c r="J400" s="1284"/>
    </row>
    <row r="401" spans="1:10" s="1288" customFormat="1">
      <c r="A401" s="1268">
        <v>3</v>
      </c>
      <c r="B401" s="1269" t="s">
        <v>3547</v>
      </c>
      <c r="C401" s="1260" t="s">
        <v>3457</v>
      </c>
      <c r="D401" s="1259" t="s">
        <v>3476</v>
      </c>
      <c r="E401" s="1259" t="s">
        <v>3477</v>
      </c>
      <c r="F401" s="1259"/>
      <c r="G401" s="1272">
        <v>12000</v>
      </c>
      <c r="H401" s="1273">
        <v>6</v>
      </c>
      <c r="I401" s="1274">
        <f>H401*G401</f>
        <v>72000</v>
      </c>
      <c r="J401" s="1284"/>
    </row>
    <row r="402" spans="1:10" s="1288" customFormat="1" ht="23.25">
      <c r="A402" s="1268">
        <v>3</v>
      </c>
      <c r="B402" s="1269" t="s">
        <v>3547</v>
      </c>
      <c r="C402" s="1260" t="s">
        <v>3457</v>
      </c>
      <c r="D402" s="1263" t="s">
        <v>3452</v>
      </c>
      <c r="E402" s="1259" t="s">
        <v>3478</v>
      </c>
      <c r="F402" s="1259"/>
      <c r="G402" s="1277">
        <v>15000</v>
      </c>
      <c r="H402" s="1273">
        <v>6</v>
      </c>
      <c r="I402" s="1274">
        <f>H402*G402</f>
        <v>90000</v>
      </c>
      <c r="J402" s="1284"/>
    </row>
    <row r="403" spans="1:10" s="1288" customFormat="1">
      <c r="A403" s="1268">
        <v>3</v>
      </c>
      <c r="B403" s="1269" t="s">
        <v>3547</v>
      </c>
      <c r="C403" s="1260" t="s">
        <v>3457</v>
      </c>
      <c r="D403" s="1259" t="s">
        <v>3479</v>
      </c>
      <c r="E403" s="1259" t="s">
        <v>3479</v>
      </c>
      <c r="F403" s="1259"/>
      <c r="G403" s="1277">
        <v>1200</v>
      </c>
      <c r="H403" s="1273">
        <v>6</v>
      </c>
      <c r="I403" s="1274">
        <f>H403*G403</f>
        <v>7200</v>
      </c>
      <c r="J403" s="1284"/>
    </row>
    <row r="404" spans="1:10" s="1288" customFormat="1">
      <c r="A404" s="1268">
        <v>3</v>
      </c>
      <c r="B404" s="1269" t="s">
        <v>3547</v>
      </c>
      <c r="C404" s="1260" t="s">
        <v>3457</v>
      </c>
      <c r="D404" s="1259" t="s">
        <v>3480</v>
      </c>
      <c r="E404" s="1259" t="s">
        <v>3480</v>
      </c>
      <c r="F404" s="1259"/>
      <c r="G404" s="1277">
        <v>1400</v>
      </c>
      <c r="H404" s="1273">
        <v>6</v>
      </c>
      <c r="I404" s="1274">
        <f>H404*G404</f>
        <v>8400</v>
      </c>
      <c r="J404" s="1284"/>
    </row>
    <row r="405" spans="1:10" s="1288" customFormat="1">
      <c r="A405" s="1268"/>
      <c r="B405" s="1279" t="s">
        <v>3481</v>
      </c>
      <c r="C405" s="1260"/>
      <c r="D405" s="1279"/>
      <c r="E405" s="1269"/>
      <c r="F405" s="1269"/>
      <c r="G405" s="1280"/>
      <c r="H405" s="1280"/>
      <c r="I405" s="1281">
        <f>SUM(I389:I404)</f>
        <v>598800</v>
      </c>
      <c r="J405" s="1284"/>
    </row>
    <row r="406" spans="1:10" s="1288" customFormat="1">
      <c r="A406" s="1268"/>
      <c r="B406" s="1279" t="s">
        <v>3558</v>
      </c>
      <c r="C406" s="1260"/>
      <c r="D406" s="1279"/>
      <c r="E406" s="1269"/>
      <c r="F406" s="1269"/>
      <c r="G406" s="1280"/>
      <c r="H406" s="1280"/>
      <c r="I406" s="1281">
        <f>SUM(I405,I388,I370)</f>
        <v>1036200</v>
      </c>
      <c r="J406" s="1284"/>
    </row>
    <row r="407" spans="1:10">
      <c r="A407" s="1258">
        <v>1</v>
      </c>
      <c r="B407" s="1259" t="s">
        <v>3548</v>
      </c>
      <c r="C407" s="1260" t="s">
        <v>3457</v>
      </c>
      <c r="D407" s="1261" t="s">
        <v>3458</v>
      </c>
      <c r="E407" s="1261" t="s">
        <v>3449</v>
      </c>
      <c r="F407" s="1258"/>
      <c r="G407" s="1262">
        <v>400</v>
      </c>
      <c r="H407" s="1258">
        <v>45</v>
      </c>
      <c r="I407" s="1262">
        <f>G407*H407</f>
        <v>18000</v>
      </c>
      <c r="J407" s="1258"/>
    </row>
    <row r="408" spans="1:10">
      <c r="A408" s="1258">
        <v>1</v>
      </c>
      <c r="B408" s="1259" t="s">
        <v>3548</v>
      </c>
      <c r="C408" s="1260" t="s">
        <v>3457</v>
      </c>
      <c r="D408" s="1261" t="s">
        <v>3458</v>
      </c>
      <c r="E408" s="1259" t="s">
        <v>3451</v>
      </c>
      <c r="F408" s="1258"/>
      <c r="G408" s="1262">
        <v>3500</v>
      </c>
      <c r="H408" s="1258">
        <v>1</v>
      </c>
      <c r="I408" s="1262">
        <f t="shared" ref="I408:I410" si="44">G408*H408</f>
        <v>3500</v>
      </c>
      <c r="J408" s="1258"/>
    </row>
    <row r="409" spans="1:10" ht="24">
      <c r="A409" s="1258">
        <v>1</v>
      </c>
      <c r="B409" s="1259" t="s">
        <v>3548</v>
      </c>
      <c r="C409" s="1260" t="s">
        <v>3457</v>
      </c>
      <c r="D409" s="1263" t="s">
        <v>3452</v>
      </c>
      <c r="E409" s="1259" t="s">
        <v>3507</v>
      </c>
      <c r="F409" s="1258"/>
      <c r="G409" s="1262">
        <v>27000</v>
      </c>
      <c r="H409" s="1258">
        <v>1</v>
      </c>
      <c r="I409" s="1262">
        <f t="shared" si="44"/>
        <v>27000</v>
      </c>
      <c r="J409" s="1258"/>
    </row>
    <row r="410" spans="1:10">
      <c r="A410" s="1258">
        <v>1</v>
      </c>
      <c r="B410" s="1259" t="s">
        <v>3548</v>
      </c>
      <c r="C410" s="1260" t="s">
        <v>3457</v>
      </c>
      <c r="D410" s="1261" t="s">
        <v>3454</v>
      </c>
      <c r="E410" s="1259" t="s">
        <v>3454</v>
      </c>
      <c r="F410" s="1258"/>
      <c r="G410" s="1262">
        <v>5000</v>
      </c>
      <c r="H410" s="1258">
        <v>4</v>
      </c>
      <c r="I410" s="1262">
        <f t="shared" si="44"/>
        <v>20000</v>
      </c>
      <c r="J410" s="1258"/>
    </row>
    <row r="411" spans="1:10">
      <c r="A411" s="1258"/>
      <c r="B411" s="1266" t="s">
        <v>3490</v>
      </c>
      <c r="C411" s="1261"/>
      <c r="D411" s="1259"/>
      <c r="E411" s="1258"/>
      <c r="F411" s="1258"/>
      <c r="G411" s="1262"/>
      <c r="H411" s="1258"/>
      <c r="I411" s="1267">
        <f>SUM(I407:I410)</f>
        <v>68500</v>
      </c>
      <c r="J411" s="1258"/>
    </row>
    <row r="412" spans="1:10">
      <c r="A412" s="1258"/>
      <c r="B412" s="1303" t="s">
        <v>3559</v>
      </c>
      <c r="C412" s="1261"/>
      <c r="D412" s="1259"/>
      <c r="E412" s="1258"/>
      <c r="F412" s="1258"/>
      <c r="G412" s="1262"/>
      <c r="H412" s="1258"/>
      <c r="I412" s="1267">
        <f>SUM(I411)</f>
        <v>68500</v>
      </c>
      <c r="J412" s="1258"/>
    </row>
    <row r="413" spans="1:10" s="1275" customFormat="1" ht="12.75">
      <c r="A413" s="1268">
        <v>1</v>
      </c>
      <c r="B413" s="1269" t="s">
        <v>3549</v>
      </c>
      <c r="C413" s="1260" t="s">
        <v>3457</v>
      </c>
      <c r="D413" s="1270" t="s">
        <v>3458</v>
      </c>
      <c r="E413" s="1259" t="s">
        <v>3459</v>
      </c>
      <c r="F413" s="1271" t="s">
        <v>3460</v>
      </c>
      <c r="G413" s="1272">
        <v>650</v>
      </c>
      <c r="H413" s="1273">
        <v>5</v>
      </c>
      <c r="I413" s="1274">
        <f>G413*H413</f>
        <v>3250</v>
      </c>
      <c r="J413" s="1258"/>
    </row>
    <row r="414" spans="1:10" s="1275" customFormat="1" ht="12.75">
      <c r="A414" s="1268">
        <v>1</v>
      </c>
      <c r="B414" s="1269" t="s">
        <v>3549</v>
      </c>
      <c r="C414" s="1260" t="s">
        <v>3457</v>
      </c>
      <c r="D414" s="1270" t="s">
        <v>3458</v>
      </c>
      <c r="E414" s="1259" t="s">
        <v>3461</v>
      </c>
      <c r="F414" s="1271" t="s">
        <v>3460</v>
      </c>
      <c r="G414" s="1272">
        <v>650</v>
      </c>
      <c r="H414" s="1273">
        <v>5</v>
      </c>
      <c r="I414" s="1274">
        <f t="shared" ref="I414:I428" si="45">G414*H414</f>
        <v>3250</v>
      </c>
      <c r="J414" s="1258"/>
    </row>
    <row r="415" spans="1:10" s="1275" customFormat="1" ht="22.5">
      <c r="A415" s="1268">
        <v>1</v>
      </c>
      <c r="B415" s="1269" t="s">
        <v>3549</v>
      </c>
      <c r="C415" s="1260" t="s">
        <v>3457</v>
      </c>
      <c r="D415" s="1270" t="s">
        <v>3458</v>
      </c>
      <c r="E415" s="1259" t="s">
        <v>3462</v>
      </c>
      <c r="F415" s="1259" t="s">
        <v>3463</v>
      </c>
      <c r="G415" s="1272">
        <v>380</v>
      </c>
      <c r="H415" s="1273">
        <v>30</v>
      </c>
      <c r="I415" s="1274">
        <f t="shared" si="45"/>
        <v>11400</v>
      </c>
      <c r="J415" s="1258"/>
    </row>
    <row r="416" spans="1:10" s="1275" customFormat="1" ht="12.75">
      <c r="A416" s="1268">
        <v>1</v>
      </c>
      <c r="B416" s="1269" t="s">
        <v>3549</v>
      </c>
      <c r="C416" s="1260" t="s">
        <v>3457</v>
      </c>
      <c r="D416" s="1270" t="s">
        <v>3458</v>
      </c>
      <c r="E416" s="1259" t="s">
        <v>3483</v>
      </c>
      <c r="F416" s="1259" t="s">
        <v>3484</v>
      </c>
      <c r="G416" s="1277">
        <v>2400</v>
      </c>
      <c r="H416" s="1273">
        <v>1</v>
      </c>
      <c r="I416" s="1274">
        <f t="shared" si="45"/>
        <v>2400</v>
      </c>
      <c r="J416" s="1258"/>
    </row>
    <row r="417" spans="1:10" s="1275" customFormat="1" ht="45">
      <c r="A417" s="1268">
        <v>1</v>
      </c>
      <c r="B417" s="1269" t="s">
        <v>3549</v>
      </c>
      <c r="C417" s="1260" t="s">
        <v>3457</v>
      </c>
      <c r="D417" s="1270" t="s">
        <v>3458</v>
      </c>
      <c r="E417" s="1259" t="s">
        <v>3464</v>
      </c>
      <c r="F417" s="1259" t="s">
        <v>3465</v>
      </c>
      <c r="G417" s="1272">
        <v>700</v>
      </c>
      <c r="H417" s="1273">
        <v>1</v>
      </c>
      <c r="I417" s="1274">
        <f t="shared" si="45"/>
        <v>700</v>
      </c>
      <c r="J417" s="1258"/>
    </row>
    <row r="418" spans="1:10" s="1275" customFormat="1" ht="45">
      <c r="A418" s="1268">
        <v>1</v>
      </c>
      <c r="B418" s="1269" t="s">
        <v>3549</v>
      </c>
      <c r="C418" s="1260" t="s">
        <v>3457</v>
      </c>
      <c r="D418" s="1270" t="s">
        <v>3458</v>
      </c>
      <c r="E418" s="1259" t="s">
        <v>3466</v>
      </c>
      <c r="F418" s="1259" t="s">
        <v>3467</v>
      </c>
      <c r="G418" s="1272">
        <v>6000</v>
      </c>
      <c r="H418" s="1273">
        <v>1</v>
      </c>
      <c r="I418" s="1274">
        <f t="shared" si="45"/>
        <v>6000</v>
      </c>
      <c r="J418" s="1258"/>
    </row>
    <row r="419" spans="1:10" s="1275" customFormat="1" ht="12.75">
      <c r="A419" s="1268">
        <v>1</v>
      </c>
      <c r="B419" s="1269" t="s">
        <v>3549</v>
      </c>
      <c r="C419" s="1260" t="s">
        <v>3457</v>
      </c>
      <c r="D419" s="1270" t="s">
        <v>3458</v>
      </c>
      <c r="E419" s="1259" t="s">
        <v>3485</v>
      </c>
      <c r="F419" s="1259"/>
      <c r="G419" s="1272">
        <v>1600</v>
      </c>
      <c r="H419" s="1273">
        <v>2</v>
      </c>
      <c r="I419" s="1274">
        <f t="shared" si="45"/>
        <v>3200</v>
      </c>
      <c r="J419" s="1258"/>
    </row>
    <row r="420" spans="1:10" s="1275" customFormat="1" ht="12.75">
      <c r="A420" s="1268">
        <v>1</v>
      </c>
      <c r="B420" s="1269" t="s">
        <v>3549</v>
      </c>
      <c r="C420" s="1260" t="s">
        <v>3457</v>
      </c>
      <c r="D420" s="1270" t="s">
        <v>3458</v>
      </c>
      <c r="E420" s="1259" t="s">
        <v>3486</v>
      </c>
      <c r="F420" s="1259"/>
      <c r="G420" s="1272">
        <v>700</v>
      </c>
      <c r="H420" s="1273">
        <v>1</v>
      </c>
      <c r="I420" s="1274">
        <f t="shared" si="45"/>
        <v>700</v>
      </c>
      <c r="J420" s="1258"/>
    </row>
    <row r="421" spans="1:10" s="1275" customFormat="1" ht="12.75">
      <c r="A421" s="1268">
        <v>1</v>
      </c>
      <c r="B421" s="1269" t="s">
        <v>3549</v>
      </c>
      <c r="C421" s="1260" t="s">
        <v>3457</v>
      </c>
      <c r="D421" s="1259" t="s">
        <v>3468</v>
      </c>
      <c r="E421" s="1259" t="s">
        <v>3468</v>
      </c>
      <c r="F421" s="1259"/>
      <c r="G421" s="1272">
        <v>13000</v>
      </c>
      <c r="H421" s="1273">
        <v>1</v>
      </c>
      <c r="I421" s="1274">
        <f t="shared" si="45"/>
        <v>13000</v>
      </c>
      <c r="J421" s="1258"/>
    </row>
    <row r="422" spans="1:10" s="1275" customFormat="1" ht="12.75">
      <c r="A422" s="1268">
        <v>1</v>
      </c>
      <c r="B422" s="1269" t="s">
        <v>3549</v>
      </c>
      <c r="C422" s="1260" t="s">
        <v>3457</v>
      </c>
      <c r="D422" s="1259" t="s">
        <v>3469</v>
      </c>
      <c r="E422" s="1259" t="s">
        <v>3469</v>
      </c>
      <c r="F422" s="1276" t="s">
        <v>3470</v>
      </c>
      <c r="G422" s="1277">
        <v>9000</v>
      </c>
      <c r="H422" s="1273">
        <v>1</v>
      </c>
      <c r="I422" s="1274">
        <f t="shared" si="45"/>
        <v>9000</v>
      </c>
      <c r="J422" s="1258"/>
    </row>
    <row r="423" spans="1:10" s="1275" customFormat="1" ht="12.75">
      <c r="A423" s="1268">
        <v>1</v>
      </c>
      <c r="B423" s="1269" t="s">
        <v>3549</v>
      </c>
      <c r="C423" s="1260" t="s">
        <v>3457</v>
      </c>
      <c r="D423" s="1278" t="s">
        <v>3471</v>
      </c>
      <c r="E423" s="1278" t="s">
        <v>3472</v>
      </c>
      <c r="F423" s="1278" t="s">
        <v>3473</v>
      </c>
      <c r="G423" s="1272">
        <v>5000</v>
      </c>
      <c r="H423" s="1273">
        <v>1</v>
      </c>
      <c r="I423" s="1274">
        <f t="shared" si="45"/>
        <v>5000</v>
      </c>
      <c r="J423" s="1258"/>
    </row>
    <row r="424" spans="1:10" s="1275" customFormat="1" ht="12.75">
      <c r="A424" s="1268">
        <v>1</v>
      </c>
      <c r="B424" s="1269" t="s">
        <v>3549</v>
      </c>
      <c r="C424" s="1260" t="s">
        <v>3457</v>
      </c>
      <c r="D424" s="1278" t="s">
        <v>3487</v>
      </c>
      <c r="E424" s="1278" t="s">
        <v>3487</v>
      </c>
      <c r="F424" s="1259"/>
      <c r="G424" s="1272">
        <v>5000</v>
      </c>
      <c r="H424" s="1273">
        <v>1</v>
      </c>
      <c r="I424" s="1274">
        <f t="shared" si="45"/>
        <v>5000</v>
      </c>
      <c r="J424" s="1258"/>
    </row>
    <row r="425" spans="1:10" s="1275" customFormat="1" ht="12.75">
      <c r="A425" s="1268">
        <v>1</v>
      </c>
      <c r="B425" s="1269" t="s">
        <v>3549</v>
      </c>
      <c r="C425" s="1260" t="s">
        <v>3457</v>
      </c>
      <c r="D425" s="1259" t="s">
        <v>3474</v>
      </c>
      <c r="E425" s="1259" t="s">
        <v>3550</v>
      </c>
      <c r="F425" s="1259"/>
      <c r="G425" s="1272">
        <v>8000</v>
      </c>
      <c r="H425" s="1273">
        <v>15</v>
      </c>
      <c r="I425" s="1274">
        <f t="shared" si="45"/>
        <v>120000</v>
      </c>
      <c r="J425" s="1258"/>
    </row>
    <row r="426" spans="1:10" s="1275" customFormat="1" ht="23.25">
      <c r="A426" s="1268">
        <v>1</v>
      </c>
      <c r="B426" s="1269" t="s">
        <v>3549</v>
      </c>
      <c r="C426" s="1260" t="s">
        <v>3457</v>
      </c>
      <c r="D426" s="1263" t="s">
        <v>3452</v>
      </c>
      <c r="E426" s="1259" t="s">
        <v>3478</v>
      </c>
      <c r="F426" s="1259"/>
      <c r="G426" s="1277">
        <v>15000</v>
      </c>
      <c r="H426" s="1273">
        <v>1</v>
      </c>
      <c r="I426" s="1274">
        <f t="shared" si="45"/>
        <v>15000</v>
      </c>
      <c r="J426" s="1258"/>
    </row>
    <row r="427" spans="1:10" s="1275" customFormat="1" ht="12.75">
      <c r="A427" s="1268">
        <v>1</v>
      </c>
      <c r="B427" s="1269" t="s">
        <v>3549</v>
      </c>
      <c r="C427" s="1260" t="s">
        <v>3457</v>
      </c>
      <c r="D427" s="1259" t="s">
        <v>3479</v>
      </c>
      <c r="E427" s="1259" t="s">
        <v>3479</v>
      </c>
      <c r="F427" s="1259"/>
      <c r="G427" s="1277">
        <v>1200</v>
      </c>
      <c r="H427" s="1273">
        <v>1</v>
      </c>
      <c r="I427" s="1274">
        <f t="shared" si="45"/>
        <v>1200</v>
      </c>
      <c r="J427" s="1258"/>
    </row>
    <row r="428" spans="1:10" s="1275" customFormat="1" ht="12.75">
      <c r="A428" s="1268">
        <v>1</v>
      </c>
      <c r="B428" s="1269" t="s">
        <v>3549</v>
      </c>
      <c r="C428" s="1260" t="s">
        <v>3457</v>
      </c>
      <c r="D428" s="1259" t="s">
        <v>3480</v>
      </c>
      <c r="E428" s="1259" t="s">
        <v>3480</v>
      </c>
      <c r="F428" s="1259"/>
      <c r="G428" s="1277">
        <v>1400</v>
      </c>
      <c r="H428" s="1273">
        <v>1</v>
      </c>
      <c r="I428" s="1274">
        <f t="shared" si="45"/>
        <v>1400</v>
      </c>
      <c r="J428" s="1258"/>
    </row>
    <row r="429" spans="1:10" s="1275" customFormat="1" ht="12.75">
      <c r="A429" s="1268"/>
      <c r="B429" s="1279" t="s">
        <v>3481</v>
      </c>
      <c r="C429" s="1260"/>
      <c r="D429" s="1279"/>
      <c r="E429" s="1269"/>
      <c r="F429" s="1269"/>
      <c r="G429" s="1280"/>
      <c r="H429" s="1280"/>
      <c r="I429" s="1281">
        <f>SUM(I413:I428)</f>
        <v>200500</v>
      </c>
      <c r="J429" s="1258"/>
    </row>
    <row r="430" spans="1:10" s="1275" customFormat="1" ht="12.75">
      <c r="A430" s="1268"/>
      <c r="B430" s="1279" t="s">
        <v>3560</v>
      </c>
      <c r="C430" s="1260"/>
      <c r="D430" s="1279"/>
      <c r="E430" s="1269"/>
      <c r="F430" s="1269"/>
      <c r="G430" s="1280"/>
      <c r="H430" s="1280"/>
      <c r="I430" s="1281">
        <f>SUM(I429)</f>
        <v>200500</v>
      </c>
      <c r="J430" s="1258"/>
    </row>
    <row r="431" spans="1:10">
      <c r="A431" s="1291"/>
      <c r="B431" s="1279" t="s">
        <v>3551</v>
      </c>
      <c r="C431" s="1292"/>
      <c r="D431" s="1292"/>
      <c r="E431" s="1293"/>
      <c r="F431" s="1293"/>
      <c r="G431" s="1282"/>
      <c r="H431" s="1291"/>
      <c r="I431" s="1294">
        <f>SUM(I430,I412,I406,I361,I328,I216,I159,I97,I38)</f>
        <v>8754200</v>
      </c>
      <c r="J431" s="1284"/>
    </row>
    <row r="432" spans="1:10" s="1264" customFormat="1">
      <c r="A432" s="1295"/>
      <c r="B432" s="1297"/>
      <c r="C432" s="1296"/>
      <c r="D432" s="1296"/>
      <c r="E432" s="1298"/>
      <c r="F432" s="1298"/>
      <c r="G432" s="1299"/>
      <c r="H432" s="1295"/>
      <c r="I432" s="1299"/>
      <c r="J432" s="1300"/>
    </row>
    <row r="441" spans="1:9">
      <c r="G441" s="1301"/>
      <c r="H441" s="1302"/>
      <c r="I441" s="1301"/>
    </row>
    <row r="442" spans="1:9">
      <c r="G442" s="1301"/>
      <c r="H442" s="1302"/>
      <c r="I442" s="1301"/>
    </row>
    <row r="443" spans="1:9">
      <c r="A443" s="1289"/>
      <c r="B443" s="1289"/>
      <c r="C443" s="1264"/>
      <c r="D443" s="1264"/>
      <c r="E443" s="1289"/>
      <c r="F443" s="1289"/>
    </row>
    <row r="444" spans="1:9">
      <c r="A444" s="1289"/>
      <c r="B444" s="1289"/>
      <c r="C444" s="1264"/>
      <c r="D444" s="1264"/>
      <c r="E444" s="1289"/>
      <c r="F444" s="1289"/>
    </row>
  </sheetData>
  <mergeCells count="1">
    <mergeCell ref="A1:J1"/>
  </mergeCells>
  <phoneticPr fontId="1" type="noConversion"/>
  <printOptions horizontalCentered="1"/>
  <pageMargins left="0.70866141732283472" right="0.70866141732283472" top="0.74803149606299213" bottom="0.74803149606299213" header="0.31496062992125984" footer="0.31496062992125984"/>
  <pageSetup paperSize="9" scale="70" orientation="portrait" r:id="rId1"/>
  <headerFooter>
    <oddFooter>第 &amp;P 页，共 &amp;N 页</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workbookViewId="0">
      <selection activeCell="E21" sqref="E21"/>
    </sheetView>
  </sheetViews>
  <sheetFormatPr defaultRowHeight="13.5"/>
  <cols>
    <col min="1" max="1" width="4.875" customWidth="1"/>
    <col min="2" max="2" width="17.625" customWidth="1"/>
    <col min="4" max="4" width="16.875" customWidth="1"/>
    <col min="5" max="5" width="14.625" customWidth="1"/>
    <col min="6" max="6" width="9.375" customWidth="1"/>
    <col min="7" max="7" width="6.125" customWidth="1"/>
    <col min="8" max="8" width="10.625" customWidth="1"/>
  </cols>
  <sheetData>
    <row r="1" spans="1:9" ht="20.100000000000001" customHeight="1">
      <c r="A1" s="1568" t="s">
        <v>3561</v>
      </c>
      <c r="B1" s="1568"/>
      <c r="C1" s="1568"/>
      <c r="D1" s="1568"/>
      <c r="E1" s="1568"/>
      <c r="F1" s="1568"/>
      <c r="G1" s="1568"/>
      <c r="H1" s="1568"/>
      <c r="I1" s="1568"/>
    </row>
    <row r="2" spans="1:9" ht="20.100000000000001" customHeight="1">
      <c r="A2" s="1306" t="s">
        <v>2791</v>
      </c>
      <c r="B2" s="1308" t="s">
        <v>2793</v>
      </c>
      <c r="C2" s="1307" t="s">
        <v>2794</v>
      </c>
      <c r="D2" s="1307" t="s">
        <v>2795</v>
      </c>
      <c r="E2" s="1307" t="s">
        <v>2796</v>
      </c>
      <c r="F2" s="1309" t="s">
        <v>2798</v>
      </c>
      <c r="G2" s="1306" t="s">
        <v>2799</v>
      </c>
      <c r="H2" s="1309" t="s">
        <v>2800</v>
      </c>
      <c r="I2" s="1310" t="s">
        <v>3445</v>
      </c>
    </row>
    <row r="3" spans="1:9" ht="30" customHeight="1">
      <c r="A3" s="515">
        <v>1</v>
      </c>
      <c r="B3" s="1304" t="s">
        <v>683</v>
      </c>
      <c r="C3" s="1305" t="s">
        <v>686</v>
      </c>
      <c r="D3" s="1305" t="s">
        <v>687</v>
      </c>
      <c r="E3" s="1305" t="s">
        <v>687</v>
      </c>
      <c r="F3" s="1311">
        <v>500000</v>
      </c>
      <c r="G3" s="1311">
        <v>1</v>
      </c>
      <c r="H3" s="1311">
        <v>500000</v>
      </c>
      <c r="I3" s="2"/>
    </row>
  </sheetData>
  <mergeCells count="1">
    <mergeCell ref="A1:I1"/>
  </mergeCells>
  <phoneticPr fontId="1" type="noConversion"/>
  <printOptions horizontalCentered="1"/>
  <pageMargins left="0.70866141732283472" right="0.70866141732283472" top="0.74803149606299213" bottom="0.74803149606299213" header="0.31496062992125984" footer="0.31496062992125984"/>
  <pageSetup paperSize="9" scale="90" orientation="portrait" r:id="rId1"/>
  <headerFooter>
    <oddFooter>第 &amp;P 页，共 &amp;N 页</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A5" sqref="A5"/>
    </sheetView>
  </sheetViews>
  <sheetFormatPr defaultRowHeight="13.5" outlineLevelRow="2"/>
  <cols>
    <col min="1" max="1" width="24.125" style="1312" customWidth="1"/>
    <col min="2" max="2" width="8.625" style="1312" customWidth="1"/>
    <col min="3" max="3" width="7.875" style="1312" customWidth="1"/>
    <col min="4" max="4" width="14" style="1312" customWidth="1"/>
    <col min="5" max="5" width="16" style="1312" customWidth="1"/>
    <col min="6" max="8" width="14.375" style="1312" customWidth="1"/>
    <col min="9" max="9" width="12.75" style="1312" customWidth="1"/>
    <col min="10" max="10" width="16.75" style="1312" customWidth="1"/>
    <col min="11" max="16384" width="9" style="1312"/>
  </cols>
  <sheetData>
    <row r="1" spans="1:10" ht="30.75" customHeight="1">
      <c r="A1" s="1569" t="s">
        <v>3576</v>
      </c>
      <c r="B1" s="1570"/>
      <c r="C1" s="1570"/>
      <c r="D1" s="1570"/>
      <c r="E1" s="1571"/>
      <c r="F1" s="1571"/>
      <c r="G1" s="1571"/>
      <c r="H1" s="1571"/>
      <c r="I1" s="1571"/>
      <c r="J1" s="1571"/>
    </row>
    <row r="2" spans="1:10" ht="14.25" customHeight="1">
      <c r="A2" s="1572" t="s">
        <v>3577</v>
      </c>
      <c r="B2" s="1572" t="s">
        <v>3578</v>
      </c>
      <c r="C2" s="1572" t="s">
        <v>3579</v>
      </c>
      <c r="D2" s="1574" t="s">
        <v>3580</v>
      </c>
      <c r="E2" s="1575" t="s">
        <v>3581</v>
      </c>
      <c r="F2" s="1577" t="s">
        <v>3582</v>
      </c>
      <c r="G2" s="1578"/>
      <c r="H2" s="1579"/>
      <c r="I2" s="1575" t="s">
        <v>3583</v>
      </c>
      <c r="J2" s="1575" t="s">
        <v>3584</v>
      </c>
    </row>
    <row r="3" spans="1:10" outlineLevel="1">
      <c r="A3" s="1573"/>
      <c r="B3" s="1573"/>
      <c r="C3" s="1573"/>
      <c r="D3" s="1573"/>
      <c r="E3" s="1576"/>
      <c r="F3" s="1319" t="s">
        <v>3</v>
      </c>
      <c r="G3" s="1319" t="s">
        <v>3585</v>
      </c>
      <c r="H3" s="1319" t="s">
        <v>3586</v>
      </c>
      <c r="I3" s="1576"/>
      <c r="J3" s="1576"/>
    </row>
    <row r="4" spans="1:10" outlineLevel="2">
      <c r="A4" s="1320" t="s">
        <v>3570</v>
      </c>
      <c r="B4" s="1320" t="s">
        <v>3588</v>
      </c>
      <c r="C4" s="1320" t="s">
        <v>2260</v>
      </c>
      <c r="D4" s="1321">
        <v>776864.40000000037</v>
      </c>
      <c r="E4" s="1322">
        <v>14157597</v>
      </c>
      <c r="F4" s="1322">
        <v>13881975</v>
      </c>
      <c r="G4" s="1322">
        <v>166460</v>
      </c>
      <c r="H4" s="1322">
        <v>13715515</v>
      </c>
      <c r="I4" s="1322">
        <f t="shared" ref="I4:I22" si="0">E4-F4</f>
        <v>275622</v>
      </c>
      <c r="J4" s="1323">
        <f t="shared" ref="J4:J22" si="1">D4-I4</f>
        <v>501242.40000000037</v>
      </c>
    </row>
    <row r="5" spans="1:10" outlineLevel="2">
      <c r="A5" s="1327" t="s">
        <v>3589</v>
      </c>
      <c r="B5" s="1320" t="s">
        <v>3588</v>
      </c>
      <c r="C5" s="1320" t="s">
        <v>3587</v>
      </c>
      <c r="D5" s="1321">
        <v>653938.39999999991</v>
      </c>
      <c r="E5" s="1322">
        <v>1623758</v>
      </c>
      <c r="F5" s="1322">
        <v>1629222</v>
      </c>
      <c r="G5" s="1322"/>
      <c r="H5" s="1322">
        <v>1629222</v>
      </c>
      <c r="I5" s="1322">
        <f t="shared" si="0"/>
        <v>-5464</v>
      </c>
      <c r="J5" s="1323">
        <f t="shared" si="1"/>
        <v>659402.39999999991</v>
      </c>
    </row>
    <row r="6" spans="1:10" outlineLevel="2">
      <c r="A6" s="1320" t="s">
        <v>3562</v>
      </c>
      <c r="B6" s="1320" t="s">
        <v>3588</v>
      </c>
      <c r="C6" s="1320" t="s">
        <v>2260</v>
      </c>
      <c r="D6" s="1321">
        <v>2827050.3999999985</v>
      </c>
      <c r="E6" s="1322">
        <v>46575548</v>
      </c>
      <c r="F6" s="1322">
        <v>45749217</v>
      </c>
      <c r="G6" s="1322">
        <v>837500</v>
      </c>
      <c r="H6" s="1322">
        <v>44911717</v>
      </c>
      <c r="I6" s="1322">
        <f t="shared" si="0"/>
        <v>826331</v>
      </c>
      <c r="J6" s="1323">
        <f t="shared" si="1"/>
        <v>2000719.3999999985</v>
      </c>
    </row>
    <row r="7" spans="1:10" outlineLevel="2">
      <c r="A7" s="1320" t="s">
        <v>3563</v>
      </c>
      <c r="B7" s="1320" t="s">
        <v>3588</v>
      </c>
      <c r="C7" s="1320" t="s">
        <v>2260</v>
      </c>
      <c r="D7" s="1321">
        <v>1165539.5999999996</v>
      </c>
      <c r="E7" s="1322">
        <v>15813872</v>
      </c>
      <c r="F7" s="1322">
        <v>15529604</v>
      </c>
      <c r="G7" s="1322">
        <v>270350</v>
      </c>
      <c r="H7" s="1322">
        <v>15259254</v>
      </c>
      <c r="I7" s="1322">
        <f t="shared" si="0"/>
        <v>284268</v>
      </c>
      <c r="J7" s="1323">
        <f t="shared" si="1"/>
        <v>881271.59999999963</v>
      </c>
    </row>
    <row r="8" spans="1:10" outlineLevel="2">
      <c r="A8" s="1320" t="s">
        <v>3564</v>
      </c>
      <c r="B8" s="1320" t="s">
        <v>3588</v>
      </c>
      <c r="C8" s="1320" t="s">
        <v>2260</v>
      </c>
      <c r="D8" s="1321">
        <v>1327495.3999999985</v>
      </c>
      <c r="E8" s="1322">
        <v>16555201</v>
      </c>
      <c r="F8" s="1322">
        <v>16278626</v>
      </c>
      <c r="G8" s="1322">
        <v>252304</v>
      </c>
      <c r="H8" s="1322">
        <v>16026322</v>
      </c>
      <c r="I8" s="1322">
        <f t="shared" si="0"/>
        <v>276575</v>
      </c>
      <c r="J8" s="1323">
        <f t="shared" si="1"/>
        <v>1050920.3999999985</v>
      </c>
    </row>
    <row r="9" spans="1:10" outlineLevel="2">
      <c r="A9" s="1320" t="s">
        <v>915</v>
      </c>
      <c r="B9" s="1320" t="s">
        <v>3588</v>
      </c>
      <c r="C9" s="1320" t="s">
        <v>1330</v>
      </c>
      <c r="D9" s="1321">
        <v>200629.80000000075</v>
      </c>
      <c r="E9" s="1322">
        <v>10595789</v>
      </c>
      <c r="F9" s="1322">
        <v>10417787</v>
      </c>
      <c r="G9" s="1322">
        <v>374123</v>
      </c>
      <c r="H9" s="1322">
        <v>10043664</v>
      </c>
      <c r="I9" s="1322">
        <f t="shared" si="0"/>
        <v>178002</v>
      </c>
      <c r="J9" s="1323">
        <f t="shared" si="1"/>
        <v>22627.800000000745</v>
      </c>
    </row>
    <row r="10" spans="1:10" outlineLevel="2">
      <c r="A10" s="1320" t="s">
        <v>901</v>
      </c>
      <c r="B10" s="1320" t="s">
        <v>3588</v>
      </c>
      <c r="C10" s="1320" t="s">
        <v>1330</v>
      </c>
      <c r="D10" s="1321">
        <v>1564468.1999999955</v>
      </c>
      <c r="E10" s="1322">
        <v>52342380</v>
      </c>
      <c r="F10" s="1322">
        <v>51132062.999999993</v>
      </c>
      <c r="G10" s="1322">
        <v>340956</v>
      </c>
      <c r="H10" s="1322">
        <v>50791106.999999993</v>
      </c>
      <c r="I10" s="1322">
        <f t="shared" si="0"/>
        <v>1210317.0000000075</v>
      </c>
      <c r="J10" s="1323">
        <f t="shared" si="1"/>
        <v>354151.19999998808</v>
      </c>
    </row>
    <row r="11" spans="1:10" outlineLevel="2">
      <c r="A11" s="1320" t="s">
        <v>904</v>
      </c>
      <c r="B11" s="1320" t="s">
        <v>3588</v>
      </c>
      <c r="C11" s="1320" t="s">
        <v>1330</v>
      </c>
      <c r="D11" s="1321">
        <v>176950</v>
      </c>
      <c r="E11" s="1322">
        <v>10361444</v>
      </c>
      <c r="F11" s="1322">
        <v>10187599</v>
      </c>
      <c r="G11" s="1322">
        <v>446114</v>
      </c>
      <c r="H11" s="1322">
        <v>9741485</v>
      </c>
      <c r="I11" s="1322">
        <f t="shared" si="0"/>
        <v>173845</v>
      </c>
      <c r="J11" s="1323">
        <f t="shared" si="1"/>
        <v>3105</v>
      </c>
    </row>
    <row r="12" spans="1:10" outlineLevel="2">
      <c r="A12" s="1320" t="s">
        <v>3565</v>
      </c>
      <c r="B12" s="1320" t="s">
        <v>3588</v>
      </c>
      <c r="C12" s="1320" t="s">
        <v>1330</v>
      </c>
      <c r="D12" s="1321">
        <v>1005715.6000000015</v>
      </c>
      <c r="E12" s="1322">
        <v>21604497</v>
      </c>
      <c r="F12" s="1322">
        <v>21413255</v>
      </c>
      <c r="G12" s="1322">
        <v>555536</v>
      </c>
      <c r="H12" s="1322">
        <v>20857719</v>
      </c>
      <c r="I12" s="1322">
        <f t="shared" si="0"/>
        <v>191242</v>
      </c>
      <c r="J12" s="1323">
        <f t="shared" si="1"/>
        <v>814473.60000000149</v>
      </c>
    </row>
    <row r="13" spans="1:10" outlineLevel="2">
      <c r="A13" s="1320" t="s">
        <v>3566</v>
      </c>
      <c r="B13" s="1320" t="s">
        <v>3588</v>
      </c>
      <c r="C13" s="1320" t="s">
        <v>1330</v>
      </c>
      <c r="D13" s="1321">
        <v>304723.60000000149</v>
      </c>
      <c r="E13" s="1322">
        <v>19494229</v>
      </c>
      <c r="F13" s="1322">
        <v>19057534</v>
      </c>
      <c r="G13" s="1322">
        <v>248480</v>
      </c>
      <c r="H13" s="1322">
        <v>18809054</v>
      </c>
      <c r="I13" s="1322">
        <f t="shared" si="0"/>
        <v>436695</v>
      </c>
      <c r="J13" s="1323">
        <f t="shared" si="1"/>
        <v>-131971.39999999851</v>
      </c>
    </row>
    <row r="14" spans="1:10" outlineLevel="2">
      <c r="A14" s="1320" t="s">
        <v>761</v>
      </c>
      <c r="B14" s="1320" t="s">
        <v>3588</v>
      </c>
      <c r="C14" s="1320" t="s">
        <v>1339</v>
      </c>
      <c r="D14" s="1321">
        <v>-166991.40000000037</v>
      </c>
      <c r="E14" s="1322">
        <v>6367059</v>
      </c>
      <c r="F14" s="1322">
        <v>6632780</v>
      </c>
      <c r="G14" s="1322">
        <v>211016</v>
      </c>
      <c r="H14" s="1322">
        <v>6421764</v>
      </c>
      <c r="I14" s="1322">
        <f t="shared" si="0"/>
        <v>-265721</v>
      </c>
      <c r="J14" s="1323">
        <f t="shared" si="1"/>
        <v>98729.599999999627</v>
      </c>
    </row>
    <row r="15" spans="1:10" outlineLevel="2">
      <c r="A15" s="1320" t="s">
        <v>590</v>
      </c>
      <c r="B15" s="1320" t="s">
        <v>3588</v>
      </c>
      <c r="C15" s="1320" t="s">
        <v>1339</v>
      </c>
      <c r="D15" s="1321">
        <v>-182323.60000000149</v>
      </c>
      <c r="E15" s="1322">
        <v>20896321</v>
      </c>
      <c r="F15" s="1322">
        <v>21725201</v>
      </c>
      <c r="G15" s="1322">
        <v>328344</v>
      </c>
      <c r="H15" s="1322">
        <v>21396857</v>
      </c>
      <c r="I15" s="1322">
        <f t="shared" si="0"/>
        <v>-828880</v>
      </c>
      <c r="J15" s="1323">
        <f t="shared" si="1"/>
        <v>646556.39999999851</v>
      </c>
    </row>
    <row r="16" spans="1:10" outlineLevel="2">
      <c r="A16" s="1320" t="s">
        <v>758</v>
      </c>
      <c r="B16" s="1320" t="s">
        <v>3588</v>
      </c>
      <c r="C16" s="1320" t="s">
        <v>1339</v>
      </c>
      <c r="D16" s="1321">
        <v>-254783</v>
      </c>
      <c r="E16" s="1322">
        <v>6648451</v>
      </c>
      <c r="F16" s="1322">
        <v>6930171</v>
      </c>
      <c r="G16" s="1322">
        <v>206956</v>
      </c>
      <c r="H16" s="1322">
        <v>6723215</v>
      </c>
      <c r="I16" s="1322">
        <f t="shared" si="0"/>
        <v>-281720</v>
      </c>
      <c r="J16" s="1323">
        <f t="shared" si="1"/>
        <v>26937</v>
      </c>
    </row>
    <row r="17" spans="1:10" outlineLevel="2">
      <c r="A17" s="1320" t="s">
        <v>764</v>
      </c>
      <c r="B17" s="1320" t="s">
        <v>3588</v>
      </c>
      <c r="C17" s="1320" t="s">
        <v>1339</v>
      </c>
      <c r="D17" s="1321">
        <v>-190208.59999999963</v>
      </c>
      <c r="E17" s="1322">
        <v>5785491</v>
      </c>
      <c r="F17" s="1322">
        <v>6035811</v>
      </c>
      <c r="G17" s="1322">
        <v>210424</v>
      </c>
      <c r="H17" s="1322">
        <v>5825387</v>
      </c>
      <c r="I17" s="1322">
        <f t="shared" si="0"/>
        <v>-250320</v>
      </c>
      <c r="J17" s="1323">
        <f t="shared" si="1"/>
        <v>60111.400000000373</v>
      </c>
    </row>
    <row r="18" spans="1:10" outlineLevel="2">
      <c r="A18" s="1320" t="s">
        <v>3569</v>
      </c>
      <c r="B18" s="1320" t="s">
        <v>3588</v>
      </c>
      <c r="C18" s="1320" t="s">
        <v>1339</v>
      </c>
      <c r="D18" s="1321">
        <v>-39390</v>
      </c>
      <c r="E18" s="1322">
        <v>1181050</v>
      </c>
      <c r="F18" s="1322">
        <v>1228090</v>
      </c>
      <c r="G18" s="1322"/>
      <c r="H18" s="1322">
        <v>1228090</v>
      </c>
      <c r="I18" s="1322">
        <f t="shared" si="0"/>
        <v>-47040</v>
      </c>
      <c r="J18" s="1323">
        <f t="shared" si="1"/>
        <v>7650</v>
      </c>
    </row>
    <row r="19" spans="1:10" outlineLevel="2">
      <c r="A19" s="1320" t="s">
        <v>3568</v>
      </c>
      <c r="B19" s="1320" t="s">
        <v>3588</v>
      </c>
      <c r="C19" s="1320" t="s">
        <v>1339</v>
      </c>
      <c r="D19" s="1321">
        <v>-65050.600000000093</v>
      </c>
      <c r="E19" s="1322">
        <v>4269463</v>
      </c>
      <c r="F19" s="1322">
        <v>4436653</v>
      </c>
      <c r="G19" s="1322">
        <v>216896</v>
      </c>
      <c r="H19" s="1322">
        <v>4219757</v>
      </c>
      <c r="I19" s="1322">
        <f t="shared" si="0"/>
        <v>-167190</v>
      </c>
      <c r="J19" s="1323">
        <f t="shared" si="1"/>
        <v>102139.39999999991</v>
      </c>
    </row>
    <row r="20" spans="1:10" outlineLevel="2">
      <c r="A20" s="1326" t="s">
        <v>2490</v>
      </c>
      <c r="B20" s="1320" t="s">
        <v>3588</v>
      </c>
      <c r="C20" s="1320" t="s">
        <v>1339</v>
      </c>
      <c r="D20" s="1321">
        <v>-17562.199999999953</v>
      </c>
      <c r="E20" s="1322">
        <v>656771</v>
      </c>
      <c r="F20" s="1322">
        <v>695948</v>
      </c>
      <c r="G20" s="1322">
        <v>62279</v>
      </c>
      <c r="H20" s="1322">
        <v>633669</v>
      </c>
      <c r="I20" s="1322">
        <f t="shared" si="0"/>
        <v>-39177</v>
      </c>
      <c r="J20" s="1323">
        <f t="shared" si="1"/>
        <v>21614.800000000047</v>
      </c>
    </row>
    <row r="21" spans="1:10" outlineLevel="2">
      <c r="A21" s="1320" t="s">
        <v>3590</v>
      </c>
      <c r="B21" s="1320" t="s">
        <v>3588</v>
      </c>
      <c r="C21" s="1320" t="s">
        <v>1339</v>
      </c>
      <c r="D21" s="1321">
        <v>-121015</v>
      </c>
      <c r="E21" s="1322">
        <v>4913300</v>
      </c>
      <c r="F21" s="1322">
        <v>5107340</v>
      </c>
      <c r="G21" s="1322"/>
      <c r="H21" s="1322">
        <v>5107340</v>
      </c>
      <c r="I21" s="1322">
        <f t="shared" si="0"/>
        <v>-194040</v>
      </c>
      <c r="J21" s="1323">
        <f t="shared" si="1"/>
        <v>73025</v>
      </c>
    </row>
    <row r="22" spans="1:10" outlineLevel="2">
      <c r="A22" s="1320" t="s">
        <v>3567</v>
      </c>
      <c r="B22" s="1320" t="s">
        <v>3588</v>
      </c>
      <c r="C22" s="1320" t="s">
        <v>429</v>
      </c>
      <c r="D22" s="1321">
        <v>155673</v>
      </c>
      <c r="E22" s="1322">
        <v>1259300</v>
      </c>
      <c r="F22" s="1322">
        <v>1301730</v>
      </c>
      <c r="G22" s="1322"/>
      <c r="H22" s="1322">
        <v>1301730</v>
      </c>
      <c r="I22" s="1322">
        <f t="shared" si="0"/>
        <v>-42430</v>
      </c>
      <c r="J22" s="1323">
        <f t="shared" si="1"/>
        <v>198103</v>
      </c>
    </row>
    <row r="23" spans="1:10" outlineLevel="1">
      <c r="A23" s="1320"/>
      <c r="B23" s="1324" t="s">
        <v>3591</v>
      </c>
      <c r="C23" s="1320"/>
      <c r="D23" s="1325">
        <f t="shared" ref="D23:J23" si="2">SUBTOTAL(9,D4:D22)</f>
        <v>9121723.9999999963</v>
      </c>
      <c r="E23" s="1325">
        <f t="shared" si="2"/>
        <v>261101521</v>
      </c>
      <c r="F23" s="1325">
        <f t="shared" si="2"/>
        <v>259370606</v>
      </c>
      <c r="G23" s="1325">
        <f t="shared" si="2"/>
        <v>4727738</v>
      </c>
      <c r="H23" s="1325">
        <f t="shared" si="2"/>
        <v>254642868</v>
      </c>
      <c r="I23" s="1325">
        <f t="shared" si="2"/>
        <v>1730915.0000000075</v>
      </c>
      <c r="J23" s="1325">
        <f t="shared" si="2"/>
        <v>7390808.9999999879</v>
      </c>
    </row>
  </sheetData>
  <mergeCells count="9">
    <mergeCell ref="A1:J1"/>
    <mergeCell ref="A2:A3"/>
    <mergeCell ref="B2:B3"/>
    <mergeCell ref="C2:C3"/>
    <mergeCell ref="D2:D3"/>
    <mergeCell ref="E2:E3"/>
    <mergeCell ref="F2:H2"/>
    <mergeCell ref="I2:I3"/>
    <mergeCell ref="J2:J3"/>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0"/>
  <sheetViews>
    <sheetView topLeftCell="A91" workbookViewId="0">
      <selection activeCell="G3" sqref="G3"/>
    </sheetView>
  </sheetViews>
  <sheetFormatPr defaultRowHeight="13.5"/>
  <cols>
    <col min="1" max="2" width="9" style="15"/>
    <col min="3" max="3" width="14.5" style="15" customWidth="1"/>
    <col min="4" max="4" width="11.125" style="29" customWidth="1"/>
    <col min="5" max="6" width="9" style="15"/>
    <col min="7" max="7" width="17.875" style="15" customWidth="1"/>
    <col min="8" max="16384" width="9" style="15"/>
  </cols>
  <sheetData>
    <row r="1" spans="1:7" ht="18.75" customHeight="1" thickBot="1">
      <c r="A1" s="1336" t="s">
        <v>145</v>
      </c>
      <c r="B1" s="1337"/>
      <c r="C1" s="1337"/>
      <c r="D1" s="1337"/>
      <c r="E1" s="1337"/>
      <c r="F1" s="1337"/>
      <c r="G1" s="1337"/>
    </row>
    <row r="2" spans="1:7" ht="14.25" thickBot="1">
      <c r="A2" s="16" t="s">
        <v>142</v>
      </c>
      <c r="B2" s="16" t="s">
        <v>0</v>
      </c>
      <c r="C2" s="16" t="s">
        <v>146</v>
      </c>
      <c r="D2" s="21" t="s">
        <v>25</v>
      </c>
      <c r="E2" s="16" t="s">
        <v>143</v>
      </c>
      <c r="F2" s="16" t="s">
        <v>144</v>
      </c>
      <c r="G2" s="16" t="s">
        <v>147</v>
      </c>
    </row>
    <row r="3" spans="1:7" s="20" customFormat="1" ht="12.75" customHeight="1" thickBot="1">
      <c r="A3" s="18" t="s">
        <v>131</v>
      </c>
      <c r="B3" s="18" t="s">
        <v>148</v>
      </c>
      <c r="C3" s="25" t="s">
        <v>149</v>
      </c>
      <c r="D3" s="26">
        <v>129</v>
      </c>
      <c r="E3" s="18">
        <v>150261</v>
      </c>
      <c r="F3" s="18">
        <v>10000</v>
      </c>
      <c r="G3" s="19">
        <f>D3*(E3+F3)</f>
        <v>20673669</v>
      </c>
    </row>
    <row r="4" spans="1:7" s="20" customFormat="1" ht="14.25" thickBot="1">
      <c r="A4" s="18" t="s">
        <v>131</v>
      </c>
      <c r="B4" s="18" t="s">
        <v>150</v>
      </c>
      <c r="C4" s="18" t="s">
        <v>26</v>
      </c>
      <c r="D4" s="26">
        <v>55</v>
      </c>
      <c r="E4" s="18">
        <v>139020</v>
      </c>
      <c r="F4" s="18">
        <v>10000</v>
      </c>
      <c r="G4" s="19">
        <f t="shared" ref="G4:G7" si="0">D4*(E4+F4)</f>
        <v>8196100</v>
      </c>
    </row>
    <row r="5" spans="1:7" s="20" customFormat="1" ht="14.25" thickBot="1">
      <c r="A5" s="18" t="s">
        <v>131</v>
      </c>
      <c r="B5" s="18" t="s">
        <v>150</v>
      </c>
      <c r="C5" s="18" t="s">
        <v>27</v>
      </c>
      <c r="D5" s="27">
        <v>45</v>
      </c>
      <c r="E5" s="18">
        <v>139020</v>
      </c>
      <c r="F5" s="18">
        <v>10000</v>
      </c>
      <c r="G5" s="19">
        <f t="shared" si="0"/>
        <v>6705900</v>
      </c>
    </row>
    <row r="6" spans="1:7" s="20" customFormat="1" ht="14.25" thickBot="1">
      <c r="A6" s="18" t="s">
        <v>131</v>
      </c>
      <c r="B6" s="18" t="s">
        <v>150</v>
      </c>
      <c r="C6" s="18" t="s">
        <v>28</v>
      </c>
      <c r="D6" s="27">
        <v>10</v>
      </c>
      <c r="E6" s="18">
        <v>139020</v>
      </c>
      <c r="F6" s="18">
        <v>10000</v>
      </c>
      <c r="G6" s="19">
        <f t="shared" si="0"/>
        <v>1490200</v>
      </c>
    </row>
    <row r="7" spans="1:7" s="20" customFormat="1" ht="14.25" thickBot="1">
      <c r="A7" s="18" t="s">
        <v>131</v>
      </c>
      <c r="B7" s="18" t="s">
        <v>151</v>
      </c>
      <c r="C7" s="18" t="s">
        <v>29</v>
      </c>
      <c r="D7" s="27">
        <v>6</v>
      </c>
      <c r="E7" s="18">
        <v>137449</v>
      </c>
      <c r="F7" s="18">
        <v>10000</v>
      </c>
      <c r="G7" s="19">
        <f t="shared" si="0"/>
        <v>884694</v>
      </c>
    </row>
    <row r="8" spans="1:7" ht="14.25" thickBot="1">
      <c r="A8" s="16"/>
      <c r="B8" s="16" t="s">
        <v>30</v>
      </c>
      <c r="C8" s="16"/>
      <c r="D8" s="28">
        <f>SUM(D3:D7)</f>
        <v>245</v>
      </c>
      <c r="E8" s="16"/>
      <c r="F8" s="16"/>
      <c r="G8" s="17">
        <f>SUM(G3:G7)</f>
        <v>37950563</v>
      </c>
    </row>
    <row r="9" spans="1:7" s="20" customFormat="1" ht="14.25" thickBot="1">
      <c r="A9" s="18" t="s">
        <v>152</v>
      </c>
      <c r="B9" s="18" t="s">
        <v>153</v>
      </c>
      <c r="C9" s="18" t="s">
        <v>31</v>
      </c>
      <c r="D9" s="26">
        <v>83</v>
      </c>
      <c r="E9" s="18">
        <v>150261</v>
      </c>
      <c r="F9" s="18">
        <v>10000</v>
      </c>
      <c r="G9" s="19">
        <f>D9*(E9+F9)</f>
        <v>13301663</v>
      </c>
    </row>
    <row r="10" spans="1:7" s="20" customFormat="1" ht="14.25" thickBot="1">
      <c r="A10" s="18" t="s">
        <v>152</v>
      </c>
      <c r="B10" s="18" t="s">
        <v>154</v>
      </c>
      <c r="C10" s="18" t="s">
        <v>32</v>
      </c>
      <c r="D10" s="27">
        <v>71</v>
      </c>
      <c r="E10" s="18">
        <v>150261</v>
      </c>
      <c r="F10" s="18">
        <v>10000</v>
      </c>
      <c r="G10" s="19">
        <f t="shared" ref="G10:G15" si="1">D10*(E10+F10)</f>
        <v>11378531</v>
      </c>
    </row>
    <row r="11" spans="1:7" s="20" customFormat="1" ht="14.25" thickBot="1">
      <c r="A11" s="18" t="s">
        <v>152</v>
      </c>
      <c r="B11" s="18" t="s">
        <v>154</v>
      </c>
      <c r="C11" s="18" t="s">
        <v>33</v>
      </c>
      <c r="D11" s="27">
        <v>19</v>
      </c>
      <c r="E11" s="18">
        <v>150261</v>
      </c>
      <c r="F11" s="18">
        <v>10000</v>
      </c>
      <c r="G11" s="19">
        <f t="shared" si="1"/>
        <v>3044959</v>
      </c>
    </row>
    <row r="12" spans="1:7" s="20" customFormat="1" ht="14.25" thickBot="1">
      <c r="A12" s="18" t="s">
        <v>152</v>
      </c>
      <c r="B12" s="18" t="s">
        <v>150</v>
      </c>
      <c r="C12" s="18" t="s">
        <v>34</v>
      </c>
      <c r="D12" s="26">
        <v>16</v>
      </c>
      <c r="E12" s="18">
        <v>139020</v>
      </c>
      <c r="F12" s="18">
        <v>10000</v>
      </c>
      <c r="G12" s="19">
        <f t="shared" si="1"/>
        <v>2384320</v>
      </c>
    </row>
    <row r="13" spans="1:7" s="20" customFormat="1" ht="14.25" thickBot="1">
      <c r="A13" s="18" t="s">
        <v>152</v>
      </c>
      <c r="B13" s="18" t="s">
        <v>150</v>
      </c>
      <c r="C13" s="18" t="s">
        <v>35</v>
      </c>
      <c r="D13" s="27">
        <v>37</v>
      </c>
      <c r="E13" s="18">
        <v>139020</v>
      </c>
      <c r="F13" s="18">
        <v>10000</v>
      </c>
      <c r="G13" s="19">
        <f t="shared" si="1"/>
        <v>5513740</v>
      </c>
    </row>
    <row r="14" spans="1:7" s="20" customFormat="1" ht="14.25" thickBot="1">
      <c r="A14" s="18" t="s">
        <v>152</v>
      </c>
      <c r="B14" s="18" t="s">
        <v>150</v>
      </c>
      <c r="C14" s="18" t="s">
        <v>36</v>
      </c>
      <c r="D14" s="27">
        <v>44</v>
      </c>
      <c r="E14" s="18">
        <v>139020</v>
      </c>
      <c r="F14" s="18">
        <v>10000</v>
      </c>
      <c r="G14" s="19">
        <f t="shared" si="1"/>
        <v>6556880</v>
      </c>
    </row>
    <row r="15" spans="1:7" s="20" customFormat="1" ht="14.25" thickBot="1">
      <c r="A15" s="18" t="s">
        <v>152</v>
      </c>
      <c r="B15" s="18" t="s">
        <v>151</v>
      </c>
      <c r="C15" s="18" t="s">
        <v>37</v>
      </c>
      <c r="D15" s="27">
        <v>4</v>
      </c>
      <c r="E15" s="18">
        <v>137449</v>
      </c>
      <c r="F15" s="18">
        <v>10000</v>
      </c>
      <c r="G15" s="19">
        <f t="shared" si="1"/>
        <v>589796</v>
      </c>
    </row>
    <row r="16" spans="1:7" ht="14.25" thickBot="1">
      <c r="A16" s="16"/>
      <c r="B16" s="16" t="s">
        <v>155</v>
      </c>
      <c r="C16" s="16"/>
      <c r="D16" s="28">
        <f>SUM(D9:D15)</f>
        <v>274</v>
      </c>
      <c r="E16" s="16"/>
      <c r="F16" s="16"/>
      <c r="G16" s="16">
        <f>SUM(G9:G15)</f>
        <v>42769889</v>
      </c>
    </row>
    <row r="17" spans="1:7" s="20" customFormat="1" ht="14.25" thickBot="1">
      <c r="A17" s="18" t="s">
        <v>132</v>
      </c>
      <c r="B17" s="18" t="s">
        <v>153</v>
      </c>
      <c r="C17" s="18" t="s">
        <v>38</v>
      </c>
      <c r="D17" s="27">
        <v>83</v>
      </c>
      <c r="E17" s="18">
        <v>150261</v>
      </c>
      <c r="F17" s="18">
        <v>10000</v>
      </c>
      <c r="G17" s="19">
        <f>D17*(E17+F17)</f>
        <v>13301663</v>
      </c>
    </row>
    <row r="18" spans="1:7" s="20" customFormat="1" ht="14.25" thickBot="1">
      <c r="A18" s="18" t="s">
        <v>132</v>
      </c>
      <c r="B18" s="18" t="s">
        <v>153</v>
      </c>
      <c r="C18" s="18" t="s">
        <v>39</v>
      </c>
      <c r="D18" s="27"/>
      <c r="E18" s="18">
        <v>150261</v>
      </c>
      <c r="F18" s="18">
        <v>10000</v>
      </c>
      <c r="G18" s="19">
        <f t="shared" ref="G18:G33" si="2">D18*(E18+F18)</f>
        <v>0</v>
      </c>
    </row>
    <row r="19" spans="1:7" s="20" customFormat="1" ht="14.25" thickBot="1">
      <c r="A19" s="18" t="s">
        <v>132</v>
      </c>
      <c r="B19" s="18" t="s">
        <v>153</v>
      </c>
      <c r="C19" s="18" t="s">
        <v>40</v>
      </c>
      <c r="D19" s="27">
        <v>255</v>
      </c>
      <c r="E19" s="18">
        <v>150261</v>
      </c>
      <c r="F19" s="18">
        <v>10000</v>
      </c>
      <c r="G19" s="19">
        <f t="shared" si="2"/>
        <v>40866555</v>
      </c>
    </row>
    <row r="20" spans="1:7" s="20" customFormat="1" ht="14.25" thickBot="1">
      <c r="A20" s="18" t="s">
        <v>132</v>
      </c>
      <c r="B20" s="18" t="s">
        <v>153</v>
      </c>
      <c r="C20" s="18" t="s">
        <v>41</v>
      </c>
      <c r="D20" s="27">
        <v>86</v>
      </c>
      <c r="E20" s="18">
        <v>150261</v>
      </c>
      <c r="F20" s="18">
        <v>10000</v>
      </c>
      <c r="G20" s="19">
        <f t="shared" si="2"/>
        <v>13782446</v>
      </c>
    </row>
    <row r="21" spans="1:7" s="20" customFormat="1" ht="14.25" thickBot="1">
      <c r="A21" s="18" t="s">
        <v>132</v>
      </c>
      <c r="B21" s="18" t="s">
        <v>153</v>
      </c>
      <c r="C21" s="18" t="s">
        <v>42</v>
      </c>
      <c r="D21" s="27">
        <v>90</v>
      </c>
      <c r="E21" s="18">
        <v>150261</v>
      </c>
      <c r="F21" s="18">
        <v>10000</v>
      </c>
      <c r="G21" s="19">
        <f t="shared" si="2"/>
        <v>14423490</v>
      </c>
    </row>
    <row r="22" spans="1:7" s="20" customFormat="1" ht="14.25" thickBot="1">
      <c r="A22" s="18" t="s">
        <v>132</v>
      </c>
      <c r="B22" s="18" t="s">
        <v>154</v>
      </c>
      <c r="C22" s="18" t="s">
        <v>43</v>
      </c>
      <c r="D22" s="27">
        <v>62</v>
      </c>
      <c r="E22" s="18">
        <v>150261</v>
      </c>
      <c r="F22" s="18">
        <v>10000</v>
      </c>
      <c r="G22" s="19">
        <f t="shared" si="2"/>
        <v>9936182</v>
      </c>
    </row>
    <row r="23" spans="1:7" s="20" customFormat="1" ht="14.25" thickBot="1">
      <c r="A23" s="18" t="s">
        <v>132</v>
      </c>
      <c r="B23" s="18" t="s">
        <v>154</v>
      </c>
      <c r="C23" s="18" t="s">
        <v>44</v>
      </c>
      <c r="D23" s="27">
        <v>288</v>
      </c>
      <c r="E23" s="18">
        <v>150261</v>
      </c>
      <c r="F23" s="18">
        <v>10000</v>
      </c>
      <c r="G23" s="19">
        <f t="shared" si="2"/>
        <v>46155168</v>
      </c>
    </row>
    <row r="24" spans="1:7" s="20" customFormat="1" ht="14.25" thickBot="1">
      <c r="A24" s="18" t="s">
        <v>132</v>
      </c>
      <c r="B24" s="18" t="s">
        <v>154</v>
      </c>
      <c r="C24" s="18" t="s">
        <v>45</v>
      </c>
      <c r="D24" s="27">
        <v>63</v>
      </c>
      <c r="E24" s="18">
        <v>150261</v>
      </c>
      <c r="F24" s="18">
        <v>10000</v>
      </c>
      <c r="G24" s="19">
        <f t="shared" si="2"/>
        <v>10096443</v>
      </c>
    </row>
    <row r="25" spans="1:7" s="20" customFormat="1" ht="14.25" thickBot="1">
      <c r="A25" s="18" t="s">
        <v>132</v>
      </c>
      <c r="B25" s="18" t="s">
        <v>154</v>
      </c>
      <c r="C25" s="18" t="s">
        <v>46</v>
      </c>
      <c r="D25" s="27">
        <v>116</v>
      </c>
      <c r="E25" s="18">
        <v>150261</v>
      </c>
      <c r="F25" s="18">
        <v>10000</v>
      </c>
      <c r="G25" s="19">
        <f t="shared" si="2"/>
        <v>18590276</v>
      </c>
    </row>
    <row r="26" spans="1:7" s="20" customFormat="1" ht="14.25" thickBot="1">
      <c r="A26" s="18" t="s">
        <v>132</v>
      </c>
      <c r="B26" s="18" t="s">
        <v>154</v>
      </c>
      <c r="C26" s="18" t="s">
        <v>47</v>
      </c>
      <c r="D26" s="26">
        <v>109</v>
      </c>
      <c r="E26" s="18">
        <v>150261</v>
      </c>
      <c r="F26" s="18">
        <v>10000</v>
      </c>
      <c r="G26" s="19">
        <f t="shared" si="2"/>
        <v>17468449</v>
      </c>
    </row>
    <row r="27" spans="1:7" s="20" customFormat="1" ht="14.25" thickBot="1">
      <c r="A27" s="18" t="s">
        <v>132</v>
      </c>
      <c r="B27" s="18" t="s">
        <v>150</v>
      </c>
      <c r="C27" s="18" t="s">
        <v>48</v>
      </c>
      <c r="D27" s="27">
        <v>45</v>
      </c>
      <c r="E27" s="18">
        <v>139020</v>
      </c>
      <c r="F27" s="18">
        <v>10000</v>
      </c>
      <c r="G27" s="19">
        <f t="shared" si="2"/>
        <v>6705900</v>
      </c>
    </row>
    <row r="28" spans="1:7" s="20" customFormat="1" ht="14.25" thickBot="1">
      <c r="A28" s="18" t="s">
        <v>132</v>
      </c>
      <c r="B28" s="18" t="s">
        <v>150</v>
      </c>
      <c r="C28" s="18" t="s">
        <v>49</v>
      </c>
      <c r="D28" s="27">
        <v>167</v>
      </c>
      <c r="E28" s="18">
        <v>139020</v>
      </c>
      <c r="F28" s="18">
        <v>10000</v>
      </c>
      <c r="G28" s="19">
        <f t="shared" si="2"/>
        <v>24886340</v>
      </c>
    </row>
    <row r="29" spans="1:7" s="20" customFormat="1" ht="14.25" thickBot="1">
      <c r="A29" s="18" t="s">
        <v>132</v>
      </c>
      <c r="B29" s="18" t="s">
        <v>150</v>
      </c>
      <c r="C29" s="18" t="s">
        <v>50</v>
      </c>
      <c r="D29" s="27">
        <v>46</v>
      </c>
      <c r="E29" s="18">
        <v>139020</v>
      </c>
      <c r="F29" s="18">
        <v>10000</v>
      </c>
      <c r="G29" s="19">
        <f t="shared" si="2"/>
        <v>6854920</v>
      </c>
    </row>
    <row r="30" spans="1:7" s="20" customFormat="1" ht="14.25" thickBot="1">
      <c r="A30" s="18" t="s">
        <v>132</v>
      </c>
      <c r="B30" s="18" t="s">
        <v>150</v>
      </c>
      <c r="C30" s="18" t="s">
        <v>51</v>
      </c>
      <c r="D30" s="27">
        <v>36</v>
      </c>
      <c r="E30" s="18">
        <v>139020</v>
      </c>
      <c r="F30" s="18">
        <v>10000</v>
      </c>
      <c r="G30" s="19">
        <f t="shared" si="2"/>
        <v>5364720</v>
      </c>
    </row>
    <row r="31" spans="1:7" s="20" customFormat="1" ht="14.25" thickBot="1">
      <c r="A31" s="18" t="s">
        <v>132</v>
      </c>
      <c r="B31" s="18" t="s">
        <v>150</v>
      </c>
      <c r="C31" s="18" t="s">
        <v>52</v>
      </c>
      <c r="D31" s="27">
        <v>28</v>
      </c>
      <c r="E31" s="18">
        <v>139020</v>
      </c>
      <c r="F31" s="18">
        <v>10000</v>
      </c>
      <c r="G31" s="19">
        <f t="shared" si="2"/>
        <v>4172560</v>
      </c>
    </row>
    <row r="32" spans="1:7" s="20" customFormat="1" ht="14.25" thickBot="1">
      <c r="A32" s="18" t="s">
        <v>132</v>
      </c>
      <c r="B32" s="18" t="s">
        <v>150</v>
      </c>
      <c r="C32" s="18" t="s">
        <v>156</v>
      </c>
      <c r="D32" s="27">
        <v>4</v>
      </c>
      <c r="E32" s="18">
        <v>139020</v>
      </c>
      <c r="F32" s="18">
        <v>10000</v>
      </c>
      <c r="G32" s="19">
        <f t="shared" si="2"/>
        <v>596080</v>
      </c>
    </row>
    <row r="33" spans="1:7" s="20" customFormat="1" ht="14.25" thickBot="1">
      <c r="A33" s="18" t="s">
        <v>132</v>
      </c>
      <c r="B33" s="18" t="s">
        <v>151</v>
      </c>
      <c r="C33" s="18" t="s">
        <v>53</v>
      </c>
      <c r="D33" s="27">
        <v>7</v>
      </c>
      <c r="E33" s="18">
        <v>137449</v>
      </c>
      <c r="F33" s="18">
        <v>10000</v>
      </c>
      <c r="G33" s="19">
        <f t="shared" si="2"/>
        <v>1032143</v>
      </c>
    </row>
    <row r="34" spans="1:7" ht="14.25" thickBot="1">
      <c r="A34" s="16"/>
      <c r="B34" s="16" t="s">
        <v>157</v>
      </c>
      <c r="C34" s="16"/>
      <c r="D34" s="28">
        <f>SUM(D17:D33)</f>
        <v>1485</v>
      </c>
      <c r="E34" s="16"/>
      <c r="F34" s="16"/>
      <c r="G34" s="17">
        <f>SUM(G17:G33)</f>
        <v>234233335</v>
      </c>
    </row>
    <row r="35" spans="1:7" s="20" customFormat="1" ht="14.25" thickBot="1">
      <c r="A35" s="18" t="s">
        <v>133</v>
      </c>
      <c r="B35" s="18" t="s">
        <v>153</v>
      </c>
      <c r="C35" s="18" t="s">
        <v>54</v>
      </c>
      <c r="D35" s="26">
        <v>87</v>
      </c>
      <c r="E35" s="18">
        <v>150261</v>
      </c>
      <c r="F35" s="18">
        <v>10000</v>
      </c>
      <c r="G35" s="19">
        <f>D35*(E35+F35)</f>
        <v>13942707</v>
      </c>
    </row>
    <row r="36" spans="1:7" s="20" customFormat="1" ht="14.25" thickBot="1">
      <c r="A36" s="18" t="s">
        <v>133</v>
      </c>
      <c r="B36" s="18" t="s">
        <v>153</v>
      </c>
      <c r="C36" s="18" t="s">
        <v>55</v>
      </c>
      <c r="D36" s="26">
        <v>84</v>
      </c>
      <c r="E36" s="18">
        <v>150261</v>
      </c>
      <c r="F36" s="18">
        <v>10000</v>
      </c>
      <c r="G36" s="19">
        <f t="shared" ref="G36:G51" si="3">D36*(E36+F36)</f>
        <v>13461924</v>
      </c>
    </row>
    <row r="37" spans="1:7" s="20" customFormat="1" ht="14.25" thickBot="1">
      <c r="A37" s="18" t="s">
        <v>133</v>
      </c>
      <c r="B37" s="18" t="s">
        <v>153</v>
      </c>
      <c r="C37" s="18" t="s">
        <v>158</v>
      </c>
      <c r="D37" s="27">
        <v>61</v>
      </c>
      <c r="E37" s="18">
        <v>150261</v>
      </c>
      <c r="F37" s="18">
        <v>10000</v>
      </c>
      <c r="G37" s="19">
        <f t="shared" si="3"/>
        <v>9775921</v>
      </c>
    </row>
    <row r="38" spans="1:7" s="20" customFormat="1" ht="14.25" thickBot="1">
      <c r="A38" s="18" t="s">
        <v>133</v>
      </c>
      <c r="B38" s="18" t="s">
        <v>154</v>
      </c>
      <c r="C38" s="18" t="s">
        <v>56</v>
      </c>
      <c r="D38" s="27">
        <v>83</v>
      </c>
      <c r="E38" s="18">
        <v>150261</v>
      </c>
      <c r="F38" s="18">
        <v>10000</v>
      </c>
      <c r="G38" s="19">
        <f t="shared" si="3"/>
        <v>13301663</v>
      </c>
    </row>
    <row r="39" spans="1:7" s="20" customFormat="1" ht="14.25" thickBot="1">
      <c r="A39" s="18" t="s">
        <v>133</v>
      </c>
      <c r="B39" s="18" t="s">
        <v>154</v>
      </c>
      <c r="C39" s="18" t="s">
        <v>57</v>
      </c>
      <c r="D39" s="27">
        <v>78</v>
      </c>
      <c r="E39" s="18">
        <v>150261</v>
      </c>
      <c r="F39" s="18">
        <v>10000</v>
      </c>
      <c r="G39" s="19">
        <f t="shared" si="3"/>
        <v>12500358</v>
      </c>
    </row>
    <row r="40" spans="1:7" s="20" customFormat="1" ht="14.25" thickBot="1">
      <c r="A40" s="18" t="s">
        <v>133</v>
      </c>
      <c r="B40" s="18" t="s">
        <v>154</v>
      </c>
      <c r="C40" s="18" t="s">
        <v>58</v>
      </c>
      <c r="D40" s="27">
        <v>86</v>
      </c>
      <c r="E40" s="18">
        <v>150261</v>
      </c>
      <c r="F40" s="18">
        <v>10000</v>
      </c>
      <c r="G40" s="19">
        <f t="shared" si="3"/>
        <v>13782446</v>
      </c>
    </row>
    <row r="41" spans="1:7" s="20" customFormat="1" ht="14.25" thickBot="1">
      <c r="A41" s="18" t="s">
        <v>133</v>
      </c>
      <c r="B41" s="18" t="s">
        <v>154</v>
      </c>
      <c r="C41" s="18" t="s">
        <v>59</v>
      </c>
      <c r="D41" s="27">
        <v>40</v>
      </c>
      <c r="E41" s="18">
        <v>150261</v>
      </c>
      <c r="F41" s="18">
        <v>10000</v>
      </c>
      <c r="G41" s="19">
        <f t="shared" si="3"/>
        <v>6410440</v>
      </c>
    </row>
    <row r="42" spans="1:7" s="20" customFormat="1" ht="14.25" thickBot="1">
      <c r="A42" s="18" t="s">
        <v>133</v>
      </c>
      <c r="B42" s="18" t="s">
        <v>154</v>
      </c>
      <c r="C42" s="18" t="s">
        <v>60</v>
      </c>
      <c r="D42" s="27">
        <v>48</v>
      </c>
      <c r="E42" s="18">
        <v>150261</v>
      </c>
      <c r="F42" s="18">
        <v>10000</v>
      </c>
      <c r="G42" s="19">
        <f t="shared" si="3"/>
        <v>7692528</v>
      </c>
    </row>
    <row r="43" spans="1:7" s="20" customFormat="1" ht="14.25" thickBot="1">
      <c r="A43" s="18" t="s">
        <v>133</v>
      </c>
      <c r="B43" s="18" t="s">
        <v>148</v>
      </c>
      <c r="C43" s="18" t="s">
        <v>159</v>
      </c>
      <c r="D43" s="26">
        <v>18</v>
      </c>
      <c r="E43" s="18">
        <v>150261</v>
      </c>
      <c r="F43" s="18">
        <v>10000</v>
      </c>
      <c r="G43" s="19">
        <f t="shared" si="3"/>
        <v>2884698</v>
      </c>
    </row>
    <row r="44" spans="1:7" s="20" customFormat="1" ht="14.25" thickBot="1">
      <c r="A44" s="18" t="s">
        <v>133</v>
      </c>
      <c r="B44" s="18" t="s">
        <v>150</v>
      </c>
      <c r="C44" s="18" t="s">
        <v>61</v>
      </c>
      <c r="D44" s="27">
        <v>58</v>
      </c>
      <c r="E44" s="18">
        <v>139020</v>
      </c>
      <c r="F44" s="18">
        <v>10000</v>
      </c>
      <c r="G44" s="19">
        <f t="shared" si="3"/>
        <v>8643160</v>
      </c>
    </row>
    <row r="45" spans="1:7" s="20" customFormat="1" ht="14.25" thickBot="1">
      <c r="A45" s="18" t="s">
        <v>133</v>
      </c>
      <c r="B45" s="18" t="s">
        <v>150</v>
      </c>
      <c r="C45" s="18" t="s">
        <v>62</v>
      </c>
      <c r="D45" s="27">
        <v>64</v>
      </c>
      <c r="E45" s="18">
        <v>139020</v>
      </c>
      <c r="F45" s="18">
        <v>10000</v>
      </c>
      <c r="G45" s="19">
        <f t="shared" si="3"/>
        <v>9537280</v>
      </c>
    </row>
    <row r="46" spans="1:7" s="20" customFormat="1" ht="14.25" thickBot="1">
      <c r="A46" s="18" t="s">
        <v>133</v>
      </c>
      <c r="B46" s="18" t="s">
        <v>150</v>
      </c>
      <c r="C46" s="18" t="s">
        <v>63</v>
      </c>
      <c r="D46" s="27">
        <v>11</v>
      </c>
      <c r="E46" s="18">
        <v>139020</v>
      </c>
      <c r="F46" s="18">
        <v>10000</v>
      </c>
      <c r="G46" s="19">
        <f t="shared" si="3"/>
        <v>1639220</v>
      </c>
    </row>
    <row r="47" spans="1:7" s="20" customFormat="1" ht="14.25" thickBot="1">
      <c r="A47" s="18" t="s">
        <v>133</v>
      </c>
      <c r="B47" s="18" t="s">
        <v>150</v>
      </c>
      <c r="C47" s="18" t="s">
        <v>64</v>
      </c>
      <c r="D47" s="27">
        <v>64</v>
      </c>
      <c r="E47" s="18">
        <v>139020</v>
      </c>
      <c r="F47" s="18">
        <v>10000</v>
      </c>
      <c r="G47" s="19">
        <f t="shared" si="3"/>
        <v>9537280</v>
      </c>
    </row>
    <row r="48" spans="1:7" s="20" customFormat="1" ht="14.25" thickBot="1">
      <c r="A48" s="18" t="s">
        <v>133</v>
      </c>
      <c r="B48" s="18" t="s">
        <v>150</v>
      </c>
      <c r="C48" s="18" t="s">
        <v>65</v>
      </c>
      <c r="D48" s="27">
        <v>30</v>
      </c>
      <c r="E48" s="18">
        <v>139020</v>
      </c>
      <c r="F48" s="18">
        <v>10000</v>
      </c>
      <c r="G48" s="19">
        <f t="shared" si="3"/>
        <v>4470600</v>
      </c>
    </row>
    <row r="49" spans="1:7" s="20" customFormat="1" ht="14.25" thickBot="1">
      <c r="A49" s="18" t="s">
        <v>133</v>
      </c>
      <c r="B49" s="18" t="s">
        <v>150</v>
      </c>
      <c r="C49" s="18" t="s">
        <v>66</v>
      </c>
      <c r="D49" s="27">
        <v>22</v>
      </c>
      <c r="E49" s="18">
        <v>139020</v>
      </c>
      <c r="F49" s="18">
        <v>10000</v>
      </c>
      <c r="G49" s="19">
        <f t="shared" si="3"/>
        <v>3278440</v>
      </c>
    </row>
    <row r="50" spans="1:7" s="20" customFormat="1" ht="14.25" thickBot="1">
      <c r="A50" s="18" t="s">
        <v>133</v>
      </c>
      <c r="B50" s="18" t="s">
        <v>150</v>
      </c>
      <c r="C50" s="18" t="s">
        <v>67</v>
      </c>
      <c r="D50" s="27">
        <v>41</v>
      </c>
      <c r="E50" s="18">
        <v>139020</v>
      </c>
      <c r="F50" s="18">
        <v>10000</v>
      </c>
      <c r="G50" s="19">
        <f t="shared" si="3"/>
        <v>6109820</v>
      </c>
    </row>
    <row r="51" spans="1:7" s="20" customFormat="1" ht="14.25" thickBot="1">
      <c r="A51" s="18" t="s">
        <v>133</v>
      </c>
      <c r="B51" s="18" t="s">
        <v>151</v>
      </c>
      <c r="C51" s="18" t="s">
        <v>68</v>
      </c>
      <c r="D51" s="27">
        <v>6</v>
      </c>
      <c r="E51" s="18">
        <v>137449</v>
      </c>
      <c r="F51" s="18">
        <v>10000</v>
      </c>
      <c r="G51" s="19">
        <f t="shared" si="3"/>
        <v>884694</v>
      </c>
    </row>
    <row r="52" spans="1:7" ht="14.25" thickBot="1">
      <c r="A52" s="16"/>
      <c r="B52" s="16" t="s">
        <v>160</v>
      </c>
      <c r="C52" s="16"/>
      <c r="D52" s="28">
        <f>SUM(D35:D51)</f>
        <v>881</v>
      </c>
      <c r="E52" s="16"/>
      <c r="F52" s="16"/>
      <c r="G52" s="17">
        <f>SUM(G35:G51)</f>
        <v>137853179</v>
      </c>
    </row>
    <row r="53" spans="1:7" s="20" customFormat="1" ht="14.25" thickBot="1">
      <c r="A53" s="18" t="s">
        <v>135</v>
      </c>
      <c r="B53" s="18" t="s">
        <v>153</v>
      </c>
      <c r="C53" s="18" t="s">
        <v>69</v>
      </c>
      <c r="D53" s="27">
        <v>67</v>
      </c>
      <c r="E53" s="18">
        <v>150261</v>
      </c>
      <c r="F53" s="18">
        <v>10000</v>
      </c>
      <c r="G53" s="19">
        <f>D53*(E53+F53)</f>
        <v>10737487</v>
      </c>
    </row>
    <row r="54" spans="1:7" s="20" customFormat="1" ht="14.25" thickBot="1">
      <c r="A54" s="18" t="s">
        <v>135</v>
      </c>
      <c r="B54" s="18" t="s">
        <v>153</v>
      </c>
      <c r="C54" s="18" t="s">
        <v>70</v>
      </c>
      <c r="D54" s="27">
        <v>67</v>
      </c>
      <c r="E54" s="18">
        <v>150261</v>
      </c>
      <c r="F54" s="18">
        <v>10000</v>
      </c>
      <c r="G54" s="19">
        <f t="shared" ref="G54:G70" si="4">D54*(E54+F54)</f>
        <v>10737487</v>
      </c>
    </row>
    <row r="55" spans="1:7" s="20" customFormat="1" ht="14.25" thickBot="1">
      <c r="A55" s="18" t="s">
        <v>135</v>
      </c>
      <c r="B55" s="18" t="s">
        <v>153</v>
      </c>
      <c r="C55" s="18" t="s">
        <v>71</v>
      </c>
      <c r="D55" s="27">
        <v>69</v>
      </c>
      <c r="E55" s="18">
        <v>150261</v>
      </c>
      <c r="F55" s="18">
        <v>10000</v>
      </c>
      <c r="G55" s="19">
        <f t="shared" si="4"/>
        <v>11058009</v>
      </c>
    </row>
    <row r="56" spans="1:7" s="20" customFormat="1" ht="14.25" thickBot="1">
      <c r="A56" s="18" t="s">
        <v>135</v>
      </c>
      <c r="B56" s="18" t="s">
        <v>153</v>
      </c>
      <c r="C56" s="18" t="s">
        <v>72</v>
      </c>
      <c r="D56" s="27">
        <v>66</v>
      </c>
      <c r="E56" s="18">
        <v>150261</v>
      </c>
      <c r="F56" s="18">
        <v>10000</v>
      </c>
      <c r="G56" s="19">
        <f t="shared" si="4"/>
        <v>10577226</v>
      </c>
    </row>
    <row r="57" spans="1:7" s="20" customFormat="1" ht="14.25" thickBot="1">
      <c r="A57" s="18" t="s">
        <v>135</v>
      </c>
      <c r="B57" s="18" t="s">
        <v>154</v>
      </c>
      <c r="C57" s="18" t="s">
        <v>73</v>
      </c>
      <c r="D57" s="27">
        <v>75</v>
      </c>
      <c r="E57" s="18">
        <v>150261</v>
      </c>
      <c r="F57" s="18">
        <v>10000</v>
      </c>
      <c r="G57" s="19">
        <f t="shared" si="4"/>
        <v>12019575</v>
      </c>
    </row>
    <row r="58" spans="1:7" s="20" customFormat="1" ht="14.25" thickBot="1">
      <c r="A58" s="18" t="s">
        <v>135</v>
      </c>
      <c r="B58" s="18" t="s">
        <v>154</v>
      </c>
      <c r="C58" s="18" t="s">
        <v>74</v>
      </c>
      <c r="D58" s="27">
        <v>67</v>
      </c>
      <c r="E58" s="18">
        <v>150261</v>
      </c>
      <c r="F58" s="18">
        <v>10000</v>
      </c>
      <c r="G58" s="19">
        <f t="shared" si="4"/>
        <v>10737487</v>
      </c>
    </row>
    <row r="59" spans="1:7" s="20" customFormat="1" ht="14.25" thickBot="1">
      <c r="A59" s="18" t="s">
        <v>135</v>
      </c>
      <c r="B59" s="18" t="s">
        <v>154</v>
      </c>
      <c r="C59" s="18" t="s">
        <v>75</v>
      </c>
      <c r="D59" s="27">
        <v>117</v>
      </c>
      <c r="E59" s="18">
        <v>150261</v>
      </c>
      <c r="F59" s="18">
        <v>10000</v>
      </c>
      <c r="G59" s="19">
        <f t="shared" si="4"/>
        <v>18750537</v>
      </c>
    </row>
    <row r="60" spans="1:7" s="20" customFormat="1" ht="14.25" thickBot="1">
      <c r="A60" s="18" t="s">
        <v>135</v>
      </c>
      <c r="B60" s="18" t="s">
        <v>148</v>
      </c>
      <c r="C60" s="18" t="s">
        <v>161</v>
      </c>
      <c r="D60" s="26">
        <v>18</v>
      </c>
      <c r="E60" s="18">
        <v>150261</v>
      </c>
      <c r="F60" s="18">
        <v>10000</v>
      </c>
      <c r="G60" s="19">
        <f t="shared" si="4"/>
        <v>2884698</v>
      </c>
    </row>
    <row r="61" spans="1:7" s="20" customFormat="1" ht="14.25" thickBot="1">
      <c r="A61" s="18" t="s">
        <v>135</v>
      </c>
      <c r="B61" s="18" t="s">
        <v>154</v>
      </c>
      <c r="C61" s="18" t="s">
        <v>76</v>
      </c>
      <c r="D61" s="27">
        <v>86</v>
      </c>
      <c r="E61" s="18">
        <v>150261</v>
      </c>
      <c r="F61" s="18">
        <v>10000</v>
      </c>
      <c r="G61" s="19">
        <f t="shared" si="4"/>
        <v>13782446</v>
      </c>
    </row>
    <row r="62" spans="1:7" s="20" customFormat="1" ht="14.25" thickBot="1">
      <c r="A62" s="18" t="s">
        <v>135</v>
      </c>
      <c r="B62" s="18" t="s">
        <v>150</v>
      </c>
      <c r="C62" s="18" t="s">
        <v>77</v>
      </c>
      <c r="D62" s="27">
        <v>58</v>
      </c>
      <c r="E62" s="18">
        <v>139020</v>
      </c>
      <c r="F62" s="18">
        <v>10000</v>
      </c>
      <c r="G62" s="19">
        <f t="shared" si="4"/>
        <v>8643160</v>
      </c>
    </row>
    <row r="63" spans="1:7" s="20" customFormat="1" ht="14.25" thickBot="1">
      <c r="A63" s="18" t="s">
        <v>135</v>
      </c>
      <c r="B63" s="18" t="s">
        <v>150</v>
      </c>
      <c r="C63" s="18" t="s">
        <v>78</v>
      </c>
      <c r="D63" s="27">
        <v>47</v>
      </c>
      <c r="E63" s="18">
        <v>139020</v>
      </c>
      <c r="F63" s="18">
        <v>10000</v>
      </c>
      <c r="G63" s="19">
        <f t="shared" si="4"/>
        <v>7003940</v>
      </c>
    </row>
    <row r="64" spans="1:7" s="20" customFormat="1" ht="14.25" thickBot="1">
      <c r="A64" s="18" t="s">
        <v>135</v>
      </c>
      <c r="B64" s="18" t="s">
        <v>150</v>
      </c>
      <c r="C64" s="18" t="s">
        <v>79</v>
      </c>
      <c r="D64" s="26">
        <v>60</v>
      </c>
      <c r="E64" s="18">
        <v>139020</v>
      </c>
      <c r="F64" s="18">
        <v>10000</v>
      </c>
      <c r="G64" s="19">
        <f t="shared" si="4"/>
        <v>8941200</v>
      </c>
    </row>
    <row r="65" spans="1:7" s="20" customFormat="1" ht="14.25" thickBot="1">
      <c r="A65" s="18" t="s">
        <v>135</v>
      </c>
      <c r="B65" s="18" t="s">
        <v>150</v>
      </c>
      <c r="C65" s="18" t="s">
        <v>80</v>
      </c>
      <c r="D65" s="27">
        <v>51</v>
      </c>
      <c r="E65" s="18">
        <v>139020</v>
      </c>
      <c r="F65" s="18">
        <v>10000</v>
      </c>
      <c r="G65" s="19">
        <f t="shared" si="4"/>
        <v>7600020</v>
      </c>
    </row>
    <row r="66" spans="1:7" s="20" customFormat="1" ht="14.25" thickBot="1">
      <c r="A66" s="18" t="s">
        <v>135</v>
      </c>
      <c r="B66" s="18" t="s">
        <v>150</v>
      </c>
      <c r="C66" s="18" t="s">
        <v>81</v>
      </c>
      <c r="D66" s="27">
        <v>25</v>
      </c>
      <c r="E66" s="18">
        <v>139020</v>
      </c>
      <c r="F66" s="18">
        <v>10000</v>
      </c>
      <c r="G66" s="19">
        <f t="shared" si="4"/>
        <v>3725500</v>
      </c>
    </row>
    <row r="67" spans="1:7" s="20" customFormat="1" ht="14.25" thickBot="1">
      <c r="A67" s="18" t="s">
        <v>135</v>
      </c>
      <c r="B67" s="18" t="s">
        <v>150</v>
      </c>
      <c r="C67" s="18" t="s">
        <v>82</v>
      </c>
      <c r="D67" s="27">
        <v>23</v>
      </c>
      <c r="E67" s="18">
        <v>139020</v>
      </c>
      <c r="F67" s="18">
        <v>10000</v>
      </c>
      <c r="G67" s="19">
        <f t="shared" si="4"/>
        <v>3427460</v>
      </c>
    </row>
    <row r="68" spans="1:7" s="20" customFormat="1" ht="14.25" thickBot="1">
      <c r="A68" s="18" t="s">
        <v>135</v>
      </c>
      <c r="B68" s="18" t="s">
        <v>150</v>
      </c>
      <c r="C68" s="18" t="s">
        <v>83</v>
      </c>
      <c r="D68" s="27">
        <v>35</v>
      </c>
      <c r="E68" s="18">
        <v>139020</v>
      </c>
      <c r="F68" s="18">
        <v>10000</v>
      </c>
      <c r="G68" s="19">
        <f t="shared" si="4"/>
        <v>5215700</v>
      </c>
    </row>
    <row r="69" spans="1:7" s="20" customFormat="1" ht="14.25" thickBot="1">
      <c r="A69" s="18" t="s">
        <v>135</v>
      </c>
      <c r="B69" s="18" t="s">
        <v>150</v>
      </c>
      <c r="C69" s="18" t="s">
        <v>162</v>
      </c>
      <c r="D69" s="27">
        <v>7</v>
      </c>
      <c r="E69" s="18">
        <v>139020</v>
      </c>
      <c r="F69" s="18">
        <v>10000</v>
      </c>
      <c r="G69" s="19">
        <f t="shared" si="4"/>
        <v>1043140</v>
      </c>
    </row>
    <row r="70" spans="1:7" s="20" customFormat="1" ht="14.25" thickBot="1">
      <c r="A70" s="18" t="s">
        <v>135</v>
      </c>
      <c r="B70" s="18" t="s">
        <v>151</v>
      </c>
      <c r="C70" s="18" t="s">
        <v>84</v>
      </c>
      <c r="D70" s="27">
        <v>4</v>
      </c>
      <c r="E70" s="18">
        <v>137449</v>
      </c>
      <c r="F70" s="18">
        <v>10000</v>
      </c>
      <c r="G70" s="19">
        <f t="shared" si="4"/>
        <v>589796</v>
      </c>
    </row>
    <row r="71" spans="1:7" ht="14.25" thickBot="1">
      <c r="A71" s="16"/>
      <c r="B71" s="16" t="s">
        <v>163</v>
      </c>
      <c r="C71" s="16"/>
      <c r="D71" s="28">
        <f>SUM(D53:D70)</f>
        <v>942</v>
      </c>
      <c r="E71" s="16"/>
      <c r="F71" s="16"/>
      <c r="G71" s="17">
        <f>SUM(G53:G70)</f>
        <v>147474868</v>
      </c>
    </row>
    <row r="72" spans="1:7" s="20" customFormat="1" ht="14.25" thickBot="1">
      <c r="A72" s="18" t="s">
        <v>134</v>
      </c>
      <c r="B72" s="18" t="s">
        <v>153</v>
      </c>
      <c r="C72" s="18" t="s">
        <v>85</v>
      </c>
      <c r="D72" s="27">
        <v>75</v>
      </c>
      <c r="E72" s="18">
        <v>150261</v>
      </c>
      <c r="F72" s="18">
        <v>10000</v>
      </c>
      <c r="G72" s="19">
        <f>D72*(E72+F72)</f>
        <v>12019575</v>
      </c>
    </row>
    <row r="73" spans="1:7" s="20" customFormat="1" ht="14.25" thickBot="1">
      <c r="A73" s="18" t="s">
        <v>134</v>
      </c>
      <c r="B73" s="18" t="s">
        <v>148</v>
      </c>
      <c r="C73" s="18" t="s">
        <v>86</v>
      </c>
      <c r="D73" s="26">
        <v>175</v>
      </c>
      <c r="E73" s="18">
        <v>150261</v>
      </c>
      <c r="F73" s="18">
        <v>10000</v>
      </c>
      <c r="G73" s="19">
        <f t="shared" ref="G73:G83" si="5">D73*(E73+F73)</f>
        <v>28045675</v>
      </c>
    </row>
    <row r="74" spans="1:7" s="20" customFormat="1" ht="14.25" thickBot="1">
      <c r="A74" s="18" t="s">
        <v>134</v>
      </c>
      <c r="B74" s="18" t="s">
        <v>154</v>
      </c>
      <c r="C74" s="18" t="s">
        <v>87</v>
      </c>
      <c r="D74" s="27">
        <v>75</v>
      </c>
      <c r="E74" s="18">
        <v>150261</v>
      </c>
      <c r="F74" s="18">
        <v>10000</v>
      </c>
      <c r="G74" s="19">
        <f t="shared" si="5"/>
        <v>12019575</v>
      </c>
    </row>
    <row r="75" spans="1:7" s="20" customFormat="1" ht="14.25" thickBot="1">
      <c r="A75" s="18" t="s">
        <v>134</v>
      </c>
      <c r="B75" s="18" t="s">
        <v>154</v>
      </c>
      <c r="C75" s="18" t="s">
        <v>88</v>
      </c>
      <c r="D75" s="27">
        <v>94</v>
      </c>
      <c r="E75" s="18">
        <v>150261</v>
      </c>
      <c r="F75" s="18">
        <v>10000</v>
      </c>
      <c r="G75" s="19">
        <f t="shared" si="5"/>
        <v>15064534</v>
      </c>
    </row>
    <row r="76" spans="1:7" s="20" customFormat="1" ht="14.25" thickBot="1">
      <c r="A76" s="18" t="s">
        <v>134</v>
      </c>
      <c r="B76" s="18" t="s">
        <v>150</v>
      </c>
      <c r="C76" s="18" t="s">
        <v>89</v>
      </c>
      <c r="D76" s="27">
        <v>29</v>
      </c>
      <c r="E76" s="18">
        <v>139020</v>
      </c>
      <c r="F76" s="18">
        <v>10000</v>
      </c>
      <c r="G76" s="19">
        <f t="shared" si="5"/>
        <v>4321580</v>
      </c>
    </row>
    <row r="77" spans="1:7" s="20" customFormat="1" ht="14.25" thickBot="1">
      <c r="A77" s="18" t="s">
        <v>134</v>
      </c>
      <c r="B77" s="18" t="s">
        <v>150</v>
      </c>
      <c r="C77" s="18" t="s">
        <v>90</v>
      </c>
      <c r="D77" s="27">
        <v>23</v>
      </c>
      <c r="E77" s="18">
        <v>139020</v>
      </c>
      <c r="F77" s="18">
        <v>10000</v>
      </c>
      <c r="G77" s="19">
        <f t="shared" si="5"/>
        <v>3427460</v>
      </c>
    </row>
    <row r="78" spans="1:7" s="20" customFormat="1" ht="14.25" thickBot="1">
      <c r="A78" s="18" t="s">
        <v>134</v>
      </c>
      <c r="B78" s="18" t="s">
        <v>150</v>
      </c>
      <c r="C78" s="18" t="s">
        <v>91</v>
      </c>
      <c r="D78" s="27">
        <v>27</v>
      </c>
      <c r="E78" s="18">
        <v>139020</v>
      </c>
      <c r="F78" s="18">
        <v>10000</v>
      </c>
      <c r="G78" s="19">
        <f t="shared" si="5"/>
        <v>4023540</v>
      </c>
    </row>
    <row r="79" spans="1:7" s="20" customFormat="1" ht="14.25" thickBot="1">
      <c r="A79" s="18" t="s">
        <v>134</v>
      </c>
      <c r="B79" s="18" t="s">
        <v>150</v>
      </c>
      <c r="C79" s="18" t="s">
        <v>92</v>
      </c>
      <c r="D79" s="27">
        <v>48</v>
      </c>
      <c r="E79" s="18">
        <v>139020</v>
      </c>
      <c r="F79" s="18">
        <v>10000</v>
      </c>
      <c r="G79" s="19">
        <f t="shared" si="5"/>
        <v>7152960</v>
      </c>
    </row>
    <row r="80" spans="1:7" s="20" customFormat="1" ht="14.25" thickBot="1">
      <c r="A80" s="18" t="s">
        <v>134</v>
      </c>
      <c r="B80" s="18" t="s">
        <v>150</v>
      </c>
      <c r="C80" s="18" t="s">
        <v>93</v>
      </c>
      <c r="D80" s="27">
        <v>24</v>
      </c>
      <c r="E80" s="18">
        <v>139020</v>
      </c>
      <c r="F80" s="18">
        <v>10000</v>
      </c>
      <c r="G80" s="19">
        <f t="shared" si="5"/>
        <v>3576480</v>
      </c>
    </row>
    <row r="81" spans="1:7" s="20" customFormat="1" ht="14.25" thickBot="1">
      <c r="A81" s="18" t="s">
        <v>134</v>
      </c>
      <c r="B81" s="18" t="s">
        <v>150</v>
      </c>
      <c r="C81" s="18" t="s">
        <v>94</v>
      </c>
      <c r="D81" s="27">
        <v>16</v>
      </c>
      <c r="E81" s="18">
        <v>139020</v>
      </c>
      <c r="F81" s="18">
        <v>10000</v>
      </c>
      <c r="G81" s="19">
        <f t="shared" si="5"/>
        <v>2384320</v>
      </c>
    </row>
    <row r="82" spans="1:7" s="20" customFormat="1" ht="14.25" thickBot="1">
      <c r="A82" s="18" t="s">
        <v>134</v>
      </c>
      <c r="B82" s="18" t="s">
        <v>150</v>
      </c>
      <c r="C82" s="18" t="s">
        <v>164</v>
      </c>
      <c r="D82" s="27">
        <v>5</v>
      </c>
      <c r="E82" s="18">
        <v>139020</v>
      </c>
      <c r="F82" s="18">
        <v>10000</v>
      </c>
      <c r="G82" s="19">
        <f t="shared" si="5"/>
        <v>745100</v>
      </c>
    </row>
    <row r="83" spans="1:7" s="20" customFormat="1" ht="14.25" thickBot="1">
      <c r="A83" s="18" t="s">
        <v>134</v>
      </c>
      <c r="B83" s="18" t="s">
        <v>151</v>
      </c>
      <c r="C83" s="18" t="s">
        <v>95</v>
      </c>
      <c r="D83" s="27">
        <v>9</v>
      </c>
      <c r="E83" s="18">
        <v>137449</v>
      </c>
      <c r="F83" s="18">
        <v>10000</v>
      </c>
      <c r="G83" s="19">
        <f t="shared" si="5"/>
        <v>1327041</v>
      </c>
    </row>
    <row r="84" spans="1:7" ht="14.25" thickBot="1">
      <c r="A84" s="16"/>
      <c r="B84" s="16" t="s">
        <v>96</v>
      </c>
      <c r="C84" s="16"/>
      <c r="D84" s="28">
        <f>SUM(D72:D83)</f>
        <v>600</v>
      </c>
      <c r="E84" s="16"/>
      <c r="F84" s="16"/>
      <c r="G84" s="16">
        <f>SUM(G72:G83)</f>
        <v>94107840</v>
      </c>
    </row>
    <row r="85" spans="1:7" s="20" customFormat="1" ht="14.25" thickBot="1">
      <c r="A85" s="18" t="s">
        <v>165</v>
      </c>
      <c r="B85" s="18" t="s">
        <v>148</v>
      </c>
      <c r="C85" s="18" t="s">
        <v>97</v>
      </c>
      <c r="D85" s="26">
        <v>122</v>
      </c>
      <c r="E85" s="18">
        <v>150261</v>
      </c>
      <c r="F85" s="18">
        <v>10000</v>
      </c>
      <c r="G85" s="19">
        <f>D85*(E85+F85)</f>
        <v>19551842</v>
      </c>
    </row>
    <row r="86" spans="1:7" s="20" customFormat="1" ht="14.25" thickBot="1">
      <c r="A86" s="18" t="s">
        <v>165</v>
      </c>
      <c r="B86" s="18" t="s">
        <v>148</v>
      </c>
      <c r="C86" s="18" t="s">
        <v>166</v>
      </c>
      <c r="D86" s="26">
        <v>149</v>
      </c>
      <c r="E86" s="18">
        <v>150261</v>
      </c>
      <c r="F86" s="18">
        <v>10000</v>
      </c>
      <c r="G86" s="19">
        <f t="shared" ref="G86:G92" si="6">D86*(E86+F86)</f>
        <v>23878889</v>
      </c>
    </row>
    <row r="87" spans="1:7" s="20" customFormat="1" ht="14.25" thickBot="1">
      <c r="A87" s="18" t="s">
        <v>165</v>
      </c>
      <c r="B87" s="18" t="s">
        <v>148</v>
      </c>
      <c r="C87" s="18" t="s">
        <v>167</v>
      </c>
      <c r="D87" s="26">
        <v>150</v>
      </c>
      <c r="E87" s="18">
        <v>150261</v>
      </c>
      <c r="F87" s="18">
        <v>10000</v>
      </c>
      <c r="G87" s="19">
        <f t="shared" si="6"/>
        <v>24039150</v>
      </c>
    </row>
    <row r="88" spans="1:7" s="20" customFormat="1" ht="14.25" thickBot="1">
      <c r="A88" s="18" t="s">
        <v>165</v>
      </c>
      <c r="B88" s="18" t="s">
        <v>150</v>
      </c>
      <c r="C88" s="18" t="s">
        <v>98</v>
      </c>
      <c r="D88" s="27">
        <v>41</v>
      </c>
      <c r="E88" s="18">
        <v>139020</v>
      </c>
      <c r="F88" s="18">
        <v>10000</v>
      </c>
      <c r="G88" s="19">
        <f t="shared" si="6"/>
        <v>6109820</v>
      </c>
    </row>
    <row r="89" spans="1:7" s="20" customFormat="1" ht="14.25" thickBot="1">
      <c r="A89" s="18" t="s">
        <v>165</v>
      </c>
      <c r="B89" s="18" t="s">
        <v>150</v>
      </c>
      <c r="C89" s="18" t="s">
        <v>99</v>
      </c>
      <c r="D89" s="27">
        <v>57</v>
      </c>
      <c r="E89" s="18">
        <v>139020</v>
      </c>
      <c r="F89" s="18">
        <v>10000</v>
      </c>
      <c r="G89" s="19">
        <f t="shared" si="6"/>
        <v>8494140</v>
      </c>
    </row>
    <row r="90" spans="1:7" s="20" customFormat="1" ht="14.25" thickBot="1">
      <c r="A90" s="18" t="s">
        <v>165</v>
      </c>
      <c r="B90" s="18" t="s">
        <v>150</v>
      </c>
      <c r="C90" s="18" t="s">
        <v>100</v>
      </c>
      <c r="D90" s="27">
        <v>29</v>
      </c>
      <c r="E90" s="18">
        <v>139020</v>
      </c>
      <c r="F90" s="18">
        <v>10000</v>
      </c>
      <c r="G90" s="19">
        <f t="shared" si="6"/>
        <v>4321580</v>
      </c>
    </row>
    <row r="91" spans="1:7" s="20" customFormat="1" ht="14.25" thickBot="1">
      <c r="A91" s="18" t="s">
        <v>165</v>
      </c>
      <c r="B91" s="18" t="s">
        <v>150</v>
      </c>
      <c r="C91" s="18" t="s">
        <v>101</v>
      </c>
      <c r="D91" s="27">
        <v>43</v>
      </c>
      <c r="E91" s="18">
        <v>139020</v>
      </c>
      <c r="F91" s="18">
        <v>10000</v>
      </c>
      <c r="G91" s="19">
        <f t="shared" si="6"/>
        <v>6407860</v>
      </c>
    </row>
    <row r="92" spans="1:7" s="20" customFormat="1" ht="14.25" thickBot="1">
      <c r="A92" s="18" t="s">
        <v>165</v>
      </c>
      <c r="B92" s="18" t="s">
        <v>151</v>
      </c>
      <c r="C92" s="18" t="s">
        <v>102</v>
      </c>
      <c r="D92" s="27">
        <v>7</v>
      </c>
      <c r="E92" s="18">
        <v>137449</v>
      </c>
      <c r="F92" s="18">
        <v>10000</v>
      </c>
      <c r="G92" s="19">
        <f t="shared" si="6"/>
        <v>1032143</v>
      </c>
    </row>
    <row r="93" spans="1:7" ht="14.25" thickBot="1">
      <c r="A93" s="16"/>
      <c r="B93" s="16" t="s">
        <v>103</v>
      </c>
      <c r="C93" s="16"/>
      <c r="D93" s="28">
        <f>SUM(D85:D92)</f>
        <v>598</v>
      </c>
      <c r="E93" s="16"/>
      <c r="F93" s="16"/>
      <c r="G93" s="16">
        <f>SUM(G85:G92)</f>
        <v>93835424</v>
      </c>
    </row>
    <row r="94" spans="1:7" s="20" customFormat="1" ht="14.25" thickBot="1">
      <c r="A94" s="18" t="s">
        <v>168</v>
      </c>
      <c r="B94" s="18" t="s">
        <v>153</v>
      </c>
      <c r="C94" s="18" t="s">
        <v>104</v>
      </c>
      <c r="D94" s="27">
        <v>122</v>
      </c>
      <c r="E94" s="18">
        <v>150261</v>
      </c>
      <c r="F94" s="18">
        <v>10000</v>
      </c>
      <c r="G94" s="19">
        <f>D94*(E94+F94)</f>
        <v>19551842</v>
      </c>
    </row>
    <row r="95" spans="1:7" s="20" customFormat="1" ht="14.25" thickBot="1">
      <c r="A95" s="18" t="s">
        <v>168</v>
      </c>
      <c r="B95" s="18" t="s">
        <v>153</v>
      </c>
      <c r="C95" s="18" t="s">
        <v>105</v>
      </c>
      <c r="D95" s="26">
        <v>70</v>
      </c>
      <c r="E95" s="18">
        <v>150261</v>
      </c>
      <c r="F95" s="18">
        <v>10000</v>
      </c>
      <c r="G95" s="19">
        <f t="shared" ref="G95:G107" si="7">D95*(E95+F95)</f>
        <v>11218270</v>
      </c>
    </row>
    <row r="96" spans="1:7" s="20" customFormat="1" ht="14.25" thickBot="1">
      <c r="A96" s="18" t="s">
        <v>168</v>
      </c>
      <c r="B96" s="18" t="s">
        <v>153</v>
      </c>
      <c r="C96" s="18" t="s">
        <v>106</v>
      </c>
      <c r="D96" s="27">
        <v>35</v>
      </c>
      <c r="E96" s="18">
        <v>150261</v>
      </c>
      <c r="F96" s="18">
        <v>10000</v>
      </c>
      <c r="G96" s="19">
        <f t="shared" si="7"/>
        <v>5609135</v>
      </c>
    </row>
    <row r="97" spans="1:7" s="20" customFormat="1" ht="14.25" thickBot="1">
      <c r="A97" s="18" t="s">
        <v>168</v>
      </c>
      <c r="B97" s="18" t="s">
        <v>148</v>
      </c>
      <c r="C97" s="18" t="s">
        <v>169</v>
      </c>
      <c r="D97" s="26">
        <v>150</v>
      </c>
      <c r="E97" s="18">
        <v>150261</v>
      </c>
      <c r="F97" s="18">
        <v>10000</v>
      </c>
      <c r="G97" s="19">
        <f t="shared" si="7"/>
        <v>24039150</v>
      </c>
    </row>
    <row r="98" spans="1:7" s="20" customFormat="1" ht="14.25" thickBot="1">
      <c r="A98" s="18" t="s">
        <v>168</v>
      </c>
      <c r="B98" s="18" t="s">
        <v>154</v>
      </c>
      <c r="C98" s="18" t="s">
        <v>107</v>
      </c>
      <c r="D98" s="27">
        <v>84</v>
      </c>
      <c r="E98" s="18">
        <v>150261</v>
      </c>
      <c r="F98" s="18">
        <v>10000</v>
      </c>
      <c r="G98" s="19">
        <f t="shared" si="7"/>
        <v>13461924</v>
      </c>
    </row>
    <row r="99" spans="1:7" s="20" customFormat="1" ht="14.25" thickBot="1">
      <c r="A99" s="18" t="s">
        <v>168</v>
      </c>
      <c r="B99" s="18" t="s">
        <v>154</v>
      </c>
      <c r="C99" s="18" t="s">
        <v>108</v>
      </c>
      <c r="D99" s="27">
        <v>198</v>
      </c>
      <c r="E99" s="18">
        <v>150261</v>
      </c>
      <c r="F99" s="18">
        <v>10000</v>
      </c>
      <c r="G99" s="19">
        <f t="shared" si="7"/>
        <v>31731678</v>
      </c>
    </row>
    <row r="100" spans="1:7" s="20" customFormat="1" ht="14.25" thickBot="1">
      <c r="A100" s="18" t="s">
        <v>168</v>
      </c>
      <c r="B100" s="18" t="s">
        <v>154</v>
      </c>
      <c r="C100" s="18" t="s">
        <v>109</v>
      </c>
      <c r="D100" s="27">
        <v>94</v>
      </c>
      <c r="E100" s="18">
        <v>150261</v>
      </c>
      <c r="F100" s="18">
        <v>10000</v>
      </c>
      <c r="G100" s="19">
        <f t="shared" si="7"/>
        <v>15064534</v>
      </c>
    </row>
    <row r="101" spans="1:7" s="20" customFormat="1" ht="14.25" thickBot="1">
      <c r="A101" s="18" t="s">
        <v>168</v>
      </c>
      <c r="B101" s="18" t="s">
        <v>154</v>
      </c>
      <c r="C101" s="18" t="s">
        <v>110</v>
      </c>
      <c r="D101" s="27">
        <v>33</v>
      </c>
      <c r="E101" s="18">
        <v>150261</v>
      </c>
      <c r="F101" s="18">
        <v>10000</v>
      </c>
      <c r="G101" s="19">
        <f t="shared" si="7"/>
        <v>5288613</v>
      </c>
    </row>
    <row r="102" spans="1:7" s="20" customFormat="1" ht="14.25" thickBot="1">
      <c r="A102" s="18" t="s">
        <v>168</v>
      </c>
      <c r="B102" s="18" t="s">
        <v>150</v>
      </c>
      <c r="C102" s="18" t="s">
        <v>111</v>
      </c>
      <c r="D102" s="27">
        <v>51</v>
      </c>
      <c r="E102" s="18">
        <v>139020</v>
      </c>
      <c r="F102" s="18">
        <v>10000</v>
      </c>
      <c r="G102" s="19">
        <f t="shared" si="7"/>
        <v>7600020</v>
      </c>
    </row>
    <row r="103" spans="1:7" s="20" customFormat="1" ht="14.25" thickBot="1">
      <c r="A103" s="18" t="s">
        <v>168</v>
      </c>
      <c r="B103" s="18" t="s">
        <v>150</v>
      </c>
      <c r="C103" s="18" t="s">
        <v>112</v>
      </c>
      <c r="D103" s="27">
        <v>53</v>
      </c>
      <c r="E103" s="18">
        <v>139020</v>
      </c>
      <c r="F103" s="18">
        <v>10000</v>
      </c>
      <c r="G103" s="19">
        <f t="shared" si="7"/>
        <v>7898060</v>
      </c>
    </row>
    <row r="104" spans="1:7" s="20" customFormat="1" ht="14.25" thickBot="1">
      <c r="A104" s="18" t="s">
        <v>168</v>
      </c>
      <c r="B104" s="18" t="s">
        <v>150</v>
      </c>
      <c r="C104" s="18" t="s">
        <v>113</v>
      </c>
      <c r="D104" s="27">
        <v>39</v>
      </c>
      <c r="E104" s="18">
        <v>139020</v>
      </c>
      <c r="F104" s="18">
        <v>10000</v>
      </c>
      <c r="G104" s="19">
        <f t="shared" si="7"/>
        <v>5811780</v>
      </c>
    </row>
    <row r="105" spans="1:7" s="20" customFormat="1" ht="14.25" thickBot="1">
      <c r="A105" s="18" t="s">
        <v>168</v>
      </c>
      <c r="B105" s="18" t="s">
        <v>150</v>
      </c>
      <c r="C105" s="18" t="s">
        <v>114</v>
      </c>
      <c r="D105" s="27">
        <v>43</v>
      </c>
      <c r="E105" s="18">
        <v>139020</v>
      </c>
      <c r="F105" s="18">
        <v>10000</v>
      </c>
      <c r="G105" s="19">
        <f t="shared" si="7"/>
        <v>6407860</v>
      </c>
    </row>
    <row r="106" spans="1:7" s="20" customFormat="1" ht="14.25" thickBot="1">
      <c r="A106" s="18" t="s">
        <v>168</v>
      </c>
      <c r="B106" s="18" t="s">
        <v>150</v>
      </c>
      <c r="C106" s="18" t="s">
        <v>115</v>
      </c>
      <c r="D106" s="27">
        <v>31</v>
      </c>
      <c r="E106" s="18">
        <v>139020</v>
      </c>
      <c r="F106" s="18">
        <v>10000</v>
      </c>
      <c r="G106" s="19">
        <f t="shared" si="7"/>
        <v>4619620</v>
      </c>
    </row>
    <row r="107" spans="1:7" s="20" customFormat="1" ht="14.25" thickBot="1">
      <c r="A107" s="18" t="s">
        <v>168</v>
      </c>
      <c r="B107" s="18" t="s">
        <v>151</v>
      </c>
      <c r="C107" s="18" t="s">
        <v>116</v>
      </c>
      <c r="D107" s="27">
        <v>5</v>
      </c>
      <c r="E107" s="18">
        <v>137449</v>
      </c>
      <c r="F107" s="18">
        <v>10000</v>
      </c>
      <c r="G107" s="19">
        <f t="shared" si="7"/>
        <v>737245</v>
      </c>
    </row>
    <row r="108" spans="1:7" ht="14.25" thickBot="1">
      <c r="A108" s="16"/>
      <c r="B108" s="16" t="s">
        <v>170</v>
      </c>
      <c r="C108" s="16"/>
      <c r="D108" s="28">
        <f>SUM(D94:D107)</f>
        <v>1008</v>
      </c>
      <c r="E108" s="16"/>
      <c r="F108" s="16"/>
      <c r="G108" s="17">
        <f>SUM(G94:G107)</f>
        <v>159039731</v>
      </c>
    </row>
    <row r="109" spans="1:7" s="20" customFormat="1" ht="14.25" thickBot="1">
      <c r="A109" s="18" t="s">
        <v>117</v>
      </c>
      <c r="B109" s="18" t="s">
        <v>153</v>
      </c>
      <c r="C109" s="18" t="s">
        <v>118</v>
      </c>
      <c r="D109" s="27">
        <v>85</v>
      </c>
      <c r="E109" s="18">
        <v>150261</v>
      </c>
      <c r="F109" s="18">
        <v>10000</v>
      </c>
      <c r="G109" s="19">
        <f>D109*(E109+F109)</f>
        <v>13622185</v>
      </c>
    </row>
    <row r="110" spans="1:7" s="20" customFormat="1" ht="14.25" thickBot="1">
      <c r="A110" s="18" t="s">
        <v>117</v>
      </c>
      <c r="B110" s="18" t="s">
        <v>153</v>
      </c>
      <c r="C110" s="18" t="s">
        <v>119</v>
      </c>
      <c r="D110" s="27">
        <v>64</v>
      </c>
      <c r="E110" s="18">
        <v>150261</v>
      </c>
      <c r="F110" s="18">
        <v>10000</v>
      </c>
      <c r="G110" s="19">
        <f t="shared" ref="G110:G118" si="8">D110*(E110+F110)</f>
        <v>10256704</v>
      </c>
    </row>
    <row r="111" spans="1:7" s="20" customFormat="1" ht="14.25" thickBot="1">
      <c r="A111" s="18" t="s">
        <v>117</v>
      </c>
      <c r="B111" s="18" t="s">
        <v>148</v>
      </c>
      <c r="C111" s="18" t="s">
        <v>171</v>
      </c>
      <c r="D111" s="26">
        <v>118</v>
      </c>
      <c r="E111" s="18">
        <v>150261</v>
      </c>
      <c r="F111" s="18">
        <v>10000</v>
      </c>
      <c r="G111" s="19">
        <f t="shared" si="8"/>
        <v>18910798</v>
      </c>
    </row>
    <row r="112" spans="1:7" s="20" customFormat="1" ht="14.25" thickBot="1">
      <c r="A112" s="18" t="s">
        <v>117</v>
      </c>
      <c r="B112" s="18" t="s">
        <v>154</v>
      </c>
      <c r="C112" s="18" t="s">
        <v>120</v>
      </c>
      <c r="D112" s="27">
        <v>86</v>
      </c>
      <c r="E112" s="18">
        <v>150261</v>
      </c>
      <c r="F112" s="18">
        <v>10000</v>
      </c>
      <c r="G112" s="19">
        <f t="shared" si="8"/>
        <v>13782446</v>
      </c>
    </row>
    <row r="113" spans="1:7" s="20" customFormat="1" ht="14.25" thickBot="1">
      <c r="A113" s="18" t="s">
        <v>117</v>
      </c>
      <c r="B113" s="18" t="s">
        <v>154</v>
      </c>
      <c r="C113" s="18" t="s">
        <v>121</v>
      </c>
      <c r="D113" s="27">
        <v>65</v>
      </c>
      <c r="E113" s="18">
        <v>150261</v>
      </c>
      <c r="F113" s="18">
        <v>10000</v>
      </c>
      <c r="G113" s="19">
        <f t="shared" si="8"/>
        <v>10416965</v>
      </c>
    </row>
    <row r="114" spans="1:7" s="20" customFormat="1" ht="14.25" thickBot="1">
      <c r="A114" s="18" t="s">
        <v>117</v>
      </c>
      <c r="B114" s="18" t="s">
        <v>150</v>
      </c>
      <c r="C114" s="18" t="s">
        <v>122</v>
      </c>
      <c r="D114" s="27">
        <v>52</v>
      </c>
      <c r="E114" s="18">
        <v>139020</v>
      </c>
      <c r="F114" s="18">
        <v>10000</v>
      </c>
      <c r="G114" s="19">
        <f t="shared" si="8"/>
        <v>7749040</v>
      </c>
    </row>
    <row r="115" spans="1:7" s="20" customFormat="1" ht="14.25" thickBot="1">
      <c r="A115" s="18" t="s">
        <v>117</v>
      </c>
      <c r="B115" s="18" t="s">
        <v>150</v>
      </c>
      <c r="C115" s="18" t="s">
        <v>123</v>
      </c>
      <c r="D115" s="27">
        <v>48</v>
      </c>
      <c r="E115" s="18">
        <v>139020</v>
      </c>
      <c r="F115" s="18">
        <v>10000</v>
      </c>
      <c r="G115" s="19">
        <f t="shared" si="8"/>
        <v>7152960</v>
      </c>
    </row>
    <row r="116" spans="1:7" s="20" customFormat="1" ht="14.25" thickBot="1">
      <c r="A116" s="18" t="s">
        <v>117</v>
      </c>
      <c r="B116" s="18" t="s">
        <v>150</v>
      </c>
      <c r="C116" s="18" t="s">
        <v>124</v>
      </c>
      <c r="D116" s="27">
        <v>40</v>
      </c>
      <c r="E116" s="18">
        <v>139020</v>
      </c>
      <c r="F116" s="18">
        <v>10000</v>
      </c>
      <c r="G116" s="19">
        <f t="shared" si="8"/>
        <v>5960800</v>
      </c>
    </row>
    <row r="117" spans="1:7" s="20" customFormat="1" ht="14.25" thickBot="1">
      <c r="A117" s="18" t="s">
        <v>117</v>
      </c>
      <c r="B117" s="18" t="s">
        <v>150</v>
      </c>
      <c r="C117" s="18" t="s">
        <v>125</v>
      </c>
      <c r="D117" s="27">
        <v>47</v>
      </c>
      <c r="E117" s="18">
        <v>139020</v>
      </c>
      <c r="F117" s="18">
        <v>10000</v>
      </c>
      <c r="G117" s="19">
        <f t="shared" si="8"/>
        <v>7003940</v>
      </c>
    </row>
    <row r="118" spans="1:7" s="20" customFormat="1" ht="14.25" thickBot="1">
      <c r="A118" s="18" t="s">
        <v>117</v>
      </c>
      <c r="B118" s="18" t="s">
        <v>151</v>
      </c>
      <c r="C118" s="18" t="s">
        <v>126</v>
      </c>
      <c r="D118" s="27">
        <v>1</v>
      </c>
      <c r="E118" s="18">
        <v>137449</v>
      </c>
      <c r="F118" s="18">
        <v>10000</v>
      </c>
      <c r="G118" s="19">
        <f t="shared" si="8"/>
        <v>147449</v>
      </c>
    </row>
    <row r="119" spans="1:7" ht="14.25" thickBot="1">
      <c r="A119" s="16"/>
      <c r="B119" s="16" t="s">
        <v>127</v>
      </c>
      <c r="C119" s="16"/>
      <c r="D119" s="28">
        <f>SUM(D109:D118)</f>
        <v>606</v>
      </c>
      <c r="E119" s="16"/>
      <c r="F119" s="16"/>
      <c r="G119" s="16">
        <f>SUM(G109:G118)</f>
        <v>95003287</v>
      </c>
    </row>
    <row r="120" spans="1:7" ht="14.25" thickBot="1">
      <c r="A120" s="16"/>
      <c r="B120" s="16" t="s">
        <v>3</v>
      </c>
      <c r="C120" s="16"/>
      <c r="D120" s="28">
        <f>SUM(D119,D108,D93,D84,D71,D52,D34,D16,D8)</f>
        <v>6639</v>
      </c>
      <c r="E120" s="16"/>
      <c r="F120" s="16"/>
      <c r="G120" s="17">
        <f>SUM(G119,G108,G93,G84,G71,G52,G34,G16,G8)</f>
        <v>1042268116</v>
      </c>
    </row>
  </sheetData>
  <mergeCells count="1">
    <mergeCell ref="A1:G1"/>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
  <sheetViews>
    <sheetView topLeftCell="I1" workbookViewId="0">
      <selection activeCell="AD4" sqref="AD4"/>
    </sheetView>
  </sheetViews>
  <sheetFormatPr defaultRowHeight="12"/>
  <cols>
    <col min="1" max="1" width="18.625" style="66" customWidth="1"/>
    <col min="2" max="2" width="7.125" style="66" customWidth="1"/>
    <col min="3" max="3" width="8.375" style="66" customWidth="1"/>
    <col min="4" max="4" width="7.625" style="66" customWidth="1"/>
    <col min="5" max="5" width="6.375" style="66" customWidth="1"/>
    <col min="6" max="6" width="10.75" style="85" customWidth="1"/>
    <col min="7" max="7" width="15.75" style="86" customWidth="1"/>
    <col min="8" max="8" width="6.625" style="66" customWidth="1"/>
    <col min="9" max="9" width="10.75" style="66" customWidth="1"/>
    <col min="10" max="10" width="11" style="66" customWidth="1"/>
    <col min="11" max="11" width="12.5" style="66" customWidth="1"/>
    <col min="12" max="12" width="12.25" style="66" customWidth="1"/>
    <col min="13" max="15" width="9" style="66"/>
    <col min="16" max="16" width="10" style="66" bestFit="1" customWidth="1"/>
    <col min="17" max="23" width="9" style="66"/>
    <col min="24" max="24" width="12.625" style="66" customWidth="1"/>
    <col min="25" max="25" width="12" style="66" customWidth="1"/>
    <col min="26" max="28" width="9" style="66"/>
    <col min="29" max="29" width="10.5" style="66" bestFit="1" customWidth="1"/>
    <col min="30" max="30" width="10" style="66" bestFit="1" customWidth="1"/>
    <col min="31" max="16384" width="9" style="66"/>
  </cols>
  <sheetData>
    <row r="1" spans="1:30" ht="31.5" customHeight="1">
      <c r="A1" s="1340" t="s">
        <v>496</v>
      </c>
      <c r="B1" s="1340"/>
      <c r="C1" s="1340"/>
      <c r="D1" s="1340"/>
      <c r="E1" s="1340"/>
      <c r="F1" s="1340"/>
      <c r="G1" s="1340"/>
      <c r="H1" s="1340"/>
      <c r="I1" s="1340"/>
      <c r="J1" s="1340"/>
      <c r="K1" s="1340"/>
      <c r="L1" s="1341"/>
      <c r="M1" s="1341"/>
      <c r="N1" s="1341"/>
      <c r="O1" s="1341"/>
      <c r="P1" s="1341"/>
      <c r="Q1" s="1341"/>
      <c r="R1" s="1341"/>
      <c r="S1" s="1341"/>
      <c r="T1" s="1341"/>
      <c r="U1" s="1341"/>
      <c r="V1" s="1341"/>
      <c r="W1" s="1341"/>
      <c r="X1" s="1341"/>
      <c r="Y1" s="1341"/>
      <c r="Z1" s="1341"/>
      <c r="AA1" s="1341"/>
      <c r="AB1" s="1341"/>
      <c r="AC1" s="1341"/>
      <c r="AD1" s="1341"/>
    </row>
    <row r="2" spans="1:30" s="65" customFormat="1" ht="39.950000000000003" customHeight="1">
      <c r="A2" s="1338" t="s">
        <v>497</v>
      </c>
      <c r="B2" s="1339"/>
      <c r="C2" s="67" t="s">
        <v>498</v>
      </c>
      <c r="D2" s="68" t="s">
        <v>499</v>
      </c>
      <c r="E2" s="68" t="s">
        <v>500</v>
      </c>
      <c r="F2" s="69" t="s">
        <v>483</v>
      </c>
      <c r="G2" s="70" t="s">
        <v>484</v>
      </c>
      <c r="H2" s="71" t="s">
        <v>485</v>
      </c>
      <c r="I2" s="71" t="s">
        <v>501</v>
      </c>
      <c r="J2" s="71" t="s">
        <v>486</v>
      </c>
      <c r="K2" s="71" t="s">
        <v>502</v>
      </c>
      <c r="L2" s="72" t="s">
        <v>503</v>
      </c>
      <c r="M2" s="73" t="s">
        <v>504</v>
      </c>
      <c r="N2" s="68" t="s">
        <v>505</v>
      </c>
      <c r="O2" s="68" t="s">
        <v>506</v>
      </c>
      <c r="P2" s="74" t="s">
        <v>507</v>
      </c>
      <c r="Q2" s="68" t="s">
        <v>508</v>
      </c>
      <c r="R2" s="68" t="s">
        <v>500</v>
      </c>
      <c r="S2" s="69" t="s">
        <v>483</v>
      </c>
      <c r="T2" s="70" t="s">
        <v>484</v>
      </c>
      <c r="U2" s="71" t="s">
        <v>485</v>
      </c>
      <c r="V2" s="71" t="s">
        <v>509</v>
      </c>
      <c r="W2" s="71" t="s">
        <v>486</v>
      </c>
      <c r="X2" s="71" t="s">
        <v>502</v>
      </c>
      <c r="Y2" s="71" t="s">
        <v>510</v>
      </c>
      <c r="Z2" s="71" t="s">
        <v>511</v>
      </c>
      <c r="AA2" s="71" t="s">
        <v>512</v>
      </c>
      <c r="AB2" s="71" t="s">
        <v>486</v>
      </c>
      <c r="AC2" s="75" t="s">
        <v>513</v>
      </c>
      <c r="AD2" s="75" t="s">
        <v>514</v>
      </c>
    </row>
    <row r="3" spans="1:30" ht="26.1" customHeight="1">
      <c r="A3" s="1346" t="s">
        <v>515</v>
      </c>
      <c r="B3" s="1346"/>
      <c r="C3" s="84" t="s">
        <v>516</v>
      </c>
      <c r="D3" s="76">
        <v>1</v>
      </c>
      <c r="E3" s="81">
        <v>5</v>
      </c>
      <c r="F3" s="77">
        <f t="shared" ref="F3:F5" si="0">72000/12*3</f>
        <v>18000</v>
      </c>
      <c r="G3" s="77">
        <f t="shared" ref="G3" si="1">F3*E3</f>
        <v>90000</v>
      </c>
      <c r="H3" s="76">
        <v>0</v>
      </c>
      <c r="I3" s="76">
        <f t="shared" ref="I3" si="2">H3*45</f>
        <v>0</v>
      </c>
      <c r="J3" s="83">
        <f t="shared" ref="J3" si="3">ROUND(I3*7*33,2)</f>
        <v>0</v>
      </c>
      <c r="K3" s="83">
        <f t="shared" ref="K3" si="4">ROUND(G3+J3,2)</f>
        <v>90000</v>
      </c>
      <c r="L3" s="79"/>
      <c r="M3" s="79"/>
      <c r="N3" s="79"/>
      <c r="O3" s="79"/>
      <c r="P3" s="80">
        <f t="shared" ref="P3" si="5">K3+O3</f>
        <v>90000</v>
      </c>
      <c r="Q3" s="76">
        <v>1</v>
      </c>
      <c r="R3" s="81">
        <v>5</v>
      </c>
      <c r="S3" s="77">
        <f t="shared" ref="S3" si="6">74872/12*9</f>
        <v>56154</v>
      </c>
      <c r="T3" s="77">
        <f t="shared" ref="T3" si="7">S3*R3</f>
        <v>280770</v>
      </c>
      <c r="U3" s="76">
        <v>0</v>
      </c>
      <c r="V3" s="76">
        <f t="shared" ref="V3" si="8">U3*165</f>
        <v>0</v>
      </c>
      <c r="W3" s="78">
        <f t="shared" ref="W3" si="9">ROUND(V3*7*34.6,2)</f>
        <v>0</v>
      </c>
      <c r="X3" s="83">
        <f t="shared" ref="X3" si="10">ROUND(T3+W3,2)</f>
        <v>280770</v>
      </c>
      <c r="Y3" s="79"/>
      <c r="Z3" s="79"/>
      <c r="AA3" s="79"/>
      <c r="AB3" s="79"/>
      <c r="AC3" s="80">
        <f t="shared" ref="AC3" si="11">X3+AB3</f>
        <v>280770</v>
      </c>
      <c r="AD3" s="80">
        <f t="shared" ref="AD3" si="12">P3+AC3</f>
        <v>370770</v>
      </c>
    </row>
    <row r="4" spans="1:30" ht="26.1" customHeight="1">
      <c r="A4" s="1343" t="s">
        <v>517</v>
      </c>
      <c r="B4" s="1344"/>
      <c r="C4" s="1344"/>
      <c r="D4" s="82">
        <f>SUM(D3:D3)</f>
        <v>1</v>
      </c>
      <c r="E4" s="82">
        <f>SUM(E3:E3)</f>
        <v>5</v>
      </c>
      <c r="F4" s="82">
        <v>18000</v>
      </c>
      <c r="G4" s="82">
        <f t="shared" ref="G4:AD4" si="13">SUM(G3:G3)</f>
        <v>90000</v>
      </c>
      <c r="H4" s="82">
        <f t="shared" si="13"/>
        <v>0</v>
      </c>
      <c r="I4" s="82">
        <f t="shared" si="13"/>
        <v>0</v>
      </c>
      <c r="J4" s="82">
        <f t="shared" si="13"/>
        <v>0</v>
      </c>
      <c r="K4" s="82">
        <f t="shared" si="13"/>
        <v>90000</v>
      </c>
      <c r="L4" s="82">
        <f t="shared" si="13"/>
        <v>0</v>
      </c>
      <c r="M4" s="82">
        <f t="shared" si="13"/>
        <v>0</v>
      </c>
      <c r="N4" s="82">
        <f t="shared" si="13"/>
        <v>0</v>
      </c>
      <c r="O4" s="82">
        <f t="shared" si="13"/>
        <v>0</v>
      </c>
      <c r="P4" s="82">
        <f t="shared" si="13"/>
        <v>90000</v>
      </c>
      <c r="Q4" s="82">
        <f t="shared" si="13"/>
        <v>1</v>
      </c>
      <c r="R4" s="82">
        <f t="shared" si="13"/>
        <v>5</v>
      </c>
      <c r="S4" s="82">
        <f t="shared" si="13"/>
        <v>56154</v>
      </c>
      <c r="T4" s="82">
        <f t="shared" si="13"/>
        <v>280770</v>
      </c>
      <c r="U4" s="82">
        <f t="shared" si="13"/>
        <v>0</v>
      </c>
      <c r="V4" s="82">
        <f t="shared" si="13"/>
        <v>0</v>
      </c>
      <c r="W4" s="82">
        <f t="shared" si="13"/>
        <v>0</v>
      </c>
      <c r="X4" s="82">
        <f t="shared" si="13"/>
        <v>280770</v>
      </c>
      <c r="Y4" s="82">
        <f t="shared" si="13"/>
        <v>0</v>
      </c>
      <c r="Z4" s="82">
        <f t="shared" si="13"/>
        <v>0</v>
      </c>
      <c r="AA4" s="82">
        <f t="shared" si="13"/>
        <v>0</v>
      </c>
      <c r="AB4" s="82">
        <f t="shared" si="13"/>
        <v>0</v>
      </c>
      <c r="AC4" s="82">
        <f t="shared" si="13"/>
        <v>280770</v>
      </c>
      <c r="AD4" s="82">
        <f t="shared" si="13"/>
        <v>370770</v>
      </c>
    </row>
    <row r="5" spans="1:30" ht="26.1" customHeight="1">
      <c r="A5" s="1345" t="s">
        <v>519</v>
      </c>
      <c r="B5" s="1346"/>
      <c r="C5" s="84" t="s">
        <v>516</v>
      </c>
      <c r="D5" s="76">
        <v>1</v>
      </c>
      <c r="E5" s="81">
        <v>5</v>
      </c>
      <c r="F5" s="77">
        <f t="shared" si="0"/>
        <v>18000</v>
      </c>
      <c r="G5" s="77">
        <f t="shared" ref="G5" si="14">F5*E5</f>
        <v>90000</v>
      </c>
      <c r="H5" s="81">
        <v>0</v>
      </c>
      <c r="I5" s="76">
        <f t="shared" ref="I5" si="15">H5*45</f>
        <v>0</v>
      </c>
      <c r="J5" s="83">
        <f t="shared" ref="J5" si="16">ROUND(I5*7*33,2)</f>
        <v>0</v>
      </c>
      <c r="K5" s="83">
        <f t="shared" ref="K5" si="17">ROUND(G5+J5,2)</f>
        <v>90000</v>
      </c>
      <c r="L5" s="79"/>
      <c r="M5" s="79"/>
      <c r="N5" s="79"/>
      <c r="O5" s="79"/>
      <c r="P5" s="80">
        <f t="shared" ref="P5" si="18">K5+O5</f>
        <v>90000</v>
      </c>
      <c r="Q5" s="76">
        <v>1</v>
      </c>
      <c r="R5" s="81">
        <v>5</v>
      </c>
      <c r="S5" s="77">
        <f t="shared" ref="S5" si="19">74872/12*9</f>
        <v>56154</v>
      </c>
      <c r="T5" s="77">
        <f t="shared" ref="T5" si="20">S5*R5</f>
        <v>280770</v>
      </c>
      <c r="U5" s="81">
        <v>0</v>
      </c>
      <c r="V5" s="76">
        <f t="shared" ref="V5" si="21">U5*165</f>
        <v>0</v>
      </c>
      <c r="W5" s="78">
        <f t="shared" ref="W5" si="22">ROUND(V5*7*34.6,2)</f>
        <v>0</v>
      </c>
      <c r="X5" s="83">
        <f t="shared" ref="X5" si="23">ROUND(T5+W5,2)</f>
        <v>280770</v>
      </c>
      <c r="Y5" s="79"/>
      <c r="Z5" s="79"/>
      <c r="AA5" s="79"/>
      <c r="AB5" s="79"/>
      <c r="AC5" s="80">
        <f t="shared" ref="AC5" si="24">X5+AB5</f>
        <v>280770</v>
      </c>
      <c r="AD5" s="80">
        <f t="shared" ref="AD5" si="25">P5+AC5</f>
        <v>370770</v>
      </c>
    </row>
    <row r="6" spans="1:30" ht="26.1" customHeight="1">
      <c r="A6" s="1343" t="s">
        <v>518</v>
      </c>
      <c r="B6" s="1344"/>
      <c r="C6" s="1344"/>
      <c r="D6" s="82">
        <f>SUM(D5:D5)</f>
        <v>1</v>
      </c>
      <c r="E6" s="82">
        <f>SUM(E5:E5)</f>
        <v>5</v>
      </c>
      <c r="F6" s="82">
        <v>18000</v>
      </c>
      <c r="G6" s="82">
        <f t="shared" ref="G6:AD6" si="26">SUM(G5:G5)</f>
        <v>90000</v>
      </c>
      <c r="H6" s="82">
        <f t="shared" si="26"/>
        <v>0</v>
      </c>
      <c r="I6" s="82">
        <f t="shared" si="26"/>
        <v>0</v>
      </c>
      <c r="J6" s="82">
        <f t="shared" si="26"/>
        <v>0</v>
      </c>
      <c r="K6" s="82">
        <f t="shared" si="26"/>
        <v>90000</v>
      </c>
      <c r="L6" s="82">
        <f t="shared" si="26"/>
        <v>0</v>
      </c>
      <c r="M6" s="82">
        <f t="shared" si="26"/>
        <v>0</v>
      </c>
      <c r="N6" s="82">
        <f t="shared" si="26"/>
        <v>0</v>
      </c>
      <c r="O6" s="82">
        <f t="shared" si="26"/>
        <v>0</v>
      </c>
      <c r="P6" s="82">
        <f t="shared" si="26"/>
        <v>90000</v>
      </c>
      <c r="Q6" s="82">
        <f t="shared" si="26"/>
        <v>1</v>
      </c>
      <c r="R6" s="82">
        <f t="shared" si="26"/>
        <v>5</v>
      </c>
      <c r="S6" s="82">
        <f t="shared" si="26"/>
        <v>56154</v>
      </c>
      <c r="T6" s="82">
        <f t="shared" si="26"/>
        <v>280770</v>
      </c>
      <c r="U6" s="82">
        <f t="shared" si="26"/>
        <v>0</v>
      </c>
      <c r="V6" s="82">
        <f t="shared" si="26"/>
        <v>0</v>
      </c>
      <c r="W6" s="82">
        <f t="shared" si="26"/>
        <v>0</v>
      </c>
      <c r="X6" s="82">
        <f t="shared" si="26"/>
        <v>280770</v>
      </c>
      <c r="Y6" s="82">
        <f t="shared" si="26"/>
        <v>0</v>
      </c>
      <c r="Z6" s="82">
        <f t="shared" si="26"/>
        <v>0</v>
      </c>
      <c r="AA6" s="82">
        <f t="shared" si="26"/>
        <v>0</v>
      </c>
      <c r="AB6" s="82">
        <f t="shared" si="26"/>
        <v>0</v>
      </c>
      <c r="AC6" s="82">
        <f t="shared" si="26"/>
        <v>280770</v>
      </c>
      <c r="AD6" s="82">
        <f t="shared" si="26"/>
        <v>370770</v>
      </c>
    </row>
    <row r="7" spans="1:30" s="88" customFormat="1" ht="26.1" customHeight="1">
      <c r="A7" s="1342"/>
      <c r="B7" s="1342"/>
      <c r="C7" s="1342"/>
      <c r="D7" s="87">
        <f>D4+D6</f>
        <v>2</v>
      </c>
      <c r="E7" s="87">
        <f t="shared" ref="E7:AC7" si="27">E4+E6</f>
        <v>10</v>
      </c>
      <c r="F7" s="87">
        <v>18000</v>
      </c>
      <c r="G7" s="87">
        <f t="shared" si="27"/>
        <v>180000</v>
      </c>
      <c r="H7" s="87">
        <f t="shared" si="27"/>
        <v>0</v>
      </c>
      <c r="I7" s="87">
        <f t="shared" si="27"/>
        <v>0</v>
      </c>
      <c r="J7" s="87">
        <f t="shared" si="27"/>
        <v>0</v>
      </c>
      <c r="K7" s="87">
        <f t="shared" si="27"/>
        <v>180000</v>
      </c>
      <c r="L7" s="87">
        <f t="shared" si="27"/>
        <v>0</v>
      </c>
      <c r="M7" s="87">
        <f t="shared" si="27"/>
        <v>0</v>
      </c>
      <c r="N7" s="87">
        <f t="shared" si="27"/>
        <v>0</v>
      </c>
      <c r="O7" s="87">
        <f t="shared" si="27"/>
        <v>0</v>
      </c>
      <c r="P7" s="87">
        <f t="shared" si="27"/>
        <v>180000</v>
      </c>
      <c r="Q7" s="87">
        <f t="shared" si="27"/>
        <v>2</v>
      </c>
      <c r="R7" s="87">
        <f t="shared" si="27"/>
        <v>10</v>
      </c>
      <c r="S7" s="87">
        <v>56154</v>
      </c>
      <c r="T7" s="87">
        <f t="shared" si="27"/>
        <v>561540</v>
      </c>
      <c r="U7" s="87">
        <f t="shared" si="27"/>
        <v>0</v>
      </c>
      <c r="V7" s="87">
        <f t="shared" si="27"/>
        <v>0</v>
      </c>
      <c r="W7" s="87">
        <f t="shared" si="27"/>
        <v>0</v>
      </c>
      <c r="X7" s="87">
        <f t="shared" si="27"/>
        <v>561540</v>
      </c>
      <c r="Y7" s="87">
        <f t="shared" si="27"/>
        <v>0</v>
      </c>
      <c r="Z7" s="87">
        <f t="shared" si="27"/>
        <v>0</v>
      </c>
      <c r="AA7" s="87">
        <f t="shared" si="27"/>
        <v>0</v>
      </c>
      <c r="AB7" s="87">
        <f t="shared" si="27"/>
        <v>0</v>
      </c>
      <c r="AC7" s="87">
        <f t="shared" si="27"/>
        <v>561540</v>
      </c>
      <c r="AD7" s="87">
        <f>AD4+AD6</f>
        <v>741540</v>
      </c>
    </row>
  </sheetData>
  <mergeCells count="7">
    <mergeCell ref="A2:B2"/>
    <mergeCell ref="A1:AD1"/>
    <mergeCell ref="A7:C7"/>
    <mergeCell ref="A6:C6"/>
    <mergeCell ref="A5:B5"/>
    <mergeCell ref="A4:C4"/>
    <mergeCell ref="A3:B3"/>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9"/>
  <sheetViews>
    <sheetView workbookViewId="0">
      <selection activeCell="J3" sqref="J3:J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10" ht="25.5">
      <c r="A1" s="1332" t="s">
        <v>437</v>
      </c>
      <c r="B1" s="1333"/>
      <c r="C1" s="1333"/>
      <c r="D1" s="1333"/>
      <c r="E1" s="1333"/>
      <c r="F1" s="1333"/>
      <c r="G1" s="1333"/>
      <c r="H1" s="1333"/>
      <c r="I1" s="1333"/>
      <c r="J1" s="1333"/>
    </row>
    <row r="2" spans="1:10" ht="30" customHeight="1">
      <c r="A2" s="31" t="s">
        <v>0</v>
      </c>
      <c r="B2" s="31" t="s">
        <v>180</v>
      </c>
      <c r="C2" s="31" t="s">
        <v>181</v>
      </c>
      <c r="D2" s="32" t="s">
        <v>182</v>
      </c>
      <c r="E2" s="32" t="s">
        <v>178</v>
      </c>
      <c r="F2" s="32" t="s">
        <v>438</v>
      </c>
      <c r="G2" s="32" t="s">
        <v>27</v>
      </c>
      <c r="H2" s="32" t="s">
        <v>439</v>
      </c>
      <c r="I2" s="32" t="s">
        <v>429</v>
      </c>
      <c r="J2" s="32" t="s">
        <v>25</v>
      </c>
    </row>
    <row r="3" spans="1:10">
      <c r="A3" s="33" t="s">
        <v>183</v>
      </c>
      <c r="B3" s="34" t="s">
        <v>184</v>
      </c>
      <c r="C3" s="34"/>
      <c r="D3" s="35" t="s">
        <v>185</v>
      </c>
      <c r="E3" s="36">
        <f>E4+E31+E52</f>
        <v>4227669.5999999996</v>
      </c>
      <c r="F3" s="36">
        <f>F4+F31+F52</f>
        <v>18932579.25</v>
      </c>
      <c r="G3" s="36">
        <f>G4+G31+G52</f>
        <v>15021335</v>
      </c>
      <c r="H3" s="36">
        <f>H4+H31+H52</f>
        <v>47346658.700000003</v>
      </c>
      <c r="I3" s="36">
        <f>I4+I31+I52</f>
        <v>2278797</v>
      </c>
      <c r="J3" s="36">
        <f t="shared" ref="J3:J66" si="0">SUM(E3:I3)</f>
        <v>87807039.550000012</v>
      </c>
    </row>
    <row r="4" spans="1:10">
      <c r="A4" s="33" t="s">
        <v>186</v>
      </c>
      <c r="B4" s="34" t="s">
        <v>128</v>
      </c>
      <c r="C4" s="34"/>
      <c r="D4" s="35" t="s">
        <v>185</v>
      </c>
      <c r="E4" s="36">
        <f>E5+E8+E13+E17+E20+E22+E25+E27+E29+E30</f>
        <v>3145124</v>
      </c>
      <c r="F4" s="36">
        <f>F5+F8+F13+F17+F20+F22+F25+F27+F29+F30</f>
        <v>16313877</v>
      </c>
      <c r="G4" s="36">
        <f>G5+G8+G13+G17+G20+G22+G25+G27+G29+G30</f>
        <v>13006329</v>
      </c>
      <c r="H4" s="36">
        <f>H5+H8+H13+H17+H20+H22+H25+H27+H29+H30</f>
        <v>41571364</v>
      </c>
      <c r="I4" s="36">
        <f>I5+I8+I13+I17+I20+I22+I25+I27+I29+I30</f>
        <v>1913961</v>
      </c>
      <c r="J4" s="36">
        <f t="shared" si="0"/>
        <v>75950655</v>
      </c>
    </row>
    <row r="5" spans="1:10">
      <c r="A5" s="33" t="s">
        <v>187</v>
      </c>
      <c r="B5" s="34" t="s">
        <v>188</v>
      </c>
      <c r="C5" s="34"/>
      <c r="D5" s="35" t="s">
        <v>185</v>
      </c>
      <c r="E5" s="36">
        <f>E6+E7</f>
        <v>564364</v>
      </c>
      <c r="F5" s="36">
        <f>F6+F7</f>
        <v>2316776</v>
      </c>
      <c r="G5" s="36">
        <f>G6+G7</f>
        <v>1657395</v>
      </c>
      <c r="H5" s="36">
        <f>H6+H7</f>
        <v>6438293</v>
      </c>
      <c r="I5" s="36">
        <f>I6+I7</f>
        <v>306875</v>
      </c>
      <c r="J5" s="36">
        <f t="shared" si="0"/>
        <v>11283703</v>
      </c>
    </row>
    <row r="6" spans="1:10">
      <c r="A6" s="33" t="s">
        <v>189</v>
      </c>
      <c r="B6" s="34" t="s">
        <v>190</v>
      </c>
      <c r="C6" s="34" t="s">
        <v>191</v>
      </c>
      <c r="D6" s="35" t="s">
        <v>192</v>
      </c>
      <c r="E6" s="37">
        <v>416364</v>
      </c>
      <c r="F6" s="37">
        <v>1385560</v>
      </c>
      <c r="G6" s="37">
        <v>1083865</v>
      </c>
      <c r="H6" s="37">
        <v>3401318</v>
      </c>
      <c r="I6" s="37">
        <v>154451</v>
      </c>
      <c r="J6" s="36">
        <f t="shared" si="0"/>
        <v>6441558</v>
      </c>
    </row>
    <row r="7" spans="1:10">
      <c r="A7" s="33" t="s">
        <v>193</v>
      </c>
      <c r="B7" s="34" t="s">
        <v>194</v>
      </c>
      <c r="C7" s="34" t="s">
        <v>191</v>
      </c>
      <c r="D7" s="35" t="s">
        <v>192</v>
      </c>
      <c r="E7" s="37">
        <v>148000</v>
      </c>
      <c r="F7" s="37">
        <v>931216</v>
      </c>
      <c r="G7" s="37">
        <v>573530</v>
      </c>
      <c r="H7" s="37">
        <v>3036975</v>
      </c>
      <c r="I7" s="37">
        <v>152424</v>
      </c>
      <c r="J7" s="36">
        <f t="shared" si="0"/>
        <v>4842145</v>
      </c>
    </row>
    <row r="8" spans="1:10">
      <c r="A8" s="33" t="s">
        <v>195</v>
      </c>
      <c r="B8" s="34" t="s">
        <v>196</v>
      </c>
      <c r="C8" s="34"/>
      <c r="D8" s="35" t="s">
        <v>185</v>
      </c>
      <c r="E8" s="36">
        <f>E9+E10</f>
        <v>54060</v>
      </c>
      <c r="F8" s="36">
        <f>F9+F10</f>
        <v>298896</v>
      </c>
      <c r="G8" s="36">
        <f>G9+G10</f>
        <v>242884</v>
      </c>
      <c r="H8" s="36">
        <f>H9+H10</f>
        <v>710547</v>
      </c>
      <c r="I8" s="36">
        <f>I9+I10</f>
        <v>33612</v>
      </c>
      <c r="J8" s="36">
        <f t="shared" si="0"/>
        <v>1339999</v>
      </c>
    </row>
    <row r="9" spans="1:10">
      <c r="A9" s="33" t="s">
        <v>197</v>
      </c>
      <c r="B9" s="34" t="s">
        <v>198</v>
      </c>
      <c r="C9" s="34" t="s">
        <v>191</v>
      </c>
      <c r="D9" s="35" t="s">
        <v>192</v>
      </c>
      <c r="E9" s="37">
        <v>540</v>
      </c>
      <c r="F9" s="37">
        <v>4536</v>
      </c>
      <c r="G9" s="37">
        <v>2044</v>
      </c>
      <c r="H9" s="37">
        <v>20139</v>
      </c>
      <c r="I9" s="37">
        <v>1500</v>
      </c>
      <c r="J9" s="36">
        <f t="shared" si="0"/>
        <v>28759</v>
      </c>
    </row>
    <row r="10" spans="1:10">
      <c r="A10" s="33" t="s">
        <v>199</v>
      </c>
      <c r="B10" s="34" t="s">
        <v>200</v>
      </c>
      <c r="C10" s="34"/>
      <c r="D10" s="35" t="s">
        <v>185</v>
      </c>
      <c r="E10" s="36">
        <f>E11+E12</f>
        <v>53520</v>
      </c>
      <c r="F10" s="36">
        <f>F11+F12</f>
        <v>294360</v>
      </c>
      <c r="G10" s="36">
        <f>G11+G12</f>
        <v>240840</v>
      </c>
      <c r="H10" s="36">
        <f>H11+H12</f>
        <v>690408</v>
      </c>
      <c r="I10" s="36">
        <f>I11+I12</f>
        <v>32112</v>
      </c>
      <c r="J10" s="36">
        <f t="shared" si="0"/>
        <v>1311240</v>
      </c>
    </row>
    <row r="11" spans="1:10" s="40" customFormat="1">
      <c r="A11" s="33" t="s">
        <v>201</v>
      </c>
      <c r="B11" s="38" t="s">
        <v>202</v>
      </c>
      <c r="C11" s="38" t="s">
        <v>191</v>
      </c>
      <c r="D11" s="39" t="s">
        <v>185</v>
      </c>
      <c r="E11" s="36">
        <f>72*E96</f>
        <v>720</v>
      </c>
      <c r="F11" s="36">
        <f>72*F96</f>
        <v>3960</v>
      </c>
      <c r="G11" s="36">
        <f>72*G96</f>
        <v>3240</v>
      </c>
      <c r="H11" s="36">
        <f>72*H96</f>
        <v>9288</v>
      </c>
      <c r="I11" s="36">
        <f>72*I96</f>
        <v>432</v>
      </c>
      <c r="J11" s="36">
        <f t="shared" si="0"/>
        <v>17640</v>
      </c>
    </row>
    <row r="12" spans="1:10" s="40" customFormat="1">
      <c r="A12" s="33" t="s">
        <v>203</v>
      </c>
      <c r="B12" s="38" t="s">
        <v>204</v>
      </c>
      <c r="C12" s="38" t="s">
        <v>191</v>
      </c>
      <c r="D12" s="39" t="s">
        <v>185</v>
      </c>
      <c r="E12" s="36">
        <f>440*12*E96</f>
        <v>52800</v>
      </c>
      <c r="F12" s="36">
        <f>440*12*F96</f>
        <v>290400</v>
      </c>
      <c r="G12" s="36">
        <f>440*12*G96</f>
        <v>237600</v>
      </c>
      <c r="H12" s="36">
        <f>440*12*H96</f>
        <v>681120</v>
      </c>
      <c r="I12" s="36">
        <f>440*12*I96</f>
        <v>31680</v>
      </c>
      <c r="J12" s="36">
        <f t="shared" si="0"/>
        <v>1293600</v>
      </c>
    </row>
    <row r="13" spans="1:10">
      <c r="A13" s="33" t="s">
        <v>205</v>
      </c>
      <c r="B13" s="34" t="s">
        <v>206</v>
      </c>
      <c r="C13" s="34"/>
      <c r="D13" s="35" t="s">
        <v>207</v>
      </c>
      <c r="E13" s="36">
        <f>E14+E15+E16</f>
        <v>49500</v>
      </c>
      <c r="F13" s="36">
        <f>F14+F15+F16</f>
        <v>261795</v>
      </c>
      <c r="G13" s="36">
        <f>G14+G15+G16</f>
        <v>208850</v>
      </c>
      <c r="H13" s="36">
        <f>H14+H15+H16</f>
        <v>658445</v>
      </c>
      <c r="I13" s="36">
        <f>I14+I15+I16</f>
        <v>33220</v>
      </c>
      <c r="J13" s="36">
        <f t="shared" si="0"/>
        <v>1211810</v>
      </c>
    </row>
    <row r="14" spans="1:10" s="40" customFormat="1">
      <c r="A14" s="33" t="s">
        <v>208</v>
      </c>
      <c r="B14" s="38" t="s">
        <v>440</v>
      </c>
      <c r="C14" s="38" t="s">
        <v>191</v>
      </c>
      <c r="D14" s="39" t="s">
        <v>210</v>
      </c>
      <c r="E14" s="36">
        <f>E16*3</f>
        <v>29700</v>
      </c>
      <c r="F14" s="36">
        <f>F16*3</f>
        <v>157077</v>
      </c>
      <c r="G14" s="36">
        <f>G16*3</f>
        <v>125310</v>
      </c>
      <c r="H14" s="36">
        <f>H16*3</f>
        <v>395067</v>
      </c>
      <c r="I14" s="36">
        <f>I16*3</f>
        <v>19932</v>
      </c>
      <c r="J14" s="36">
        <f t="shared" si="0"/>
        <v>727086</v>
      </c>
    </row>
    <row r="15" spans="1:10" s="40" customFormat="1">
      <c r="A15" s="33" t="s">
        <v>211</v>
      </c>
      <c r="B15" s="38" t="s">
        <v>441</v>
      </c>
      <c r="C15" s="38" t="s">
        <v>191</v>
      </c>
      <c r="D15" s="39" t="s">
        <v>210</v>
      </c>
      <c r="E15" s="36">
        <f>E16</f>
        <v>9900</v>
      </c>
      <c r="F15" s="36">
        <f>F16</f>
        <v>52359</v>
      </c>
      <c r="G15" s="36">
        <f>G16</f>
        <v>41770</v>
      </c>
      <c r="H15" s="36">
        <f>H16</f>
        <v>131689</v>
      </c>
      <c r="I15" s="36">
        <f>I16</f>
        <v>6644</v>
      </c>
      <c r="J15" s="36">
        <f t="shared" si="0"/>
        <v>242362</v>
      </c>
    </row>
    <row r="16" spans="1:10" s="40" customFormat="1">
      <c r="A16" s="33" t="s">
        <v>213</v>
      </c>
      <c r="B16" s="38" t="s">
        <v>442</v>
      </c>
      <c r="C16" s="38" t="s">
        <v>191</v>
      </c>
      <c r="D16" s="39" t="s">
        <v>210</v>
      </c>
      <c r="E16" s="144">
        <v>9900</v>
      </c>
      <c r="F16" s="37">
        <v>52359</v>
      </c>
      <c r="G16" s="37">
        <v>41770</v>
      </c>
      <c r="H16" s="37">
        <v>131689</v>
      </c>
      <c r="I16" s="37">
        <v>6644</v>
      </c>
      <c r="J16" s="36">
        <f t="shared" si="0"/>
        <v>242362</v>
      </c>
    </row>
    <row r="17" spans="1:10">
      <c r="A17" s="33" t="s">
        <v>215</v>
      </c>
      <c r="B17" s="34" t="s">
        <v>216</v>
      </c>
      <c r="C17" s="34"/>
      <c r="D17" s="35" t="s">
        <v>185</v>
      </c>
      <c r="E17" s="36">
        <v>1490200</v>
      </c>
      <c r="F17" s="36">
        <v>8196100</v>
      </c>
      <c r="G17" s="36">
        <v>6705900</v>
      </c>
      <c r="H17" s="36">
        <v>20673669</v>
      </c>
      <c r="I17" s="36">
        <v>884694</v>
      </c>
      <c r="J17" s="36">
        <f t="shared" si="0"/>
        <v>37950563</v>
      </c>
    </row>
    <row r="18" spans="1:10" ht="22.5">
      <c r="A18" s="33" t="s">
        <v>217</v>
      </c>
      <c r="B18" s="41" t="s">
        <v>218</v>
      </c>
      <c r="C18" s="41" t="s">
        <v>191</v>
      </c>
      <c r="D18" s="42" t="s">
        <v>219</v>
      </c>
      <c r="E18" s="43">
        <f>E17-E19</f>
        <v>1490200</v>
      </c>
      <c r="F18" s="43">
        <f>F17-F19</f>
        <v>7877224</v>
      </c>
      <c r="G18" s="43">
        <f>G17-G19</f>
        <v>6552324</v>
      </c>
      <c r="H18" s="43">
        <f>H17-H19</f>
        <v>20188773</v>
      </c>
      <c r="I18" s="43">
        <f>I17-I19</f>
        <v>884694</v>
      </c>
      <c r="J18" s="36">
        <f t="shared" si="0"/>
        <v>36993215</v>
      </c>
    </row>
    <row r="19" spans="1:10">
      <c r="A19" s="33" t="s">
        <v>220</v>
      </c>
      <c r="B19" s="41" t="s">
        <v>221</v>
      </c>
      <c r="C19" s="41" t="s">
        <v>191</v>
      </c>
      <c r="D19" s="42" t="s">
        <v>222</v>
      </c>
      <c r="E19" s="43"/>
      <c r="F19" s="43">
        <v>318876</v>
      </c>
      <c r="G19" s="43">
        <v>153576</v>
      </c>
      <c r="H19" s="43">
        <v>484896</v>
      </c>
      <c r="I19" s="43"/>
      <c r="J19" s="36">
        <f t="shared" si="0"/>
        <v>957348</v>
      </c>
    </row>
    <row r="20" spans="1:10">
      <c r="A20" s="33" t="s">
        <v>223</v>
      </c>
      <c r="B20" s="34" t="s">
        <v>224</v>
      </c>
      <c r="C20" s="34"/>
      <c r="D20" s="42" t="s">
        <v>185</v>
      </c>
      <c r="E20" s="45">
        <f>E21</f>
        <v>198000</v>
      </c>
      <c r="F20" s="45">
        <f>F21</f>
        <v>1047180</v>
      </c>
      <c r="G20" s="45">
        <f>G21</f>
        <v>835400</v>
      </c>
      <c r="H20" s="45">
        <f>H21</f>
        <v>2633780</v>
      </c>
      <c r="I20" s="45">
        <f>I21</f>
        <v>132880</v>
      </c>
      <c r="J20" s="36">
        <f t="shared" si="0"/>
        <v>4847240</v>
      </c>
    </row>
    <row r="21" spans="1:10">
      <c r="A21" s="33" t="s">
        <v>225</v>
      </c>
      <c r="B21" s="34" t="s">
        <v>443</v>
      </c>
      <c r="C21" s="34" t="s">
        <v>227</v>
      </c>
      <c r="D21" s="42" t="s">
        <v>185</v>
      </c>
      <c r="E21" s="45">
        <f>E16*20</f>
        <v>198000</v>
      </c>
      <c r="F21" s="45">
        <f>F16*20</f>
        <v>1047180</v>
      </c>
      <c r="G21" s="45">
        <f>G16*20</f>
        <v>835400</v>
      </c>
      <c r="H21" s="45">
        <f>H16*20</f>
        <v>2633780</v>
      </c>
      <c r="I21" s="45">
        <f>I16*20</f>
        <v>132880</v>
      </c>
      <c r="J21" s="36">
        <f t="shared" si="0"/>
        <v>4847240</v>
      </c>
    </row>
    <row r="22" spans="1:10">
      <c r="A22" s="33" t="s">
        <v>228</v>
      </c>
      <c r="B22" s="34" t="s">
        <v>229</v>
      </c>
      <c r="C22" s="34"/>
      <c r="D22" s="42" t="s">
        <v>210</v>
      </c>
      <c r="E22" s="45">
        <f>E23+E24</f>
        <v>79200</v>
      </c>
      <c r="F22" s="45">
        <f>F23+F24</f>
        <v>418872</v>
      </c>
      <c r="G22" s="45">
        <f>G23+G24</f>
        <v>334160</v>
      </c>
      <c r="H22" s="45">
        <f>H23+H24</f>
        <v>1053512</v>
      </c>
      <c r="I22" s="45">
        <f>I23+I24</f>
        <v>53152</v>
      </c>
      <c r="J22" s="36">
        <f t="shared" si="0"/>
        <v>1938896</v>
      </c>
    </row>
    <row r="23" spans="1:10">
      <c r="A23" s="33" t="s">
        <v>230</v>
      </c>
      <c r="B23" s="34" t="s">
        <v>231</v>
      </c>
      <c r="C23" s="34" t="s">
        <v>232</v>
      </c>
      <c r="D23" s="42" t="s">
        <v>210</v>
      </c>
      <c r="E23" s="45">
        <f>E16*4</f>
        <v>39600</v>
      </c>
      <c r="F23" s="45">
        <f>F16*4</f>
        <v>209436</v>
      </c>
      <c r="G23" s="45">
        <f>G16*4</f>
        <v>167080</v>
      </c>
      <c r="H23" s="45">
        <f>H16*4</f>
        <v>526756</v>
      </c>
      <c r="I23" s="45">
        <f>I16*4</f>
        <v>26576</v>
      </c>
      <c r="J23" s="36">
        <f t="shared" si="0"/>
        <v>969448</v>
      </c>
    </row>
    <row r="24" spans="1:10">
      <c r="A24" s="33" t="s">
        <v>233</v>
      </c>
      <c r="B24" s="34" t="s">
        <v>234</v>
      </c>
      <c r="C24" s="34" t="s">
        <v>232</v>
      </c>
      <c r="D24" s="42" t="s">
        <v>210</v>
      </c>
      <c r="E24" s="45">
        <f>E16*4</f>
        <v>39600</v>
      </c>
      <c r="F24" s="45">
        <f>F16*4</f>
        <v>209436</v>
      </c>
      <c r="G24" s="45">
        <f>G16*4</f>
        <v>167080</v>
      </c>
      <c r="H24" s="45">
        <f>H16*4</f>
        <v>526756</v>
      </c>
      <c r="I24" s="45">
        <f>I16*4</f>
        <v>26576</v>
      </c>
      <c r="J24" s="36">
        <f t="shared" si="0"/>
        <v>969448</v>
      </c>
    </row>
    <row r="25" spans="1:10">
      <c r="A25" s="33" t="s">
        <v>235</v>
      </c>
      <c r="B25" s="34" t="s">
        <v>236</v>
      </c>
      <c r="C25" s="34"/>
      <c r="D25" s="35" t="s">
        <v>185</v>
      </c>
      <c r="E25" s="36">
        <f>E26</f>
        <v>316800</v>
      </c>
      <c r="F25" s="36">
        <f>F26</f>
        <v>1675488</v>
      </c>
      <c r="G25" s="36">
        <f>G26</f>
        <v>1336640</v>
      </c>
      <c r="H25" s="36">
        <f>H26</f>
        <v>4214048</v>
      </c>
      <c r="I25" s="36">
        <f>I26</f>
        <v>212608</v>
      </c>
      <c r="J25" s="36">
        <f t="shared" si="0"/>
        <v>7755584</v>
      </c>
    </row>
    <row r="26" spans="1:10" s="40" customFormat="1">
      <c r="A26" s="33" t="s">
        <v>237</v>
      </c>
      <c r="B26" s="38" t="s">
        <v>444</v>
      </c>
      <c r="C26" s="38" t="s">
        <v>239</v>
      </c>
      <c r="D26" s="39" t="s">
        <v>210</v>
      </c>
      <c r="E26" s="36">
        <f>E16*32</f>
        <v>316800</v>
      </c>
      <c r="F26" s="36">
        <f>F16*32</f>
        <v>1675488</v>
      </c>
      <c r="G26" s="36">
        <f>G16*32</f>
        <v>1336640</v>
      </c>
      <c r="H26" s="36">
        <f>H16*32</f>
        <v>4214048</v>
      </c>
      <c r="I26" s="36">
        <f>I16*32</f>
        <v>212608</v>
      </c>
      <c r="J26" s="36">
        <f t="shared" si="0"/>
        <v>7755584</v>
      </c>
    </row>
    <row r="27" spans="1:10">
      <c r="A27" s="33" t="s">
        <v>240</v>
      </c>
      <c r="B27" s="34" t="s">
        <v>241</v>
      </c>
      <c r="C27" s="34"/>
      <c r="D27" s="35" t="s">
        <v>185</v>
      </c>
      <c r="E27" s="36">
        <f>E28</f>
        <v>158400</v>
      </c>
      <c r="F27" s="36">
        <f>F28</f>
        <v>837744</v>
      </c>
      <c r="G27" s="36">
        <f>G28</f>
        <v>668320</v>
      </c>
      <c r="H27" s="36">
        <f>H28</f>
        <v>2107024</v>
      </c>
      <c r="I27" s="36">
        <f>I28</f>
        <v>106304</v>
      </c>
      <c r="J27" s="36">
        <f t="shared" si="0"/>
        <v>3877792</v>
      </c>
    </row>
    <row r="28" spans="1:10" s="40" customFormat="1">
      <c r="A28" s="33" t="s">
        <v>242</v>
      </c>
      <c r="B28" s="38" t="s">
        <v>243</v>
      </c>
      <c r="C28" s="38" t="s">
        <v>244</v>
      </c>
      <c r="D28" s="39" t="s">
        <v>210</v>
      </c>
      <c r="E28" s="36">
        <f>E16*16</f>
        <v>158400</v>
      </c>
      <c r="F28" s="36">
        <f>F16*16</f>
        <v>837744</v>
      </c>
      <c r="G28" s="36">
        <f>G16*16</f>
        <v>668320</v>
      </c>
      <c r="H28" s="36">
        <f>H16*16</f>
        <v>2107024</v>
      </c>
      <c r="I28" s="36">
        <f>I16*16</f>
        <v>106304</v>
      </c>
      <c r="J28" s="36">
        <f t="shared" si="0"/>
        <v>3877792</v>
      </c>
    </row>
    <row r="29" spans="1:10" ht="22.5">
      <c r="A29" s="33" t="s">
        <v>245</v>
      </c>
      <c r="B29" s="34" t="s">
        <v>246</v>
      </c>
      <c r="C29" s="41" t="s">
        <v>191</v>
      </c>
      <c r="D29" s="39" t="s">
        <v>247</v>
      </c>
      <c r="E29" s="36">
        <f>9600*E96</f>
        <v>96000</v>
      </c>
      <c r="F29" s="36">
        <f>9600*F96</f>
        <v>528000</v>
      </c>
      <c r="G29" s="36">
        <f>9600*G96</f>
        <v>432000</v>
      </c>
      <c r="H29" s="36">
        <f>9600*H96</f>
        <v>1238400</v>
      </c>
      <c r="I29" s="36">
        <f>9600*I96</f>
        <v>57600</v>
      </c>
      <c r="J29" s="36">
        <f t="shared" si="0"/>
        <v>2352000</v>
      </c>
    </row>
    <row r="30" spans="1:10">
      <c r="A30" s="33" t="s">
        <v>248</v>
      </c>
      <c r="B30" s="34" t="s">
        <v>249</v>
      </c>
      <c r="C30" s="34" t="s">
        <v>249</v>
      </c>
      <c r="D30" s="39" t="s">
        <v>210</v>
      </c>
      <c r="E30" s="45">
        <f>E16*14</f>
        <v>138600</v>
      </c>
      <c r="F30" s="45">
        <f>F16*14</f>
        <v>733026</v>
      </c>
      <c r="G30" s="45">
        <f>G16*14</f>
        <v>584780</v>
      </c>
      <c r="H30" s="45">
        <f>H16*14</f>
        <v>1843646</v>
      </c>
      <c r="I30" s="45">
        <f>I16*14</f>
        <v>93016</v>
      </c>
      <c r="J30" s="36">
        <f t="shared" si="0"/>
        <v>3393068</v>
      </c>
    </row>
    <row r="31" spans="1:10">
      <c r="A31" s="33" t="s">
        <v>250</v>
      </c>
      <c r="B31" s="34" t="s">
        <v>251</v>
      </c>
      <c r="C31" s="34"/>
      <c r="D31" s="35" t="s">
        <v>185</v>
      </c>
      <c r="E31" s="36">
        <f>E32+E40+E42+E45+E47</f>
        <v>3240</v>
      </c>
      <c r="F31" s="36">
        <f>F32+F40+F42+F45+F47</f>
        <v>19200</v>
      </c>
      <c r="G31" s="36">
        <f>G32+G40+G42+G45+G47</f>
        <v>14280</v>
      </c>
      <c r="H31" s="36">
        <f>H32+H40+H42+H45+H47</f>
        <v>29640</v>
      </c>
      <c r="I31" s="36">
        <f>I32+I40+I42+I45+I47</f>
        <v>0</v>
      </c>
      <c r="J31" s="36">
        <f t="shared" si="0"/>
        <v>66360</v>
      </c>
    </row>
    <row r="32" spans="1:10">
      <c r="A32" s="33" t="s">
        <v>252</v>
      </c>
      <c r="B32" s="34" t="s">
        <v>253</v>
      </c>
      <c r="C32" s="34"/>
      <c r="D32" s="35" t="s">
        <v>185</v>
      </c>
      <c r="E32" s="36">
        <f>E33+E34+E35+E36+E37+E38+E39</f>
        <v>0</v>
      </c>
      <c r="F32" s="36">
        <f>F33+F34+F35+F36+F37+F38+F39</f>
        <v>0</v>
      </c>
      <c r="G32" s="36">
        <f>G33+G34+G35+G36+G37+G38+G39</f>
        <v>0</v>
      </c>
      <c r="H32" s="36">
        <f>H33+H34+H35+H36+H37+H38+H39</f>
        <v>0</v>
      </c>
      <c r="I32" s="36">
        <f>I33+I34+I35+I36+I37+I38+I39</f>
        <v>0</v>
      </c>
      <c r="J32" s="36">
        <f t="shared" si="0"/>
        <v>0</v>
      </c>
    </row>
    <row r="33" spans="1:10">
      <c r="A33" s="33" t="s">
        <v>254</v>
      </c>
      <c r="B33" s="34" t="s">
        <v>255</v>
      </c>
      <c r="C33" s="34" t="s">
        <v>256</v>
      </c>
      <c r="D33" s="42" t="s">
        <v>257</v>
      </c>
      <c r="E33" s="43"/>
      <c r="F33" s="43"/>
      <c r="G33" s="43"/>
      <c r="H33" s="43"/>
      <c r="I33" s="43"/>
      <c r="J33" s="36">
        <f t="shared" si="0"/>
        <v>0</v>
      </c>
    </row>
    <row r="34" spans="1:10">
      <c r="A34" s="33" t="s">
        <v>258</v>
      </c>
      <c r="B34" s="34" t="s">
        <v>259</v>
      </c>
      <c r="C34" s="34" t="s">
        <v>256</v>
      </c>
      <c r="D34" s="42" t="s">
        <v>257</v>
      </c>
      <c r="E34" s="43"/>
      <c r="F34" s="43"/>
      <c r="G34" s="43"/>
      <c r="H34" s="43"/>
      <c r="I34" s="43"/>
      <c r="J34" s="36">
        <f t="shared" si="0"/>
        <v>0</v>
      </c>
    </row>
    <row r="35" spans="1:10">
      <c r="A35" s="33" t="s">
        <v>260</v>
      </c>
      <c r="B35" s="34" t="s">
        <v>261</v>
      </c>
      <c r="C35" s="34" t="s">
        <v>256</v>
      </c>
      <c r="D35" s="42" t="s">
        <v>262</v>
      </c>
      <c r="E35" s="43"/>
      <c r="F35" s="43"/>
      <c r="G35" s="43"/>
      <c r="H35" s="43"/>
      <c r="I35" s="43"/>
      <c r="J35" s="36">
        <f t="shared" si="0"/>
        <v>0</v>
      </c>
    </row>
    <row r="36" spans="1:10">
      <c r="A36" s="33" t="s">
        <v>263</v>
      </c>
      <c r="B36" s="34" t="s">
        <v>264</v>
      </c>
      <c r="C36" s="34" t="s">
        <v>256</v>
      </c>
      <c r="D36" s="42" t="s">
        <v>257</v>
      </c>
      <c r="E36" s="43"/>
      <c r="F36" s="43"/>
      <c r="G36" s="43"/>
      <c r="H36" s="43"/>
      <c r="I36" s="43"/>
      <c r="J36" s="36">
        <f t="shared" si="0"/>
        <v>0</v>
      </c>
    </row>
    <row r="37" spans="1:10">
      <c r="A37" s="33" t="s">
        <v>265</v>
      </c>
      <c r="B37" s="34" t="s">
        <v>266</v>
      </c>
      <c r="C37" s="34" t="s">
        <v>256</v>
      </c>
      <c r="D37" s="42" t="s">
        <v>257</v>
      </c>
      <c r="E37" s="43"/>
      <c r="F37" s="43"/>
      <c r="G37" s="43"/>
      <c r="H37" s="43"/>
      <c r="I37" s="43"/>
      <c r="J37" s="36">
        <f t="shared" si="0"/>
        <v>0</v>
      </c>
    </row>
    <row r="38" spans="1:10">
      <c r="A38" s="33" t="s">
        <v>267</v>
      </c>
      <c r="B38" s="34" t="s">
        <v>268</v>
      </c>
      <c r="C38" s="34" t="s">
        <v>256</v>
      </c>
      <c r="D38" s="42" t="s">
        <v>257</v>
      </c>
      <c r="E38" s="43"/>
      <c r="F38" s="43"/>
      <c r="G38" s="43"/>
      <c r="H38" s="43"/>
      <c r="I38" s="43"/>
      <c r="J38" s="36">
        <f t="shared" si="0"/>
        <v>0</v>
      </c>
    </row>
    <row r="39" spans="1:10">
      <c r="A39" s="33" t="s">
        <v>269</v>
      </c>
      <c r="B39" s="34" t="s">
        <v>270</v>
      </c>
      <c r="C39" s="34" t="s">
        <v>256</v>
      </c>
      <c r="D39" s="42" t="s">
        <v>257</v>
      </c>
      <c r="E39" s="43"/>
      <c r="F39" s="43"/>
      <c r="G39" s="43"/>
      <c r="H39" s="43"/>
      <c r="I39" s="43"/>
      <c r="J39" s="36">
        <f t="shared" si="0"/>
        <v>0</v>
      </c>
    </row>
    <row r="40" spans="1:10">
      <c r="A40" s="33" t="s">
        <v>271</v>
      </c>
      <c r="B40" s="34" t="s">
        <v>272</v>
      </c>
      <c r="C40" s="34"/>
      <c r="D40" s="35" t="s">
        <v>185</v>
      </c>
      <c r="E40" s="36">
        <f>E41</f>
        <v>0</v>
      </c>
      <c r="F40" s="36">
        <f>F41</f>
        <v>0</v>
      </c>
      <c r="G40" s="36">
        <f>G41</f>
        <v>0</v>
      </c>
      <c r="H40" s="36">
        <f>H41</f>
        <v>0</v>
      </c>
      <c r="I40" s="36">
        <f>I41</f>
        <v>0</v>
      </c>
      <c r="J40" s="36">
        <f t="shared" si="0"/>
        <v>0</v>
      </c>
    </row>
    <row r="41" spans="1:10" s="40" customFormat="1">
      <c r="A41" s="33" t="s">
        <v>273</v>
      </c>
      <c r="B41" s="38" t="s">
        <v>274</v>
      </c>
      <c r="C41" s="38" t="s">
        <v>191</v>
      </c>
      <c r="D41" s="39" t="s">
        <v>275</v>
      </c>
      <c r="E41" s="46"/>
      <c r="F41" s="46"/>
      <c r="G41" s="46"/>
      <c r="H41" s="46"/>
      <c r="I41" s="46"/>
      <c r="J41" s="36">
        <f t="shared" si="0"/>
        <v>0</v>
      </c>
    </row>
    <row r="42" spans="1:10">
      <c r="A42" s="33" t="s">
        <v>276</v>
      </c>
      <c r="B42" s="34" t="s">
        <v>277</v>
      </c>
      <c r="C42" s="34"/>
      <c r="D42" s="35" t="s">
        <v>185</v>
      </c>
      <c r="E42" s="36">
        <f>E43+E44</f>
        <v>0</v>
      </c>
      <c r="F42" s="36">
        <f>F43+F44</f>
        <v>0</v>
      </c>
      <c r="G42" s="36">
        <f>G43+G44</f>
        <v>0</v>
      </c>
      <c r="H42" s="36">
        <f>H43+H44</f>
        <v>0</v>
      </c>
      <c r="I42" s="36">
        <f>I43+I44</f>
        <v>0</v>
      </c>
      <c r="J42" s="36">
        <f t="shared" si="0"/>
        <v>0</v>
      </c>
    </row>
    <row r="43" spans="1:10" s="40" customFormat="1">
      <c r="A43" s="33" t="s">
        <v>278</v>
      </c>
      <c r="B43" s="38" t="s">
        <v>279</v>
      </c>
      <c r="C43" s="38" t="s">
        <v>191</v>
      </c>
      <c r="D43" s="39" t="s">
        <v>262</v>
      </c>
      <c r="E43" s="46"/>
      <c r="F43" s="46"/>
      <c r="G43" s="46"/>
      <c r="H43" s="46"/>
      <c r="I43" s="46"/>
      <c r="J43" s="36">
        <f t="shared" si="0"/>
        <v>0</v>
      </c>
    </row>
    <row r="44" spans="1:10" s="40" customFormat="1">
      <c r="A44" s="33" t="s">
        <v>280</v>
      </c>
      <c r="B44" s="38" t="s">
        <v>281</v>
      </c>
      <c r="C44" s="38" t="s">
        <v>191</v>
      </c>
      <c r="D44" s="39" t="s">
        <v>262</v>
      </c>
      <c r="E44" s="46"/>
      <c r="F44" s="46"/>
      <c r="G44" s="46"/>
      <c r="H44" s="46"/>
      <c r="I44" s="46"/>
      <c r="J44" s="36">
        <f t="shared" si="0"/>
        <v>0</v>
      </c>
    </row>
    <row r="45" spans="1:10">
      <c r="A45" s="33" t="s">
        <v>282</v>
      </c>
      <c r="B45" s="34" t="s">
        <v>283</v>
      </c>
      <c r="C45" s="34"/>
      <c r="D45" s="35" t="s">
        <v>185</v>
      </c>
      <c r="E45" s="36">
        <f>E46</f>
        <v>1440</v>
      </c>
      <c r="F45" s="36">
        <f>F46</f>
        <v>7200</v>
      </c>
      <c r="G45" s="36">
        <f>G46</f>
        <v>5280</v>
      </c>
      <c r="H45" s="36">
        <f>H46</f>
        <v>9690</v>
      </c>
      <c r="I45" s="36">
        <f>I46</f>
        <v>0</v>
      </c>
      <c r="J45" s="36">
        <f t="shared" si="0"/>
        <v>23610</v>
      </c>
    </row>
    <row r="46" spans="1:10">
      <c r="A46" s="33" t="s">
        <v>284</v>
      </c>
      <c r="B46" s="34" t="s">
        <v>285</v>
      </c>
      <c r="C46" s="34" t="s">
        <v>191</v>
      </c>
      <c r="D46" s="35" t="s">
        <v>192</v>
      </c>
      <c r="E46" s="37">
        <v>1440</v>
      </c>
      <c r="F46" s="37">
        <v>7200</v>
      </c>
      <c r="G46" s="37">
        <v>5280</v>
      </c>
      <c r="H46" s="37">
        <v>9690</v>
      </c>
      <c r="I46" s="37"/>
      <c r="J46" s="36">
        <f t="shared" si="0"/>
        <v>23610</v>
      </c>
    </row>
    <row r="47" spans="1:10">
      <c r="A47" s="33" t="s">
        <v>286</v>
      </c>
      <c r="B47" s="34" t="s">
        <v>287</v>
      </c>
      <c r="C47" s="34"/>
      <c r="D47" s="35" t="s">
        <v>185</v>
      </c>
      <c r="E47" s="36">
        <f>SUM(E48:E51)</f>
        <v>1800</v>
      </c>
      <c r="F47" s="36">
        <f>SUM(F48:F51)</f>
        <v>12000</v>
      </c>
      <c r="G47" s="36">
        <f>SUM(G48:G51)</f>
        <v>9000</v>
      </c>
      <c r="H47" s="36">
        <f>SUM(H48:H51)</f>
        <v>19950</v>
      </c>
      <c r="I47" s="36">
        <f>SUM(I48:I51)</f>
        <v>0</v>
      </c>
      <c r="J47" s="36">
        <f t="shared" si="0"/>
        <v>42750</v>
      </c>
    </row>
    <row r="48" spans="1:10">
      <c r="A48" s="33" t="s">
        <v>288</v>
      </c>
      <c r="B48" s="34" t="s">
        <v>289</v>
      </c>
      <c r="C48" s="34" t="s">
        <v>191</v>
      </c>
      <c r="D48" s="35" t="s">
        <v>290</v>
      </c>
      <c r="E48" s="37">
        <v>1800</v>
      </c>
      <c r="F48" s="37">
        <v>12000</v>
      </c>
      <c r="G48" s="37">
        <v>9000</v>
      </c>
      <c r="H48" s="37">
        <v>19950</v>
      </c>
      <c r="I48" s="37"/>
      <c r="J48" s="36">
        <f t="shared" si="0"/>
        <v>42750</v>
      </c>
    </row>
    <row r="49" spans="1:10" s="40" customFormat="1">
      <c r="A49" s="33" t="s">
        <v>291</v>
      </c>
      <c r="B49" s="38" t="s">
        <v>292</v>
      </c>
      <c r="C49" s="38" t="s">
        <v>191</v>
      </c>
      <c r="D49" s="39" t="s">
        <v>293</v>
      </c>
      <c r="E49" s="46"/>
      <c r="F49" s="46"/>
      <c r="G49" s="46"/>
      <c r="H49" s="46"/>
      <c r="I49" s="46"/>
      <c r="J49" s="36">
        <f t="shared" si="0"/>
        <v>0</v>
      </c>
    </row>
    <row r="50" spans="1:10" s="40" customFormat="1">
      <c r="A50" s="33" t="s">
        <v>294</v>
      </c>
      <c r="B50" s="38" t="s">
        <v>295</v>
      </c>
      <c r="C50" s="38" t="s">
        <v>191</v>
      </c>
      <c r="D50" s="39" t="s">
        <v>293</v>
      </c>
      <c r="E50" s="46"/>
      <c r="F50" s="46"/>
      <c r="G50" s="46"/>
      <c r="H50" s="46"/>
      <c r="I50" s="46"/>
      <c r="J50" s="36">
        <f t="shared" si="0"/>
        <v>0</v>
      </c>
    </row>
    <row r="51" spans="1:10" ht="33.75">
      <c r="A51" s="33" t="s">
        <v>296</v>
      </c>
      <c r="B51" s="34" t="s">
        <v>297</v>
      </c>
      <c r="C51" s="34" t="s">
        <v>191</v>
      </c>
      <c r="D51" s="42" t="s">
        <v>298</v>
      </c>
      <c r="E51" s="43"/>
      <c r="F51" s="43"/>
      <c r="G51" s="43"/>
      <c r="H51" s="43"/>
      <c r="I51" s="43"/>
      <c r="J51" s="36">
        <f t="shared" si="0"/>
        <v>0</v>
      </c>
    </row>
    <row r="52" spans="1:10">
      <c r="A52" s="33" t="s">
        <v>299</v>
      </c>
      <c r="B52" s="34" t="s">
        <v>300</v>
      </c>
      <c r="C52" s="34"/>
      <c r="D52" s="35" t="s">
        <v>185</v>
      </c>
      <c r="E52" s="36">
        <f>E53+E71+E73+E75+E77+E79+E81+E83+E85+E93</f>
        <v>1079305.6000000001</v>
      </c>
      <c r="F52" s="36">
        <f>F53+F71+F73+F75+F77+F79+F81+F83+F85+F93</f>
        <v>2599502.25</v>
      </c>
      <c r="G52" s="36">
        <f>G53+G71+G73+G75+G77+G79+G81+G83+G85+G93</f>
        <v>2000726</v>
      </c>
      <c r="H52" s="36">
        <f>H53+H71+H73+H75+H77+H79+H81+H83+H85+H93</f>
        <v>5745654.7000000002</v>
      </c>
      <c r="I52" s="36">
        <f>I53+I71+I73+I75+I77+I79+I81+I83+I85+I93</f>
        <v>364836</v>
      </c>
      <c r="J52" s="36">
        <f t="shared" si="0"/>
        <v>11790024.550000001</v>
      </c>
    </row>
    <row r="53" spans="1:10">
      <c r="A53" s="33" t="s">
        <v>301</v>
      </c>
      <c r="B53" s="34" t="s">
        <v>302</v>
      </c>
      <c r="C53" s="34"/>
      <c r="D53" s="35" t="s">
        <v>303</v>
      </c>
      <c r="E53" s="36">
        <f>SUM(E54:E70)</f>
        <v>798000</v>
      </c>
      <c r="F53" s="36">
        <f>SUM(F54:F70)</f>
        <v>1936980</v>
      </c>
      <c r="G53" s="36">
        <f>SUM(G54:G70)</f>
        <v>1492260</v>
      </c>
      <c r="H53" s="36">
        <f>SUM(H54:H70)</f>
        <v>3572900</v>
      </c>
      <c r="I53" s="36">
        <f>SUM(I54:I70)</f>
        <v>192000</v>
      </c>
      <c r="J53" s="36">
        <f t="shared" si="0"/>
        <v>7992140</v>
      </c>
    </row>
    <row r="54" spans="1:10">
      <c r="A54" s="33" t="s">
        <v>304</v>
      </c>
      <c r="B54" s="34" t="s">
        <v>305</v>
      </c>
      <c r="C54" s="34" t="s">
        <v>191</v>
      </c>
      <c r="D54" s="47"/>
      <c r="E54" s="37">
        <v>788025</v>
      </c>
      <c r="F54" s="37">
        <v>346044</v>
      </c>
      <c r="G54" s="37">
        <v>80300</v>
      </c>
      <c r="H54" s="37">
        <v>227268</v>
      </c>
      <c r="I54" s="37">
        <v>5000</v>
      </c>
      <c r="J54" s="36">
        <f t="shared" si="0"/>
        <v>1446637</v>
      </c>
    </row>
    <row r="55" spans="1:10">
      <c r="A55" s="33" t="s">
        <v>306</v>
      </c>
      <c r="B55" s="34" t="s">
        <v>307</v>
      </c>
      <c r="C55" s="34" t="s">
        <v>191</v>
      </c>
      <c r="D55" s="47"/>
      <c r="E55" s="37"/>
      <c r="F55" s="37"/>
      <c r="G55" s="37">
        <v>5000</v>
      </c>
      <c r="H55" s="37">
        <v>41946.5</v>
      </c>
      <c r="I55" s="37"/>
      <c r="J55" s="36">
        <f t="shared" si="0"/>
        <v>46946.5</v>
      </c>
    </row>
    <row r="56" spans="1:10">
      <c r="A56" s="33" t="s">
        <v>308</v>
      </c>
      <c r="B56" s="34" t="s">
        <v>309</v>
      </c>
      <c r="C56" s="34" t="s">
        <v>191</v>
      </c>
      <c r="D56" s="47"/>
      <c r="E56" s="37"/>
      <c r="F56" s="37">
        <v>12000</v>
      </c>
      <c r="G56" s="37">
        <v>50000</v>
      </c>
      <c r="H56" s="37">
        <v>50000</v>
      </c>
      <c r="I56" s="37"/>
      <c r="J56" s="36">
        <f t="shared" si="0"/>
        <v>112000</v>
      </c>
    </row>
    <row r="57" spans="1:10">
      <c r="A57" s="33" t="s">
        <v>310</v>
      </c>
      <c r="B57" s="34" t="s">
        <v>311</v>
      </c>
      <c r="C57" s="34" t="s">
        <v>191</v>
      </c>
      <c r="D57" s="47"/>
      <c r="E57" s="37"/>
      <c r="F57" s="37">
        <v>50000</v>
      </c>
      <c r="G57" s="37">
        <v>50000</v>
      </c>
      <c r="H57" s="37">
        <v>300000</v>
      </c>
      <c r="I57" s="37">
        <v>5000</v>
      </c>
      <c r="J57" s="36">
        <f t="shared" si="0"/>
        <v>405000</v>
      </c>
    </row>
    <row r="58" spans="1:10">
      <c r="A58" s="33" t="s">
        <v>312</v>
      </c>
      <c r="B58" s="34" t="s">
        <v>313</v>
      </c>
      <c r="C58" s="34" t="s">
        <v>191</v>
      </c>
      <c r="D58" s="47"/>
      <c r="E58" s="37"/>
      <c r="F58" s="37">
        <v>140000</v>
      </c>
      <c r="G58" s="37">
        <v>150000</v>
      </c>
      <c r="H58" s="37">
        <v>280000</v>
      </c>
      <c r="I58" s="37">
        <v>25000</v>
      </c>
      <c r="J58" s="36">
        <f t="shared" si="0"/>
        <v>595000</v>
      </c>
    </row>
    <row r="59" spans="1:10">
      <c r="A59" s="33" t="s">
        <v>314</v>
      </c>
      <c r="B59" s="34" t="s">
        <v>315</v>
      </c>
      <c r="C59" s="34" t="s">
        <v>191</v>
      </c>
      <c r="D59" s="47"/>
      <c r="E59" s="37"/>
      <c r="F59" s="37">
        <v>25000</v>
      </c>
      <c r="G59" s="37">
        <v>20000</v>
      </c>
      <c r="H59" s="37">
        <v>9000</v>
      </c>
      <c r="I59" s="37">
        <v>15000</v>
      </c>
      <c r="J59" s="36">
        <f t="shared" si="0"/>
        <v>69000</v>
      </c>
    </row>
    <row r="60" spans="1:10">
      <c r="A60" s="33" t="s">
        <v>316</v>
      </c>
      <c r="B60" s="34" t="s">
        <v>317</v>
      </c>
      <c r="C60" s="34" t="s">
        <v>191</v>
      </c>
      <c r="D60" s="47"/>
      <c r="E60" s="37"/>
      <c r="F60" s="37">
        <v>20000</v>
      </c>
      <c r="G60" s="37">
        <v>12000</v>
      </c>
      <c r="H60" s="37">
        <v>25000</v>
      </c>
      <c r="I60" s="37">
        <v>1000</v>
      </c>
      <c r="J60" s="36">
        <f t="shared" si="0"/>
        <v>58000</v>
      </c>
    </row>
    <row r="61" spans="1:10">
      <c r="A61" s="33" t="s">
        <v>318</v>
      </c>
      <c r="B61" s="34" t="s">
        <v>319</v>
      </c>
      <c r="C61" s="34" t="s">
        <v>191</v>
      </c>
      <c r="D61" s="47"/>
      <c r="E61" s="37"/>
      <c r="F61" s="37">
        <v>220000</v>
      </c>
      <c r="G61" s="37">
        <v>296347</v>
      </c>
      <c r="H61" s="37">
        <v>290000</v>
      </c>
      <c r="I61" s="37">
        <v>20000</v>
      </c>
      <c r="J61" s="36">
        <f t="shared" si="0"/>
        <v>826347</v>
      </c>
    </row>
    <row r="62" spans="1:10">
      <c r="A62" s="33" t="s">
        <v>320</v>
      </c>
      <c r="B62" s="34" t="s">
        <v>321</v>
      </c>
      <c r="C62" s="34" t="s">
        <v>191</v>
      </c>
      <c r="D62" s="47"/>
      <c r="E62" s="37"/>
      <c r="F62" s="37"/>
      <c r="G62" s="37"/>
      <c r="H62" s="37"/>
      <c r="I62" s="37"/>
      <c r="J62" s="36">
        <f t="shared" si="0"/>
        <v>0</v>
      </c>
    </row>
    <row r="63" spans="1:10">
      <c r="A63" s="33" t="s">
        <v>322</v>
      </c>
      <c r="B63" s="34" t="s">
        <v>445</v>
      </c>
      <c r="C63" s="34" t="s">
        <v>191</v>
      </c>
      <c r="D63" s="47" t="s">
        <v>446</v>
      </c>
      <c r="E63" s="37">
        <v>9975</v>
      </c>
      <c r="F63" s="37">
        <v>96849</v>
      </c>
      <c r="G63" s="37">
        <v>74613</v>
      </c>
      <c r="H63" s="37">
        <v>178645</v>
      </c>
      <c r="I63" s="37">
        <v>9600</v>
      </c>
      <c r="J63" s="36">
        <f t="shared" si="0"/>
        <v>369682</v>
      </c>
    </row>
    <row r="64" spans="1:10">
      <c r="A64" s="33" t="s">
        <v>326</v>
      </c>
      <c r="B64" s="34" t="s">
        <v>327</v>
      </c>
      <c r="C64" s="34" t="s">
        <v>191</v>
      </c>
      <c r="D64" s="47"/>
      <c r="E64" s="37"/>
      <c r="F64" s="37"/>
      <c r="G64" s="37"/>
      <c r="H64" s="37"/>
      <c r="I64" s="37"/>
      <c r="J64" s="36">
        <f t="shared" si="0"/>
        <v>0</v>
      </c>
    </row>
    <row r="65" spans="1:10">
      <c r="A65" s="33" t="s">
        <v>328</v>
      </c>
      <c r="B65" s="34" t="s">
        <v>329</v>
      </c>
      <c r="C65" s="34" t="s">
        <v>191</v>
      </c>
      <c r="D65" s="47"/>
      <c r="E65" s="37"/>
      <c r="F65" s="37">
        <v>400000</v>
      </c>
      <c r="G65" s="37">
        <v>355000</v>
      </c>
      <c r="H65" s="37">
        <v>551070</v>
      </c>
      <c r="I65" s="37">
        <v>40000</v>
      </c>
      <c r="J65" s="36">
        <f t="shared" si="0"/>
        <v>1346070</v>
      </c>
    </row>
    <row r="66" spans="1:10">
      <c r="A66" s="33" t="s">
        <v>330</v>
      </c>
      <c r="B66" s="34" t="s">
        <v>331</v>
      </c>
      <c r="C66" s="34" t="s">
        <v>191</v>
      </c>
      <c r="D66" s="47"/>
      <c r="E66" s="37"/>
      <c r="F66" s="37">
        <v>10000</v>
      </c>
      <c r="G66" s="37">
        <v>50000</v>
      </c>
      <c r="H66" s="37">
        <v>490000</v>
      </c>
      <c r="I66" s="37">
        <v>10000</v>
      </c>
      <c r="J66" s="36">
        <f t="shared" si="0"/>
        <v>560000</v>
      </c>
    </row>
    <row r="67" spans="1:10">
      <c r="A67" s="33" t="s">
        <v>332</v>
      </c>
      <c r="B67" s="34" t="s">
        <v>333</v>
      </c>
      <c r="C67" s="34" t="s">
        <v>191</v>
      </c>
      <c r="D67" s="47"/>
      <c r="E67" s="37"/>
      <c r="F67" s="37">
        <v>200000</v>
      </c>
      <c r="G67" s="37">
        <v>150000</v>
      </c>
      <c r="H67" s="37">
        <v>520000</v>
      </c>
      <c r="I67" s="37">
        <v>39000</v>
      </c>
      <c r="J67" s="36">
        <f t="shared" ref="J67:J109" si="1">SUM(E67:I67)</f>
        <v>909000</v>
      </c>
    </row>
    <row r="68" spans="1:10">
      <c r="A68" s="33" t="s">
        <v>334</v>
      </c>
      <c r="B68" s="34" t="s">
        <v>335</v>
      </c>
      <c r="C68" s="34" t="s">
        <v>191</v>
      </c>
      <c r="D68" s="47"/>
      <c r="E68" s="37"/>
      <c r="F68" s="37">
        <v>335529</v>
      </c>
      <c r="G68" s="37">
        <v>44000</v>
      </c>
      <c r="H68" s="37">
        <v>260000</v>
      </c>
      <c r="I68" s="37">
        <v>5000</v>
      </c>
      <c r="J68" s="36">
        <f t="shared" si="1"/>
        <v>644529</v>
      </c>
    </row>
    <row r="69" spans="1:10">
      <c r="A69" s="33" t="s">
        <v>336</v>
      </c>
      <c r="B69" s="34" t="s">
        <v>337</v>
      </c>
      <c r="C69" s="34" t="s">
        <v>191</v>
      </c>
      <c r="D69" s="47"/>
      <c r="E69" s="37"/>
      <c r="F69" s="37">
        <v>50000</v>
      </c>
      <c r="G69" s="37">
        <v>100000</v>
      </c>
      <c r="H69" s="37">
        <v>200000</v>
      </c>
      <c r="I69" s="37">
        <v>17400</v>
      </c>
      <c r="J69" s="36">
        <f t="shared" si="1"/>
        <v>367400</v>
      </c>
    </row>
    <row r="70" spans="1:10">
      <c r="A70" s="33" t="s">
        <v>338</v>
      </c>
      <c r="B70" s="34" t="s">
        <v>339</v>
      </c>
      <c r="C70" s="34" t="s">
        <v>191</v>
      </c>
      <c r="D70" s="47"/>
      <c r="E70" s="37"/>
      <c r="F70" s="37">
        <v>31558</v>
      </c>
      <c r="G70" s="37">
        <v>55000</v>
      </c>
      <c r="H70" s="37">
        <v>149970.5</v>
      </c>
      <c r="I70" s="37"/>
      <c r="J70" s="36">
        <f t="shared" si="1"/>
        <v>236528.5</v>
      </c>
    </row>
    <row r="71" spans="1:10">
      <c r="A71" s="33" t="s">
        <v>340</v>
      </c>
      <c r="B71" s="34" t="s">
        <v>341</v>
      </c>
      <c r="C71" s="34"/>
      <c r="D71" s="35"/>
      <c r="E71" s="36">
        <f>E72</f>
        <v>4000</v>
      </c>
      <c r="F71" s="36">
        <f>F72</f>
        <v>22000</v>
      </c>
      <c r="G71" s="36">
        <f>G72</f>
        <v>18000</v>
      </c>
      <c r="H71" s="36">
        <f>H72</f>
        <v>51600</v>
      </c>
      <c r="I71" s="36">
        <f>I72</f>
        <v>2400</v>
      </c>
      <c r="J71" s="36">
        <f t="shared" si="1"/>
        <v>98000</v>
      </c>
    </row>
    <row r="72" spans="1:10" s="40" customFormat="1" ht="22.5">
      <c r="A72" s="33" t="s">
        <v>342</v>
      </c>
      <c r="B72" s="38" t="s">
        <v>343</v>
      </c>
      <c r="C72" s="38" t="s">
        <v>191</v>
      </c>
      <c r="D72" s="48" t="s">
        <v>344</v>
      </c>
      <c r="E72" s="36">
        <f>E96*400</f>
        <v>4000</v>
      </c>
      <c r="F72" s="36">
        <f>F96*400</f>
        <v>22000</v>
      </c>
      <c r="G72" s="36">
        <f>G96*400</f>
        <v>18000</v>
      </c>
      <c r="H72" s="36">
        <f>H96*400</f>
        <v>51600</v>
      </c>
      <c r="I72" s="36">
        <f>I96*400</f>
        <v>2400</v>
      </c>
      <c r="J72" s="36">
        <f t="shared" si="1"/>
        <v>98000</v>
      </c>
    </row>
    <row r="73" spans="1:10">
      <c r="A73" s="33" t="s">
        <v>345</v>
      </c>
      <c r="B73" s="34" t="s">
        <v>346</v>
      </c>
      <c r="C73" s="34"/>
      <c r="D73" s="35" t="s">
        <v>185</v>
      </c>
      <c r="E73" s="36">
        <f>E74</f>
        <v>133521.60000000001</v>
      </c>
      <c r="F73" s="36">
        <f>F74</f>
        <v>97286.25</v>
      </c>
      <c r="G73" s="36">
        <f>G74</f>
        <v>77250</v>
      </c>
      <c r="H73" s="36">
        <f>H74</f>
        <v>438638.7</v>
      </c>
      <c r="I73" s="36">
        <f>I74</f>
        <v>54900</v>
      </c>
      <c r="J73" s="36">
        <f t="shared" si="1"/>
        <v>801596.55</v>
      </c>
    </row>
    <row r="74" spans="1:10" s="40" customFormat="1">
      <c r="A74" s="33" t="s">
        <v>347</v>
      </c>
      <c r="B74" s="38" t="s">
        <v>348</v>
      </c>
      <c r="C74" s="38" t="s">
        <v>191</v>
      </c>
      <c r="D74" s="48" t="s">
        <v>349</v>
      </c>
      <c r="E74" s="36">
        <f>E108*15</f>
        <v>133521.60000000001</v>
      </c>
      <c r="F74" s="36">
        <f>F108*15</f>
        <v>97286.25</v>
      </c>
      <c r="G74" s="36">
        <f>G108*15</f>
        <v>77250</v>
      </c>
      <c r="H74" s="36">
        <f>H108*15</f>
        <v>438638.7</v>
      </c>
      <c r="I74" s="36">
        <f>I108*15</f>
        <v>54900</v>
      </c>
      <c r="J74" s="36">
        <f t="shared" si="1"/>
        <v>801596.55</v>
      </c>
    </row>
    <row r="75" spans="1:10">
      <c r="A75" s="33" t="s">
        <v>350</v>
      </c>
      <c r="B75" s="34" t="s">
        <v>351</v>
      </c>
      <c r="C75" s="34"/>
      <c r="D75" s="35" t="s">
        <v>185</v>
      </c>
      <c r="E75" s="36">
        <f>E76</f>
        <v>28984</v>
      </c>
      <c r="F75" s="36">
        <f>F76</f>
        <v>12000</v>
      </c>
      <c r="G75" s="36">
        <f>G76</f>
        <v>19736</v>
      </c>
      <c r="H75" s="36">
        <f>H76</f>
        <v>165280</v>
      </c>
      <c r="I75" s="36">
        <f>I76</f>
        <v>21600</v>
      </c>
      <c r="J75" s="36">
        <f t="shared" si="1"/>
        <v>247600</v>
      </c>
    </row>
    <row r="76" spans="1:10" s="40" customFormat="1">
      <c r="A76" s="33" t="s">
        <v>352</v>
      </c>
      <c r="B76" s="38" t="s">
        <v>353</v>
      </c>
      <c r="C76" s="38" t="s">
        <v>191</v>
      </c>
      <c r="D76" s="48" t="s">
        <v>354</v>
      </c>
      <c r="E76" s="36">
        <f>E109*8</f>
        <v>28984</v>
      </c>
      <c r="F76" s="36">
        <f>F109*8</f>
        <v>12000</v>
      </c>
      <c r="G76" s="36">
        <f>G109*8</f>
        <v>19736</v>
      </c>
      <c r="H76" s="36">
        <f>H109*8</f>
        <v>165280</v>
      </c>
      <c r="I76" s="36">
        <f>I109*8</f>
        <v>21600</v>
      </c>
      <c r="J76" s="36">
        <f t="shared" si="1"/>
        <v>247600</v>
      </c>
    </row>
    <row r="77" spans="1:10">
      <c r="A77" s="33" t="s">
        <v>355</v>
      </c>
      <c r="B77" s="34" t="s">
        <v>356</v>
      </c>
      <c r="C77" s="34"/>
      <c r="D77" s="35" t="s">
        <v>185</v>
      </c>
      <c r="E77" s="36">
        <f>E78</f>
        <v>0</v>
      </c>
      <c r="F77" s="36">
        <f>F78</f>
        <v>0</v>
      </c>
      <c r="G77" s="36">
        <f>G78</f>
        <v>0</v>
      </c>
      <c r="H77" s="36">
        <f>H78</f>
        <v>0</v>
      </c>
      <c r="I77" s="36">
        <f>I78</f>
        <v>0</v>
      </c>
      <c r="J77" s="36">
        <f t="shared" si="1"/>
        <v>0</v>
      </c>
    </row>
    <row r="78" spans="1:10" s="40" customFormat="1">
      <c r="A78" s="33" t="s">
        <v>357</v>
      </c>
      <c r="B78" s="38" t="s">
        <v>358</v>
      </c>
      <c r="C78" s="38" t="s">
        <v>191</v>
      </c>
      <c r="D78" s="48" t="s">
        <v>293</v>
      </c>
      <c r="E78" s="46"/>
      <c r="F78" s="46"/>
      <c r="G78" s="46"/>
      <c r="H78" s="46"/>
      <c r="I78" s="46"/>
      <c r="J78" s="36">
        <f t="shared" si="1"/>
        <v>0</v>
      </c>
    </row>
    <row r="79" spans="1:10">
      <c r="A79" s="33" t="s">
        <v>359</v>
      </c>
      <c r="B79" s="34" t="s">
        <v>360</v>
      </c>
      <c r="C79" s="34"/>
      <c r="D79" s="35" t="s">
        <v>185</v>
      </c>
      <c r="E79" s="36">
        <f>E80</f>
        <v>43200</v>
      </c>
      <c r="F79" s="36">
        <f>F80</f>
        <v>237600</v>
      </c>
      <c r="G79" s="36">
        <f>G80</f>
        <v>194400</v>
      </c>
      <c r="H79" s="36">
        <f>H80</f>
        <v>557280</v>
      </c>
      <c r="I79" s="36">
        <f>I80</f>
        <v>25920</v>
      </c>
      <c r="J79" s="36">
        <f t="shared" si="1"/>
        <v>1058400</v>
      </c>
    </row>
    <row r="80" spans="1:10" s="40" customFormat="1" ht="22.5">
      <c r="A80" s="33" t="s">
        <v>361</v>
      </c>
      <c r="B80" s="38" t="s">
        <v>362</v>
      </c>
      <c r="C80" s="38" t="s">
        <v>191</v>
      </c>
      <c r="D80" s="48" t="s">
        <v>363</v>
      </c>
      <c r="E80" s="36">
        <f>E96*4320</f>
        <v>43200</v>
      </c>
      <c r="F80" s="36">
        <f>F96*4320</f>
        <v>237600</v>
      </c>
      <c r="G80" s="36">
        <f>G96*4320</f>
        <v>194400</v>
      </c>
      <c r="H80" s="36">
        <f>H96*4320</f>
        <v>557280</v>
      </c>
      <c r="I80" s="36">
        <f>I96*4320</f>
        <v>25920</v>
      </c>
      <c r="J80" s="36">
        <f t="shared" si="1"/>
        <v>1058400</v>
      </c>
    </row>
    <row r="81" spans="1:10">
      <c r="A81" s="33" t="s">
        <v>364</v>
      </c>
      <c r="B81" s="34" t="s">
        <v>365</v>
      </c>
      <c r="C81" s="34"/>
      <c r="D81" s="35" t="s">
        <v>185</v>
      </c>
      <c r="E81" s="36">
        <f>E82</f>
        <v>39600</v>
      </c>
      <c r="F81" s="36">
        <f>F82</f>
        <v>209436</v>
      </c>
      <c r="G81" s="36">
        <f>G82</f>
        <v>167080</v>
      </c>
      <c r="H81" s="36">
        <f>H82</f>
        <v>526756</v>
      </c>
      <c r="I81" s="36">
        <f>I82</f>
        <v>26576</v>
      </c>
      <c r="J81" s="36">
        <f t="shared" si="1"/>
        <v>969448</v>
      </c>
    </row>
    <row r="82" spans="1:10" s="40" customFormat="1">
      <c r="A82" s="33" t="s">
        <v>366</v>
      </c>
      <c r="B82" s="38" t="s">
        <v>367</v>
      </c>
      <c r="C82" s="38" t="s">
        <v>191</v>
      </c>
      <c r="D82" s="39" t="s">
        <v>210</v>
      </c>
      <c r="E82" s="36">
        <f>E16*4</f>
        <v>39600</v>
      </c>
      <c r="F82" s="36">
        <f>F16*4</f>
        <v>209436</v>
      </c>
      <c r="G82" s="36">
        <f>G16*4</f>
        <v>167080</v>
      </c>
      <c r="H82" s="36">
        <f>H16*4</f>
        <v>526756</v>
      </c>
      <c r="I82" s="36">
        <f>I16*4</f>
        <v>26576</v>
      </c>
      <c r="J82" s="36">
        <f t="shared" si="1"/>
        <v>969448</v>
      </c>
    </row>
    <row r="83" spans="1:10">
      <c r="A83" s="33" t="s">
        <v>368</v>
      </c>
      <c r="B83" s="34" t="s">
        <v>369</v>
      </c>
      <c r="C83" s="34"/>
      <c r="D83" s="35" t="s">
        <v>185</v>
      </c>
      <c r="E83" s="36">
        <f>E84</f>
        <v>0</v>
      </c>
      <c r="F83" s="36">
        <f>F84</f>
        <v>32000</v>
      </c>
      <c r="G83" s="36">
        <f>G84</f>
        <v>0</v>
      </c>
      <c r="H83" s="36">
        <f>H84</f>
        <v>32000</v>
      </c>
      <c r="I83" s="36">
        <f>I84</f>
        <v>0</v>
      </c>
      <c r="J83" s="36">
        <f t="shared" si="1"/>
        <v>64000</v>
      </c>
    </row>
    <row r="84" spans="1:10" ht="33.75">
      <c r="A84" s="33" t="s">
        <v>370</v>
      </c>
      <c r="B84" s="34" t="s">
        <v>371</v>
      </c>
      <c r="C84" s="34" t="s">
        <v>191</v>
      </c>
      <c r="D84" s="47" t="s">
        <v>372</v>
      </c>
      <c r="E84" s="37"/>
      <c r="F84" s="37">
        <v>32000</v>
      </c>
      <c r="G84" s="37"/>
      <c r="H84" s="37">
        <v>32000</v>
      </c>
      <c r="I84" s="37"/>
      <c r="J84" s="36">
        <f t="shared" si="1"/>
        <v>64000</v>
      </c>
    </row>
    <row r="85" spans="1:10">
      <c r="A85" s="33" t="s">
        <v>373</v>
      </c>
      <c r="B85" s="34" t="s">
        <v>374</v>
      </c>
      <c r="C85" s="34"/>
      <c r="D85" s="35" t="s">
        <v>185</v>
      </c>
      <c r="E85" s="36">
        <f>E86+E89+E92</f>
        <v>0</v>
      </c>
      <c r="F85" s="36">
        <f>F86+F89+F92</f>
        <v>47200</v>
      </c>
      <c r="G85" s="36">
        <f>G86+G89+G92</f>
        <v>0</v>
      </c>
      <c r="H85" s="36">
        <f>H86+H89+H92</f>
        <v>401200</v>
      </c>
      <c r="I85" s="36">
        <f>I86+I89+I92</f>
        <v>9440</v>
      </c>
      <c r="J85" s="36">
        <f t="shared" si="1"/>
        <v>457840</v>
      </c>
    </row>
    <row r="86" spans="1:10">
      <c r="A86" s="33" t="s">
        <v>375</v>
      </c>
      <c r="B86" s="34" t="s">
        <v>376</v>
      </c>
      <c r="C86" s="34"/>
      <c r="D86" s="35" t="s">
        <v>185</v>
      </c>
      <c r="E86" s="36">
        <f>E87+E88</f>
        <v>0</v>
      </c>
      <c r="F86" s="36">
        <f>F87+F88</f>
        <v>0</v>
      </c>
      <c r="G86" s="36">
        <f>G87+G88</f>
        <v>0</v>
      </c>
      <c r="H86" s="36">
        <f>H87+H88</f>
        <v>0</v>
      </c>
      <c r="I86" s="36">
        <f>I87+I88</f>
        <v>0</v>
      </c>
      <c r="J86" s="36">
        <f t="shared" si="1"/>
        <v>0</v>
      </c>
    </row>
    <row r="87" spans="1:10">
      <c r="A87" s="33" t="s">
        <v>377</v>
      </c>
      <c r="B87" s="34" t="s">
        <v>378</v>
      </c>
      <c r="C87" s="34" t="s">
        <v>191</v>
      </c>
      <c r="D87" s="47" t="s">
        <v>293</v>
      </c>
      <c r="E87" s="43"/>
      <c r="F87" s="43"/>
      <c r="G87" s="43"/>
      <c r="H87" s="43"/>
      <c r="I87" s="43"/>
      <c r="J87" s="36">
        <f t="shared" si="1"/>
        <v>0</v>
      </c>
    </row>
    <row r="88" spans="1:10">
      <c r="A88" s="33" t="s">
        <v>379</v>
      </c>
      <c r="B88" s="34" t="s">
        <v>380</v>
      </c>
      <c r="C88" s="34" t="s">
        <v>191</v>
      </c>
      <c r="D88" s="35" t="s">
        <v>381</v>
      </c>
      <c r="E88" s="43"/>
      <c r="F88" s="43"/>
      <c r="G88" s="43"/>
      <c r="H88" s="43"/>
      <c r="I88" s="43"/>
      <c r="J88" s="36">
        <f t="shared" si="1"/>
        <v>0</v>
      </c>
    </row>
    <row r="89" spans="1:10">
      <c r="A89" s="33" t="s">
        <v>382</v>
      </c>
      <c r="B89" s="34" t="s">
        <v>383</v>
      </c>
      <c r="C89" s="34"/>
      <c r="D89" s="35" t="s">
        <v>185</v>
      </c>
      <c r="E89" s="36">
        <f>E90+E91</f>
        <v>0</v>
      </c>
      <c r="F89" s="36">
        <f>F90+F91</f>
        <v>47200</v>
      </c>
      <c r="G89" s="36">
        <f>G90+G91</f>
        <v>0</v>
      </c>
      <c r="H89" s="36">
        <f>H90+H91</f>
        <v>401200</v>
      </c>
      <c r="I89" s="36">
        <f>I90+I91</f>
        <v>9440</v>
      </c>
      <c r="J89" s="36">
        <f t="shared" si="1"/>
        <v>457840</v>
      </c>
    </row>
    <row r="90" spans="1:10" s="40" customFormat="1" ht="22.5">
      <c r="A90" s="33" t="s">
        <v>384</v>
      </c>
      <c r="B90" s="38" t="s">
        <v>385</v>
      </c>
      <c r="C90" s="38" t="s">
        <v>191</v>
      </c>
      <c r="D90" s="48" t="s">
        <v>386</v>
      </c>
      <c r="E90" s="36">
        <f>E107*400</f>
        <v>0</v>
      </c>
      <c r="F90" s="36">
        <f>F107*400</f>
        <v>4000</v>
      </c>
      <c r="G90" s="36">
        <f>G107*400</f>
        <v>0</v>
      </c>
      <c r="H90" s="36">
        <f>H107*400</f>
        <v>34000</v>
      </c>
      <c r="I90" s="36">
        <f>I107*400</f>
        <v>800</v>
      </c>
      <c r="J90" s="36">
        <f t="shared" si="1"/>
        <v>38800</v>
      </c>
    </row>
    <row r="91" spans="1:10" s="40" customFormat="1" ht="22.5">
      <c r="A91" s="33" t="s">
        <v>387</v>
      </c>
      <c r="B91" s="38" t="s">
        <v>388</v>
      </c>
      <c r="C91" s="38" t="s">
        <v>191</v>
      </c>
      <c r="D91" s="48" t="s">
        <v>389</v>
      </c>
      <c r="E91" s="36">
        <f>E107*4320</f>
        <v>0</v>
      </c>
      <c r="F91" s="36">
        <f>F107*4320</f>
        <v>43200</v>
      </c>
      <c r="G91" s="36">
        <f>G107*4320</f>
        <v>0</v>
      </c>
      <c r="H91" s="36">
        <f>H107*4320</f>
        <v>367200</v>
      </c>
      <c r="I91" s="36">
        <f>I107*4320</f>
        <v>8640</v>
      </c>
      <c r="J91" s="36">
        <f t="shared" si="1"/>
        <v>419040</v>
      </c>
    </row>
    <row r="92" spans="1:10">
      <c r="A92" s="33" t="s">
        <v>390</v>
      </c>
      <c r="B92" s="34" t="s">
        <v>391</v>
      </c>
      <c r="C92" s="34" t="s">
        <v>191</v>
      </c>
      <c r="D92" s="47" t="s">
        <v>293</v>
      </c>
      <c r="E92" s="49"/>
      <c r="F92" s="49"/>
      <c r="G92" s="49"/>
      <c r="H92" s="49"/>
      <c r="I92" s="49"/>
      <c r="J92" s="36">
        <f t="shared" si="1"/>
        <v>0</v>
      </c>
    </row>
    <row r="93" spans="1:10">
      <c r="A93" s="33" t="s">
        <v>392</v>
      </c>
      <c r="B93" s="34" t="s">
        <v>393</v>
      </c>
      <c r="C93" s="34"/>
      <c r="D93" s="35" t="s">
        <v>185</v>
      </c>
      <c r="E93" s="36">
        <f>E94</f>
        <v>32000</v>
      </c>
      <c r="F93" s="36">
        <f>F94</f>
        <v>5000</v>
      </c>
      <c r="G93" s="36">
        <f>G94</f>
        <v>32000</v>
      </c>
      <c r="H93" s="36">
        <f>H94</f>
        <v>0</v>
      </c>
      <c r="I93" s="36">
        <f>I94</f>
        <v>32000</v>
      </c>
      <c r="J93" s="36">
        <f t="shared" si="1"/>
        <v>101000</v>
      </c>
    </row>
    <row r="94" spans="1:10" ht="57" thickBot="1">
      <c r="A94" s="33" t="s">
        <v>394</v>
      </c>
      <c r="B94" s="50" t="s">
        <v>395</v>
      </c>
      <c r="C94" s="34" t="s">
        <v>191</v>
      </c>
      <c r="D94" s="51" t="s">
        <v>534</v>
      </c>
      <c r="E94" s="52">
        <v>32000</v>
      </c>
      <c r="F94" s="52">
        <v>5000</v>
      </c>
      <c r="G94" s="52">
        <v>32000</v>
      </c>
      <c r="H94" s="52"/>
      <c r="I94" s="52">
        <v>32000</v>
      </c>
      <c r="J94" s="36">
        <f t="shared" si="1"/>
        <v>101000</v>
      </c>
    </row>
    <row r="95" spans="1:10" ht="23.25" customHeight="1" thickTop="1">
      <c r="A95" s="33" t="s">
        <v>397</v>
      </c>
      <c r="B95" s="53" t="s">
        <v>398</v>
      </c>
      <c r="C95" s="53"/>
      <c r="D95" s="54"/>
      <c r="E95" s="55"/>
      <c r="F95" s="55"/>
      <c r="G95" s="55"/>
      <c r="H95" s="55"/>
      <c r="I95" s="55"/>
      <c r="J95" s="36">
        <f t="shared" si="1"/>
        <v>0</v>
      </c>
    </row>
    <row r="96" spans="1:10" ht="22.5">
      <c r="A96" s="33" t="s">
        <v>399</v>
      </c>
      <c r="B96" s="34" t="s">
        <v>400</v>
      </c>
      <c r="C96" s="34"/>
      <c r="D96" s="35" t="s">
        <v>447</v>
      </c>
      <c r="E96" s="36">
        <f>E97+E98+E99+E100</f>
        <v>10</v>
      </c>
      <c r="F96" s="36">
        <f>F97+F98+F99+F100</f>
        <v>55</v>
      </c>
      <c r="G96" s="36">
        <f>G97+G98+G99+G100</f>
        <v>45</v>
      </c>
      <c r="H96" s="36">
        <f>H97+H98+H99+H100</f>
        <v>129</v>
      </c>
      <c r="I96" s="36">
        <f>I97+I98+I99+I100</f>
        <v>6</v>
      </c>
      <c r="J96" s="36">
        <f t="shared" si="1"/>
        <v>245</v>
      </c>
    </row>
    <row r="97" spans="1:10">
      <c r="A97" s="33" t="s">
        <v>402</v>
      </c>
      <c r="B97" s="56" t="s">
        <v>403</v>
      </c>
      <c r="C97" s="56"/>
      <c r="D97" s="42"/>
      <c r="E97" s="43"/>
      <c r="F97" s="43"/>
      <c r="G97" s="43"/>
      <c r="H97" s="43">
        <v>60</v>
      </c>
      <c r="I97" s="43"/>
      <c r="J97" s="36">
        <f t="shared" si="1"/>
        <v>60</v>
      </c>
    </row>
    <row r="98" spans="1:10">
      <c r="A98" s="33" t="s">
        <v>404</v>
      </c>
      <c r="B98" s="56" t="s">
        <v>405</v>
      </c>
      <c r="C98" s="56"/>
      <c r="D98" s="35"/>
      <c r="E98" s="37"/>
      <c r="F98" s="37"/>
      <c r="G98" s="37"/>
      <c r="H98" s="37">
        <v>69</v>
      </c>
      <c r="I98" s="37"/>
      <c r="J98" s="36">
        <f t="shared" si="1"/>
        <v>69</v>
      </c>
    </row>
    <row r="99" spans="1:10">
      <c r="A99" s="33" t="s">
        <v>406</v>
      </c>
      <c r="B99" s="56" t="s">
        <v>407</v>
      </c>
      <c r="C99" s="56"/>
      <c r="D99" s="42"/>
      <c r="E99" s="43">
        <v>10</v>
      </c>
      <c r="F99" s="43">
        <v>55</v>
      </c>
      <c r="G99" s="43">
        <v>45</v>
      </c>
      <c r="H99" s="43"/>
      <c r="I99" s="43"/>
      <c r="J99" s="36">
        <f t="shared" si="1"/>
        <v>110</v>
      </c>
    </row>
    <row r="100" spans="1:10">
      <c r="A100" s="33" t="s">
        <v>408</v>
      </c>
      <c r="B100" s="56" t="s">
        <v>409</v>
      </c>
      <c r="C100" s="56"/>
      <c r="D100" s="42"/>
      <c r="E100" s="43"/>
      <c r="F100" s="43"/>
      <c r="G100" s="43"/>
      <c r="H100" s="43"/>
      <c r="I100" s="43">
        <v>6</v>
      </c>
      <c r="J100" s="36">
        <f t="shared" si="1"/>
        <v>6</v>
      </c>
    </row>
    <row r="101" spans="1:10" ht="33.75">
      <c r="A101" s="33" t="s">
        <v>410</v>
      </c>
      <c r="B101" s="34" t="s">
        <v>411</v>
      </c>
      <c r="C101" s="34"/>
      <c r="D101" s="35" t="s">
        <v>448</v>
      </c>
      <c r="E101" s="36">
        <f>E102+E103+E104+E105</f>
        <v>75</v>
      </c>
      <c r="F101" s="36">
        <f>F102+F103+F104+F105</f>
        <v>726</v>
      </c>
      <c r="G101" s="36">
        <f>G102+G103+G104+G105</f>
        <v>561</v>
      </c>
      <c r="H101" s="36">
        <f>H102+H103+H104+H105</f>
        <v>1281</v>
      </c>
      <c r="I101" s="36">
        <f>I102+I103+I104+I105</f>
        <v>0</v>
      </c>
      <c r="J101" s="36">
        <f t="shared" si="1"/>
        <v>2643</v>
      </c>
    </row>
    <row r="102" spans="1:10">
      <c r="A102" s="33" t="s">
        <v>413</v>
      </c>
      <c r="B102" s="56" t="s">
        <v>403</v>
      </c>
      <c r="C102" s="56"/>
      <c r="D102" s="42"/>
      <c r="E102" s="43"/>
      <c r="F102" s="43"/>
      <c r="G102" s="43"/>
      <c r="H102" s="43">
        <v>537</v>
      </c>
      <c r="I102" s="43"/>
      <c r="J102" s="36">
        <f t="shared" si="1"/>
        <v>537</v>
      </c>
    </row>
    <row r="103" spans="1:10">
      <c r="A103" s="33" t="s">
        <v>414</v>
      </c>
      <c r="B103" s="56" t="s">
        <v>405</v>
      </c>
      <c r="C103" s="56"/>
      <c r="D103" s="35"/>
      <c r="E103" s="37"/>
      <c r="F103" s="37"/>
      <c r="G103" s="37"/>
      <c r="H103" s="37">
        <v>744</v>
      </c>
      <c r="I103" s="37"/>
      <c r="J103" s="36">
        <f t="shared" si="1"/>
        <v>744</v>
      </c>
    </row>
    <row r="104" spans="1:10">
      <c r="A104" s="33" t="s">
        <v>415</v>
      </c>
      <c r="B104" s="56" t="s">
        <v>407</v>
      </c>
      <c r="C104" s="56"/>
      <c r="D104" s="42"/>
      <c r="E104" s="43">
        <v>75</v>
      </c>
      <c r="F104" s="43">
        <v>726</v>
      </c>
      <c r="G104" s="43">
        <v>561</v>
      </c>
      <c r="H104" s="43"/>
      <c r="I104" s="43"/>
      <c r="J104" s="36">
        <f t="shared" si="1"/>
        <v>1362</v>
      </c>
    </row>
    <row r="105" spans="1:10">
      <c r="A105" s="33" t="s">
        <v>416</v>
      </c>
      <c r="B105" s="56" t="s">
        <v>409</v>
      </c>
      <c r="C105" s="56"/>
      <c r="D105" s="42"/>
      <c r="E105" s="43"/>
      <c r="F105" s="43"/>
      <c r="G105" s="43"/>
      <c r="H105" s="43"/>
      <c r="I105" s="43"/>
      <c r="J105" s="36">
        <f t="shared" si="1"/>
        <v>0</v>
      </c>
    </row>
    <row r="106" spans="1:10">
      <c r="A106" s="33" t="s">
        <v>417</v>
      </c>
      <c r="B106" s="34" t="s">
        <v>418</v>
      </c>
      <c r="C106" s="34"/>
      <c r="D106" s="47"/>
      <c r="E106" s="57"/>
      <c r="F106" s="57"/>
      <c r="G106" s="57"/>
      <c r="H106" s="57"/>
      <c r="I106" s="57"/>
      <c r="J106" s="36">
        <f t="shared" si="1"/>
        <v>0</v>
      </c>
    </row>
    <row r="107" spans="1:10">
      <c r="A107" s="33" t="s">
        <v>419</v>
      </c>
      <c r="B107" s="34" t="s">
        <v>420</v>
      </c>
      <c r="C107" s="34"/>
      <c r="D107" s="35"/>
      <c r="E107" s="37"/>
      <c r="F107" s="37">
        <v>10</v>
      </c>
      <c r="G107" s="37"/>
      <c r="H107" s="37">
        <v>85</v>
      </c>
      <c r="I107" s="37">
        <v>2</v>
      </c>
      <c r="J107" s="36">
        <f t="shared" si="1"/>
        <v>97</v>
      </c>
    </row>
    <row r="108" spans="1:10">
      <c r="A108" s="33" t="s">
        <v>421</v>
      </c>
      <c r="B108" s="56" t="s">
        <v>422</v>
      </c>
      <c r="C108" s="56"/>
      <c r="D108" s="47"/>
      <c r="E108" s="37">
        <v>8901.44</v>
      </c>
      <c r="F108" s="37">
        <v>6485.75</v>
      </c>
      <c r="G108" s="37">
        <v>5150</v>
      </c>
      <c r="H108" s="37">
        <v>29242.58</v>
      </c>
      <c r="I108" s="37">
        <v>3660</v>
      </c>
      <c r="J108" s="36">
        <f t="shared" si="1"/>
        <v>53439.770000000004</v>
      </c>
    </row>
    <row r="109" spans="1:10">
      <c r="A109" s="33" t="s">
        <v>423</v>
      </c>
      <c r="B109" s="56" t="s">
        <v>424</v>
      </c>
      <c r="C109" s="56"/>
      <c r="D109" s="47"/>
      <c r="E109" s="37">
        <v>3623</v>
      </c>
      <c r="F109" s="37">
        <v>1500</v>
      </c>
      <c r="G109" s="37">
        <v>2467</v>
      </c>
      <c r="H109" s="37">
        <v>20660</v>
      </c>
      <c r="I109" s="37">
        <v>2700</v>
      </c>
      <c r="J109" s="36">
        <f t="shared" si="1"/>
        <v>30950</v>
      </c>
    </row>
  </sheetData>
  <protectedRanges>
    <protectedRange password="E9C1" sqref="B31:D109 A4:D12 A2:J3 B13:D28 A13:A109 J4:J109" name="区域1_1_2"/>
    <protectedRange password="E9C1" sqref="B29:C30" name="区域1_1_1_1"/>
    <protectedRange password="E9C1" sqref="D29" name="区域1_3"/>
    <protectedRange password="E9C1" sqref="D30" name="区域1_2_1"/>
  </protectedRanges>
  <mergeCells count="1">
    <mergeCell ref="A1:J1"/>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9"/>
  <sheetViews>
    <sheetView workbookViewId="0">
      <selection activeCell="L3" sqref="L3:L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12" ht="25.5">
      <c r="A1" s="1332" t="s">
        <v>179</v>
      </c>
      <c r="B1" s="1333"/>
      <c r="C1" s="1333"/>
      <c r="D1" s="1333"/>
      <c r="E1" s="1333"/>
      <c r="F1" s="1333"/>
      <c r="G1" s="1333"/>
      <c r="H1" s="1333"/>
      <c r="I1" s="1333"/>
      <c r="J1" s="1333"/>
      <c r="K1" s="1333"/>
      <c r="L1" s="1333"/>
    </row>
    <row r="2" spans="1:12" ht="30" customHeight="1">
      <c r="A2" s="31" t="s">
        <v>0</v>
      </c>
      <c r="B2" s="31" t="s">
        <v>180</v>
      </c>
      <c r="C2" s="31" t="s">
        <v>181</v>
      </c>
      <c r="D2" s="32" t="s">
        <v>182</v>
      </c>
      <c r="E2" s="32" t="s">
        <v>431</v>
      </c>
      <c r="F2" s="32" t="s">
        <v>432</v>
      </c>
      <c r="G2" s="32" t="s">
        <v>433</v>
      </c>
      <c r="H2" s="32" t="s">
        <v>177</v>
      </c>
      <c r="I2" s="32" t="s">
        <v>434</v>
      </c>
      <c r="J2" s="32" t="s">
        <v>435</v>
      </c>
      <c r="K2" s="32" t="s">
        <v>436</v>
      </c>
      <c r="L2" s="32" t="s">
        <v>25</v>
      </c>
    </row>
    <row r="3" spans="1:12">
      <c r="A3" s="33" t="s">
        <v>183</v>
      </c>
      <c r="B3" s="34" t="s">
        <v>184</v>
      </c>
      <c r="C3" s="34"/>
      <c r="D3" s="35" t="s">
        <v>185</v>
      </c>
      <c r="E3" s="36">
        <f>E4+E31+E52</f>
        <v>30135162</v>
      </c>
      <c r="F3" s="36">
        <f t="shared" ref="F3:K3" si="0">F4+F31+F52</f>
        <v>25497133.420000002</v>
      </c>
      <c r="G3" s="36">
        <f t="shared" si="0"/>
        <v>7772961.5999999996</v>
      </c>
      <c r="H3" s="36">
        <f t="shared" si="0"/>
        <v>5618645</v>
      </c>
      <c r="I3" s="36">
        <f t="shared" si="0"/>
        <v>12200759.1</v>
      </c>
      <c r="J3" s="36">
        <f t="shared" si="0"/>
        <v>14325853.199999999</v>
      </c>
      <c r="K3" s="36">
        <f t="shared" si="0"/>
        <v>1551425.2</v>
      </c>
      <c r="L3" s="36">
        <f t="shared" ref="L3:L66" si="1">SUM(E3:K3)</f>
        <v>97101939.520000011</v>
      </c>
    </row>
    <row r="4" spans="1:12">
      <c r="A4" s="33" t="s">
        <v>186</v>
      </c>
      <c r="B4" s="34" t="s">
        <v>128</v>
      </c>
      <c r="C4" s="34"/>
      <c r="D4" s="35" t="s">
        <v>185</v>
      </c>
      <c r="E4" s="36">
        <f t="shared" ref="E4:K4" si="2">E5+E8+E13+E17+E20+E22+E25+E27+E29+E30</f>
        <v>26499309</v>
      </c>
      <c r="F4" s="36">
        <f t="shared" si="2"/>
        <v>21976487.600000001</v>
      </c>
      <c r="G4" s="36">
        <f t="shared" si="2"/>
        <v>5574417</v>
      </c>
      <c r="H4" s="36">
        <f t="shared" si="2"/>
        <v>4589320</v>
      </c>
      <c r="I4" s="36">
        <f t="shared" si="2"/>
        <v>10669234</v>
      </c>
      <c r="J4" s="36">
        <f t="shared" si="2"/>
        <v>12047063</v>
      </c>
      <c r="K4" s="36">
        <f t="shared" si="2"/>
        <v>1285262</v>
      </c>
      <c r="L4" s="36">
        <f t="shared" si="1"/>
        <v>82641092.599999994</v>
      </c>
    </row>
    <row r="5" spans="1:12">
      <c r="A5" s="33" t="s">
        <v>187</v>
      </c>
      <c r="B5" s="34" t="s">
        <v>188</v>
      </c>
      <c r="C5" s="34"/>
      <c r="D5" s="35" t="s">
        <v>185</v>
      </c>
      <c r="E5" s="36">
        <f>E6+E7</f>
        <v>3819953</v>
      </c>
      <c r="F5" s="36">
        <f t="shared" ref="F5:K5" si="3">F6+F7</f>
        <v>3145152</v>
      </c>
      <c r="G5" s="36">
        <f t="shared" si="3"/>
        <v>673844</v>
      </c>
      <c r="H5" s="36">
        <f t="shared" si="3"/>
        <v>653652</v>
      </c>
      <c r="I5" s="36">
        <f t="shared" si="3"/>
        <v>1379784</v>
      </c>
      <c r="J5" s="36">
        <f t="shared" si="3"/>
        <v>1315632</v>
      </c>
      <c r="K5" s="36">
        <f t="shared" si="3"/>
        <v>200988</v>
      </c>
      <c r="L5" s="36">
        <f t="shared" si="1"/>
        <v>11189005</v>
      </c>
    </row>
    <row r="6" spans="1:12">
      <c r="A6" s="33" t="s">
        <v>189</v>
      </c>
      <c r="B6" s="34" t="s">
        <v>190</v>
      </c>
      <c r="C6" s="34" t="s">
        <v>191</v>
      </c>
      <c r="D6" s="35" t="s">
        <v>192</v>
      </c>
      <c r="E6" s="37">
        <v>2177849</v>
      </c>
      <c r="F6" s="37">
        <v>1749528</v>
      </c>
      <c r="G6" s="37">
        <v>454224</v>
      </c>
      <c r="H6" s="37">
        <f>31955*12</f>
        <v>383460</v>
      </c>
      <c r="I6" s="37">
        <v>882504</v>
      </c>
      <c r="J6" s="91">
        <v>858201</v>
      </c>
      <c r="K6" s="37">
        <v>99000</v>
      </c>
      <c r="L6" s="36">
        <f t="shared" si="1"/>
        <v>6604766</v>
      </c>
    </row>
    <row r="7" spans="1:12">
      <c r="A7" s="33" t="s">
        <v>193</v>
      </c>
      <c r="B7" s="34" t="s">
        <v>194</v>
      </c>
      <c r="C7" s="34" t="s">
        <v>191</v>
      </c>
      <c r="D7" s="35" t="s">
        <v>192</v>
      </c>
      <c r="E7" s="37">
        <v>1642104</v>
      </c>
      <c r="F7" s="37">
        <v>1395624</v>
      </c>
      <c r="G7" s="37">
        <v>219620</v>
      </c>
      <c r="H7" s="37">
        <f>22516*12</f>
        <v>270192</v>
      </c>
      <c r="I7" s="37">
        <v>497280</v>
      </c>
      <c r="J7" s="91">
        <v>457431</v>
      </c>
      <c r="K7" s="37">
        <v>101988</v>
      </c>
      <c r="L7" s="36">
        <f t="shared" si="1"/>
        <v>4584239</v>
      </c>
    </row>
    <row r="8" spans="1:12">
      <c r="A8" s="33" t="s">
        <v>195</v>
      </c>
      <c r="B8" s="34" t="s">
        <v>196</v>
      </c>
      <c r="C8" s="34"/>
      <c r="D8" s="35" t="s">
        <v>185</v>
      </c>
      <c r="E8" s="36">
        <f>E9+E10</f>
        <v>450508</v>
      </c>
      <c r="F8" s="36">
        <f t="shared" ref="F8:K8" si="4">F9+F10</f>
        <v>385392</v>
      </c>
      <c r="G8" s="36">
        <f t="shared" si="4"/>
        <v>102636</v>
      </c>
      <c r="H8" s="36">
        <f t="shared" si="4"/>
        <v>86748</v>
      </c>
      <c r="I8" s="36">
        <f t="shared" si="4"/>
        <v>200352</v>
      </c>
      <c r="J8" s="36">
        <f t="shared" si="4"/>
        <v>237151</v>
      </c>
      <c r="K8" s="36">
        <f t="shared" si="4"/>
        <v>21852</v>
      </c>
      <c r="L8" s="36">
        <f t="shared" si="1"/>
        <v>1484639</v>
      </c>
    </row>
    <row r="9" spans="1:12">
      <c r="A9" s="33" t="s">
        <v>197</v>
      </c>
      <c r="B9" s="34" t="s">
        <v>198</v>
      </c>
      <c r="C9" s="34" t="s">
        <v>191</v>
      </c>
      <c r="D9" s="35" t="s">
        <v>192</v>
      </c>
      <c r="E9" s="37">
        <v>6292</v>
      </c>
      <c r="F9" s="37">
        <v>5400</v>
      </c>
      <c r="G9" s="37">
        <v>948</v>
      </c>
      <c r="H9" s="37">
        <f>93*12</f>
        <v>1116</v>
      </c>
      <c r="I9" s="37">
        <v>2328</v>
      </c>
      <c r="J9" s="91">
        <v>1663</v>
      </c>
      <c r="K9" s="37">
        <v>444</v>
      </c>
      <c r="L9" s="36">
        <f t="shared" si="1"/>
        <v>18191</v>
      </c>
    </row>
    <row r="10" spans="1:12">
      <c r="A10" s="33" t="s">
        <v>199</v>
      </c>
      <c r="B10" s="34" t="s">
        <v>200</v>
      </c>
      <c r="C10" s="34"/>
      <c r="D10" s="35" t="s">
        <v>185</v>
      </c>
      <c r="E10" s="36">
        <f>E11+E12</f>
        <v>444216</v>
      </c>
      <c r="F10" s="36">
        <f t="shared" ref="F10:K10" si="5">F11+F12</f>
        <v>379992</v>
      </c>
      <c r="G10" s="36">
        <f t="shared" si="5"/>
        <v>101688</v>
      </c>
      <c r="H10" s="36">
        <f t="shared" si="5"/>
        <v>85632</v>
      </c>
      <c r="I10" s="36">
        <f t="shared" si="5"/>
        <v>198024</v>
      </c>
      <c r="J10" s="36">
        <f t="shared" si="5"/>
        <v>235488</v>
      </c>
      <c r="K10" s="36">
        <f t="shared" si="5"/>
        <v>21408</v>
      </c>
      <c r="L10" s="36">
        <f t="shared" si="1"/>
        <v>1466448</v>
      </c>
    </row>
    <row r="11" spans="1:12" s="40" customFormat="1">
      <c r="A11" s="33" t="s">
        <v>201</v>
      </c>
      <c r="B11" s="38" t="s">
        <v>202</v>
      </c>
      <c r="C11" s="38" t="s">
        <v>191</v>
      </c>
      <c r="D11" s="39" t="s">
        <v>185</v>
      </c>
      <c r="E11" s="36">
        <f>72*E96</f>
        <v>5976</v>
      </c>
      <c r="F11" s="36">
        <f t="shared" ref="F11:K11" si="6">72*F96</f>
        <v>5112</v>
      </c>
      <c r="G11" s="36">
        <f t="shared" si="6"/>
        <v>1368</v>
      </c>
      <c r="H11" s="36">
        <f t="shared" si="6"/>
        <v>1152</v>
      </c>
      <c r="I11" s="36">
        <f t="shared" si="6"/>
        <v>2664</v>
      </c>
      <c r="J11" s="36">
        <f t="shared" si="6"/>
        <v>3168</v>
      </c>
      <c r="K11" s="36">
        <f t="shared" si="6"/>
        <v>288</v>
      </c>
      <c r="L11" s="36">
        <f t="shared" si="1"/>
        <v>19728</v>
      </c>
    </row>
    <row r="12" spans="1:12" s="40" customFormat="1">
      <c r="A12" s="33" t="s">
        <v>203</v>
      </c>
      <c r="B12" s="38" t="s">
        <v>204</v>
      </c>
      <c r="C12" s="38" t="s">
        <v>191</v>
      </c>
      <c r="D12" s="39" t="s">
        <v>185</v>
      </c>
      <c r="E12" s="36">
        <f>440*12*E96</f>
        <v>438240</v>
      </c>
      <c r="F12" s="36">
        <f t="shared" ref="F12:K12" si="7">440*12*F96</f>
        <v>374880</v>
      </c>
      <c r="G12" s="36">
        <f t="shared" si="7"/>
        <v>100320</v>
      </c>
      <c r="H12" s="36">
        <f t="shared" si="7"/>
        <v>84480</v>
      </c>
      <c r="I12" s="36">
        <f t="shared" si="7"/>
        <v>195360</v>
      </c>
      <c r="J12" s="36">
        <f t="shared" si="7"/>
        <v>232320</v>
      </c>
      <c r="K12" s="36">
        <f t="shared" si="7"/>
        <v>21120</v>
      </c>
      <c r="L12" s="36">
        <f t="shared" si="1"/>
        <v>1446720</v>
      </c>
    </row>
    <row r="13" spans="1:12">
      <c r="A13" s="33" t="s">
        <v>205</v>
      </c>
      <c r="B13" s="34" t="s">
        <v>206</v>
      </c>
      <c r="C13" s="34"/>
      <c r="D13" s="35" t="s">
        <v>207</v>
      </c>
      <c r="E13" s="36">
        <f>E14+E15+E16</f>
        <v>427915</v>
      </c>
      <c r="F13" s="36">
        <f t="shared" ref="F13:K13" si="8">F14+F15+F16</f>
        <v>336095.4</v>
      </c>
      <c r="G13" s="36">
        <f t="shared" si="8"/>
        <v>82662</v>
      </c>
      <c r="H13" s="36">
        <f t="shared" si="8"/>
        <v>69000</v>
      </c>
      <c r="I13" s="36">
        <f t="shared" si="8"/>
        <v>169482</v>
      </c>
      <c r="J13" s="36">
        <f t="shared" si="8"/>
        <v>185000</v>
      </c>
      <c r="K13" s="36">
        <f t="shared" si="8"/>
        <v>22854</v>
      </c>
      <c r="L13" s="36">
        <f t="shared" si="1"/>
        <v>1293008.3999999999</v>
      </c>
    </row>
    <row r="14" spans="1:12" s="40" customFormat="1">
      <c r="A14" s="33" t="s">
        <v>208</v>
      </c>
      <c r="B14" s="38" t="s">
        <v>209</v>
      </c>
      <c r="C14" s="38" t="s">
        <v>191</v>
      </c>
      <c r="D14" s="39" t="s">
        <v>210</v>
      </c>
      <c r="E14" s="36">
        <f>E16*3</f>
        <v>256749</v>
      </c>
      <c r="F14" s="36">
        <f t="shared" ref="F14:K14" si="9">F16*3</f>
        <v>201657.24</v>
      </c>
      <c r="G14" s="36">
        <f t="shared" si="9"/>
        <v>49597.200000000004</v>
      </c>
      <c r="H14" s="36">
        <f t="shared" si="9"/>
        <v>41400</v>
      </c>
      <c r="I14" s="36">
        <f t="shared" si="9"/>
        <v>101689.20000000001</v>
      </c>
      <c r="J14" s="36">
        <f t="shared" si="9"/>
        <v>111000</v>
      </c>
      <c r="K14" s="36">
        <f t="shared" si="9"/>
        <v>13712.400000000001</v>
      </c>
      <c r="L14" s="36">
        <f t="shared" si="1"/>
        <v>775805.03999999992</v>
      </c>
    </row>
    <row r="15" spans="1:12" s="40" customFormat="1">
      <c r="A15" s="33" t="s">
        <v>211</v>
      </c>
      <c r="B15" s="38" t="s">
        <v>212</v>
      </c>
      <c r="C15" s="38" t="s">
        <v>191</v>
      </c>
      <c r="D15" s="39" t="s">
        <v>210</v>
      </c>
      <c r="E15" s="36">
        <f>E16</f>
        <v>85583</v>
      </c>
      <c r="F15" s="36">
        <f t="shared" ref="F15:K15" si="10">F16</f>
        <v>67219.08</v>
      </c>
      <c r="G15" s="36">
        <f t="shared" si="10"/>
        <v>16532.400000000001</v>
      </c>
      <c r="H15" s="36">
        <f t="shared" si="10"/>
        <v>13800</v>
      </c>
      <c r="I15" s="36">
        <f t="shared" si="10"/>
        <v>33896.400000000001</v>
      </c>
      <c r="J15" s="36">
        <f t="shared" si="10"/>
        <v>37000</v>
      </c>
      <c r="K15" s="36">
        <f t="shared" si="10"/>
        <v>4570.8</v>
      </c>
      <c r="L15" s="36">
        <f t="shared" si="1"/>
        <v>258601.68</v>
      </c>
    </row>
    <row r="16" spans="1:12" s="40" customFormat="1">
      <c r="A16" s="33" t="s">
        <v>213</v>
      </c>
      <c r="B16" s="38" t="s">
        <v>214</v>
      </c>
      <c r="C16" s="38" t="s">
        <v>191</v>
      </c>
      <c r="D16" s="39" t="s">
        <v>210</v>
      </c>
      <c r="E16" s="37">
        <v>85583</v>
      </c>
      <c r="F16" s="37">
        <v>67219.08</v>
      </c>
      <c r="G16" s="37">
        <v>16532.400000000001</v>
      </c>
      <c r="H16" s="37">
        <f>12*1150</f>
        <v>13800</v>
      </c>
      <c r="I16" s="37">
        <v>33896.400000000001</v>
      </c>
      <c r="J16" s="91">
        <v>37000</v>
      </c>
      <c r="K16" s="37">
        <v>4570.8</v>
      </c>
      <c r="L16" s="36">
        <f t="shared" si="1"/>
        <v>258601.68</v>
      </c>
    </row>
    <row r="17" spans="1:12">
      <c r="A17" s="33" t="s">
        <v>215</v>
      </c>
      <c r="B17" s="34" t="s">
        <v>216</v>
      </c>
      <c r="C17" s="34"/>
      <c r="D17" s="35" t="s">
        <v>185</v>
      </c>
      <c r="E17" s="36">
        <v>13301663</v>
      </c>
      <c r="F17" s="36">
        <v>11378531</v>
      </c>
      <c r="G17" s="36">
        <v>3044959</v>
      </c>
      <c r="H17" s="36">
        <v>2384320</v>
      </c>
      <c r="I17" s="36">
        <v>5513740</v>
      </c>
      <c r="J17" s="36">
        <v>6556880</v>
      </c>
      <c r="K17" s="36">
        <v>589796</v>
      </c>
      <c r="L17" s="36">
        <f t="shared" si="1"/>
        <v>42769889</v>
      </c>
    </row>
    <row r="18" spans="1:12" ht="22.5">
      <c r="A18" s="33" t="s">
        <v>217</v>
      </c>
      <c r="B18" s="41" t="s">
        <v>218</v>
      </c>
      <c r="C18" s="41" t="s">
        <v>191</v>
      </c>
      <c r="D18" s="42" t="s">
        <v>219</v>
      </c>
      <c r="E18" s="43">
        <f>E17-E19</f>
        <v>12961419</v>
      </c>
      <c r="F18" s="43">
        <f t="shared" ref="F18:K18" si="11">F17-F19</f>
        <v>10998631</v>
      </c>
      <c r="G18" s="43">
        <f t="shared" si="11"/>
        <v>3044959</v>
      </c>
      <c r="H18" s="43">
        <f t="shared" si="11"/>
        <v>2384320</v>
      </c>
      <c r="I18" s="43">
        <f t="shared" si="11"/>
        <v>5303740</v>
      </c>
      <c r="J18" s="43">
        <f t="shared" si="11"/>
        <v>6391302</v>
      </c>
      <c r="K18" s="43">
        <f t="shared" si="11"/>
        <v>589796</v>
      </c>
      <c r="L18" s="36">
        <f t="shared" si="1"/>
        <v>41674167</v>
      </c>
    </row>
    <row r="19" spans="1:12">
      <c r="A19" s="33" t="s">
        <v>220</v>
      </c>
      <c r="B19" s="41" t="s">
        <v>221</v>
      </c>
      <c r="C19" s="41" t="s">
        <v>191</v>
      </c>
      <c r="D19" s="42" t="s">
        <v>222</v>
      </c>
      <c r="E19" s="43">
        <v>340244</v>
      </c>
      <c r="F19" s="43">
        <v>379900</v>
      </c>
      <c r="G19" s="43"/>
      <c r="H19" s="43"/>
      <c r="I19" s="43">
        <v>210000</v>
      </c>
      <c r="J19" s="43">
        <v>165578</v>
      </c>
      <c r="K19" s="43"/>
      <c r="L19" s="36">
        <f t="shared" si="1"/>
        <v>1095722</v>
      </c>
    </row>
    <row r="20" spans="1:12">
      <c r="A20" s="33" t="s">
        <v>223</v>
      </c>
      <c r="B20" s="34" t="s">
        <v>224</v>
      </c>
      <c r="C20" s="34"/>
      <c r="D20" s="42" t="s">
        <v>185</v>
      </c>
      <c r="E20" s="45">
        <f>E21</f>
        <v>1711660</v>
      </c>
      <c r="F20" s="45">
        <f t="shared" ref="F20:K20" si="12">F21</f>
        <v>1344381.6</v>
      </c>
      <c r="G20" s="45">
        <f t="shared" si="12"/>
        <v>330648</v>
      </c>
      <c r="H20" s="45">
        <f t="shared" si="12"/>
        <v>276000</v>
      </c>
      <c r="I20" s="45">
        <f t="shared" si="12"/>
        <v>677928</v>
      </c>
      <c r="J20" s="45">
        <f t="shared" si="12"/>
        <v>740000</v>
      </c>
      <c r="K20" s="45">
        <f t="shared" si="12"/>
        <v>91416</v>
      </c>
      <c r="L20" s="36">
        <f t="shared" si="1"/>
        <v>5172033.5999999996</v>
      </c>
    </row>
    <row r="21" spans="1:12">
      <c r="A21" s="33" t="s">
        <v>225</v>
      </c>
      <c r="B21" s="34" t="s">
        <v>226</v>
      </c>
      <c r="C21" s="34" t="s">
        <v>227</v>
      </c>
      <c r="D21" s="42" t="s">
        <v>185</v>
      </c>
      <c r="E21" s="45">
        <f>E16*20</f>
        <v>1711660</v>
      </c>
      <c r="F21" s="45">
        <f t="shared" ref="F21:K21" si="13">F16*20</f>
        <v>1344381.6</v>
      </c>
      <c r="G21" s="45">
        <f t="shared" si="13"/>
        <v>330648</v>
      </c>
      <c r="H21" s="45">
        <f t="shared" si="13"/>
        <v>276000</v>
      </c>
      <c r="I21" s="45">
        <f t="shared" si="13"/>
        <v>677928</v>
      </c>
      <c r="J21" s="45">
        <f t="shared" si="13"/>
        <v>740000</v>
      </c>
      <c r="K21" s="45">
        <f t="shared" si="13"/>
        <v>91416</v>
      </c>
      <c r="L21" s="36">
        <f t="shared" si="1"/>
        <v>5172033.5999999996</v>
      </c>
    </row>
    <row r="22" spans="1:12">
      <c r="A22" s="33" t="s">
        <v>228</v>
      </c>
      <c r="B22" s="34" t="s">
        <v>229</v>
      </c>
      <c r="C22" s="34"/>
      <c r="D22" s="42" t="s">
        <v>210</v>
      </c>
      <c r="E22" s="45">
        <f>E23+E24</f>
        <v>684664</v>
      </c>
      <c r="F22" s="45">
        <f t="shared" ref="F22:K22" si="14">F23+F24</f>
        <v>537752.64</v>
      </c>
      <c r="G22" s="45">
        <f t="shared" si="14"/>
        <v>132259.20000000001</v>
      </c>
      <c r="H22" s="45">
        <f t="shared" si="14"/>
        <v>110400</v>
      </c>
      <c r="I22" s="45">
        <f t="shared" si="14"/>
        <v>271171.20000000001</v>
      </c>
      <c r="J22" s="45">
        <f t="shared" si="14"/>
        <v>296000</v>
      </c>
      <c r="K22" s="45">
        <f t="shared" si="14"/>
        <v>36566.400000000001</v>
      </c>
      <c r="L22" s="36">
        <f t="shared" si="1"/>
        <v>2068813.44</v>
      </c>
    </row>
    <row r="23" spans="1:12">
      <c r="A23" s="33" t="s">
        <v>230</v>
      </c>
      <c r="B23" s="34" t="s">
        <v>231</v>
      </c>
      <c r="C23" s="34" t="s">
        <v>232</v>
      </c>
      <c r="D23" s="42" t="s">
        <v>210</v>
      </c>
      <c r="E23" s="45">
        <f>E16*4</f>
        <v>342332</v>
      </c>
      <c r="F23" s="45">
        <f t="shared" ref="F23:K23" si="15">F16*4</f>
        <v>268876.32</v>
      </c>
      <c r="G23" s="45">
        <f t="shared" si="15"/>
        <v>66129.600000000006</v>
      </c>
      <c r="H23" s="45">
        <f t="shared" si="15"/>
        <v>55200</v>
      </c>
      <c r="I23" s="45">
        <f t="shared" si="15"/>
        <v>135585.60000000001</v>
      </c>
      <c r="J23" s="45">
        <f t="shared" si="15"/>
        <v>148000</v>
      </c>
      <c r="K23" s="45">
        <f t="shared" si="15"/>
        <v>18283.2</v>
      </c>
      <c r="L23" s="36">
        <f t="shared" si="1"/>
        <v>1034406.72</v>
      </c>
    </row>
    <row r="24" spans="1:12">
      <c r="A24" s="33" t="s">
        <v>233</v>
      </c>
      <c r="B24" s="34" t="s">
        <v>234</v>
      </c>
      <c r="C24" s="34" t="s">
        <v>232</v>
      </c>
      <c r="D24" s="42" t="s">
        <v>210</v>
      </c>
      <c r="E24" s="45">
        <f>E16*4</f>
        <v>342332</v>
      </c>
      <c r="F24" s="45">
        <f t="shared" ref="F24:K24" si="16">F16*4</f>
        <v>268876.32</v>
      </c>
      <c r="G24" s="45">
        <f t="shared" si="16"/>
        <v>66129.600000000006</v>
      </c>
      <c r="H24" s="45">
        <f t="shared" si="16"/>
        <v>55200</v>
      </c>
      <c r="I24" s="45">
        <f t="shared" si="16"/>
        <v>135585.60000000001</v>
      </c>
      <c r="J24" s="45">
        <f t="shared" si="16"/>
        <v>148000</v>
      </c>
      <c r="K24" s="45">
        <f t="shared" si="16"/>
        <v>18283.2</v>
      </c>
      <c r="L24" s="36">
        <f t="shared" si="1"/>
        <v>1034406.72</v>
      </c>
    </row>
    <row r="25" spans="1:12">
      <c r="A25" s="33" t="s">
        <v>235</v>
      </c>
      <c r="B25" s="34" t="s">
        <v>236</v>
      </c>
      <c r="C25" s="34"/>
      <c r="D25" s="35" t="s">
        <v>185</v>
      </c>
      <c r="E25" s="36">
        <f>E26</f>
        <v>2738656</v>
      </c>
      <c r="F25" s="36">
        <f t="shared" ref="F25:K25" si="17">F26</f>
        <v>2151010.56</v>
      </c>
      <c r="G25" s="36">
        <f t="shared" si="17"/>
        <v>529036.80000000005</v>
      </c>
      <c r="H25" s="36">
        <f t="shared" si="17"/>
        <v>441600</v>
      </c>
      <c r="I25" s="36">
        <f t="shared" si="17"/>
        <v>1084684.8</v>
      </c>
      <c r="J25" s="36">
        <f t="shared" si="17"/>
        <v>1184000</v>
      </c>
      <c r="K25" s="36">
        <f t="shared" si="17"/>
        <v>146265.60000000001</v>
      </c>
      <c r="L25" s="36">
        <f t="shared" si="1"/>
        <v>8275253.7599999998</v>
      </c>
    </row>
    <row r="26" spans="1:12" s="40" customFormat="1">
      <c r="A26" s="33" t="s">
        <v>237</v>
      </c>
      <c r="B26" s="38" t="s">
        <v>238</v>
      </c>
      <c r="C26" s="38" t="s">
        <v>239</v>
      </c>
      <c r="D26" s="39" t="s">
        <v>210</v>
      </c>
      <c r="E26" s="36">
        <f>E16*32</f>
        <v>2738656</v>
      </c>
      <c r="F26" s="36">
        <f t="shared" ref="F26:K26" si="18">F16*32</f>
        <v>2151010.56</v>
      </c>
      <c r="G26" s="36">
        <f t="shared" si="18"/>
        <v>529036.80000000005</v>
      </c>
      <c r="H26" s="36">
        <f t="shared" si="18"/>
        <v>441600</v>
      </c>
      <c r="I26" s="36">
        <f t="shared" si="18"/>
        <v>1084684.8</v>
      </c>
      <c r="J26" s="36">
        <f t="shared" si="18"/>
        <v>1184000</v>
      </c>
      <c r="K26" s="36">
        <f t="shared" si="18"/>
        <v>146265.60000000001</v>
      </c>
      <c r="L26" s="36">
        <f t="shared" si="1"/>
        <v>8275253.7599999998</v>
      </c>
    </row>
    <row r="27" spans="1:12">
      <c r="A27" s="33" t="s">
        <v>240</v>
      </c>
      <c r="B27" s="34" t="s">
        <v>241</v>
      </c>
      <c r="C27" s="34"/>
      <c r="D27" s="35" t="s">
        <v>185</v>
      </c>
      <c r="E27" s="36">
        <f>E28</f>
        <v>1369328</v>
      </c>
      <c r="F27" s="36">
        <f t="shared" ref="F27:K27" si="19">F28</f>
        <v>1075505.28</v>
      </c>
      <c r="G27" s="36">
        <f t="shared" si="19"/>
        <v>264518.40000000002</v>
      </c>
      <c r="H27" s="36">
        <f t="shared" si="19"/>
        <v>220800</v>
      </c>
      <c r="I27" s="36">
        <f t="shared" si="19"/>
        <v>542342.40000000002</v>
      </c>
      <c r="J27" s="36">
        <f t="shared" si="19"/>
        <v>592000</v>
      </c>
      <c r="K27" s="36">
        <f t="shared" si="19"/>
        <v>73132.800000000003</v>
      </c>
      <c r="L27" s="36">
        <f t="shared" si="1"/>
        <v>4137626.88</v>
      </c>
    </row>
    <row r="28" spans="1:12" s="40" customFormat="1">
      <c r="A28" s="33" t="s">
        <v>242</v>
      </c>
      <c r="B28" s="38" t="s">
        <v>243</v>
      </c>
      <c r="C28" s="38" t="s">
        <v>244</v>
      </c>
      <c r="D28" s="39" t="s">
        <v>210</v>
      </c>
      <c r="E28" s="36">
        <f>E16*16</f>
        <v>1369328</v>
      </c>
      <c r="F28" s="36">
        <f t="shared" ref="F28:K28" si="20">F16*16</f>
        <v>1075505.28</v>
      </c>
      <c r="G28" s="36">
        <f t="shared" si="20"/>
        <v>264518.40000000002</v>
      </c>
      <c r="H28" s="36">
        <f t="shared" si="20"/>
        <v>220800</v>
      </c>
      <c r="I28" s="36">
        <f t="shared" si="20"/>
        <v>542342.40000000002</v>
      </c>
      <c r="J28" s="36">
        <f t="shared" si="20"/>
        <v>592000</v>
      </c>
      <c r="K28" s="36">
        <f t="shared" si="20"/>
        <v>73132.800000000003</v>
      </c>
      <c r="L28" s="36">
        <f t="shared" si="1"/>
        <v>4137626.88</v>
      </c>
    </row>
    <row r="29" spans="1:12" ht="22.5">
      <c r="A29" s="33" t="s">
        <v>245</v>
      </c>
      <c r="B29" s="34" t="s">
        <v>246</v>
      </c>
      <c r="C29" s="41" t="s">
        <v>191</v>
      </c>
      <c r="D29" s="39" t="s">
        <v>247</v>
      </c>
      <c r="E29" s="36">
        <f>9600*E96</f>
        <v>796800</v>
      </c>
      <c r="F29" s="36">
        <f t="shared" ref="F29:K29" si="21">9600*F96</f>
        <v>681600</v>
      </c>
      <c r="G29" s="36">
        <f t="shared" si="21"/>
        <v>182400</v>
      </c>
      <c r="H29" s="36">
        <f t="shared" si="21"/>
        <v>153600</v>
      </c>
      <c r="I29" s="36">
        <f t="shared" si="21"/>
        <v>355200</v>
      </c>
      <c r="J29" s="36">
        <f t="shared" si="21"/>
        <v>422400</v>
      </c>
      <c r="K29" s="36">
        <f t="shared" si="21"/>
        <v>38400</v>
      </c>
      <c r="L29" s="36">
        <f t="shared" si="1"/>
        <v>2630400</v>
      </c>
    </row>
    <row r="30" spans="1:12">
      <c r="A30" s="33" t="s">
        <v>248</v>
      </c>
      <c r="B30" s="34" t="s">
        <v>249</v>
      </c>
      <c r="C30" s="34" t="s">
        <v>249</v>
      </c>
      <c r="D30" s="39" t="s">
        <v>210</v>
      </c>
      <c r="E30" s="45">
        <f>E16*14</f>
        <v>1198162</v>
      </c>
      <c r="F30" s="45">
        <f t="shared" ref="F30:K30" si="22">F16*14</f>
        <v>941067.12</v>
      </c>
      <c r="G30" s="45">
        <f t="shared" si="22"/>
        <v>231453.60000000003</v>
      </c>
      <c r="H30" s="45">
        <f t="shared" si="22"/>
        <v>193200</v>
      </c>
      <c r="I30" s="45">
        <f t="shared" si="22"/>
        <v>474549.60000000003</v>
      </c>
      <c r="J30" s="45">
        <f t="shared" si="22"/>
        <v>518000</v>
      </c>
      <c r="K30" s="45">
        <f t="shared" si="22"/>
        <v>63991.200000000004</v>
      </c>
      <c r="L30" s="36">
        <f t="shared" si="1"/>
        <v>3620423.5200000005</v>
      </c>
    </row>
    <row r="31" spans="1:12">
      <c r="A31" s="33" t="s">
        <v>250</v>
      </c>
      <c r="B31" s="34" t="s">
        <v>251</v>
      </c>
      <c r="C31" s="34"/>
      <c r="D31" s="35" t="s">
        <v>185</v>
      </c>
      <c r="E31" s="36">
        <f>E32+E40+E42+E45+E47</f>
        <v>13770</v>
      </c>
      <c r="F31" s="36">
        <f t="shared" ref="F31:K31" si="23">F32+F40+F42+F45+F47</f>
        <v>7680</v>
      </c>
      <c r="G31" s="36">
        <f t="shared" si="23"/>
        <v>6240</v>
      </c>
      <c r="H31" s="36">
        <f t="shared" si="23"/>
        <v>1800</v>
      </c>
      <c r="I31" s="36">
        <f t="shared" si="23"/>
        <v>9000</v>
      </c>
      <c r="J31" s="36">
        <f t="shared" si="23"/>
        <v>4080</v>
      </c>
      <c r="K31" s="36">
        <f t="shared" si="23"/>
        <v>0</v>
      </c>
      <c r="L31" s="36">
        <f t="shared" si="1"/>
        <v>42570</v>
      </c>
    </row>
    <row r="32" spans="1:12">
      <c r="A32" s="33" t="s">
        <v>252</v>
      </c>
      <c r="B32" s="34" t="s">
        <v>253</v>
      </c>
      <c r="C32" s="34"/>
      <c r="D32" s="35" t="s">
        <v>185</v>
      </c>
      <c r="E32" s="36">
        <f>E33+E34+E35+E36+E37+E38+E39</f>
        <v>0</v>
      </c>
      <c r="F32" s="36">
        <f t="shared" ref="F32:K32" si="24">F33+F34+F35+F36+F37+F38+F39</f>
        <v>0</v>
      </c>
      <c r="G32" s="36">
        <f t="shared" si="24"/>
        <v>0</v>
      </c>
      <c r="H32" s="36">
        <f t="shared" si="24"/>
        <v>0</v>
      </c>
      <c r="I32" s="36">
        <f t="shared" si="24"/>
        <v>0</v>
      </c>
      <c r="J32" s="36">
        <f t="shared" si="24"/>
        <v>0</v>
      </c>
      <c r="K32" s="36">
        <f t="shared" si="24"/>
        <v>0</v>
      </c>
      <c r="L32" s="36">
        <f t="shared" si="1"/>
        <v>0</v>
      </c>
    </row>
    <row r="33" spans="1:12">
      <c r="A33" s="33" t="s">
        <v>254</v>
      </c>
      <c r="B33" s="34" t="s">
        <v>255</v>
      </c>
      <c r="C33" s="34" t="s">
        <v>256</v>
      </c>
      <c r="D33" s="42" t="s">
        <v>257</v>
      </c>
      <c r="E33" s="43"/>
      <c r="F33" s="43"/>
      <c r="G33" s="43"/>
      <c r="H33" s="43"/>
      <c r="I33" s="43"/>
      <c r="J33" s="43"/>
      <c r="K33" s="43"/>
      <c r="L33" s="36">
        <f t="shared" si="1"/>
        <v>0</v>
      </c>
    </row>
    <row r="34" spans="1:12">
      <c r="A34" s="33" t="s">
        <v>258</v>
      </c>
      <c r="B34" s="34" t="s">
        <v>259</v>
      </c>
      <c r="C34" s="34" t="s">
        <v>256</v>
      </c>
      <c r="D34" s="42" t="s">
        <v>257</v>
      </c>
      <c r="E34" s="43"/>
      <c r="F34" s="43"/>
      <c r="G34" s="43"/>
      <c r="H34" s="43"/>
      <c r="I34" s="43"/>
      <c r="J34" s="43"/>
      <c r="K34" s="43"/>
      <c r="L34" s="36">
        <f t="shared" si="1"/>
        <v>0</v>
      </c>
    </row>
    <row r="35" spans="1:12">
      <c r="A35" s="33" t="s">
        <v>260</v>
      </c>
      <c r="B35" s="34" t="s">
        <v>261</v>
      </c>
      <c r="C35" s="34" t="s">
        <v>256</v>
      </c>
      <c r="D35" s="42" t="s">
        <v>262</v>
      </c>
      <c r="E35" s="43"/>
      <c r="F35" s="43"/>
      <c r="G35" s="43"/>
      <c r="H35" s="43"/>
      <c r="I35" s="43"/>
      <c r="J35" s="43"/>
      <c r="K35" s="43"/>
      <c r="L35" s="36">
        <f t="shared" si="1"/>
        <v>0</v>
      </c>
    </row>
    <row r="36" spans="1:12">
      <c r="A36" s="33" t="s">
        <v>263</v>
      </c>
      <c r="B36" s="34" t="s">
        <v>264</v>
      </c>
      <c r="C36" s="34" t="s">
        <v>256</v>
      </c>
      <c r="D36" s="42" t="s">
        <v>257</v>
      </c>
      <c r="E36" s="43"/>
      <c r="F36" s="43"/>
      <c r="G36" s="43"/>
      <c r="H36" s="43"/>
      <c r="I36" s="43"/>
      <c r="J36" s="43"/>
      <c r="K36" s="43"/>
      <c r="L36" s="36">
        <f t="shared" si="1"/>
        <v>0</v>
      </c>
    </row>
    <row r="37" spans="1:12">
      <c r="A37" s="33" t="s">
        <v>265</v>
      </c>
      <c r="B37" s="34" t="s">
        <v>266</v>
      </c>
      <c r="C37" s="34" t="s">
        <v>256</v>
      </c>
      <c r="D37" s="42" t="s">
        <v>257</v>
      </c>
      <c r="E37" s="43"/>
      <c r="F37" s="43"/>
      <c r="G37" s="43"/>
      <c r="H37" s="43"/>
      <c r="I37" s="43"/>
      <c r="J37" s="43"/>
      <c r="K37" s="43"/>
      <c r="L37" s="36">
        <f t="shared" si="1"/>
        <v>0</v>
      </c>
    </row>
    <row r="38" spans="1:12">
      <c r="A38" s="33" t="s">
        <v>267</v>
      </c>
      <c r="B38" s="34" t="s">
        <v>268</v>
      </c>
      <c r="C38" s="34" t="s">
        <v>256</v>
      </c>
      <c r="D38" s="42" t="s">
        <v>257</v>
      </c>
      <c r="E38" s="43"/>
      <c r="F38" s="43"/>
      <c r="G38" s="43"/>
      <c r="H38" s="43"/>
      <c r="I38" s="43"/>
      <c r="J38" s="43"/>
      <c r="K38" s="43"/>
      <c r="L38" s="36">
        <f t="shared" si="1"/>
        <v>0</v>
      </c>
    </row>
    <row r="39" spans="1:12">
      <c r="A39" s="33" t="s">
        <v>269</v>
      </c>
      <c r="B39" s="34" t="s">
        <v>270</v>
      </c>
      <c r="C39" s="34" t="s">
        <v>256</v>
      </c>
      <c r="D39" s="42" t="s">
        <v>257</v>
      </c>
      <c r="E39" s="43"/>
      <c r="F39" s="43"/>
      <c r="G39" s="43"/>
      <c r="H39" s="43"/>
      <c r="I39" s="43"/>
      <c r="J39" s="43"/>
      <c r="K39" s="43"/>
      <c r="L39" s="36">
        <f t="shared" si="1"/>
        <v>0</v>
      </c>
    </row>
    <row r="40" spans="1:12">
      <c r="A40" s="33" t="s">
        <v>271</v>
      </c>
      <c r="B40" s="34" t="s">
        <v>272</v>
      </c>
      <c r="C40" s="34"/>
      <c r="D40" s="35" t="s">
        <v>185</v>
      </c>
      <c r="E40" s="36">
        <f>E41</f>
        <v>0</v>
      </c>
      <c r="F40" s="36">
        <f t="shared" ref="F40:K40" si="25">F41</f>
        <v>0</v>
      </c>
      <c r="G40" s="36">
        <f t="shared" si="25"/>
        <v>0</v>
      </c>
      <c r="H40" s="36">
        <f t="shared" si="25"/>
        <v>0</v>
      </c>
      <c r="I40" s="36">
        <f t="shared" si="25"/>
        <v>0</v>
      </c>
      <c r="J40" s="36">
        <f t="shared" si="25"/>
        <v>0</v>
      </c>
      <c r="K40" s="36">
        <f t="shared" si="25"/>
        <v>0</v>
      </c>
      <c r="L40" s="36">
        <f t="shared" si="1"/>
        <v>0</v>
      </c>
    </row>
    <row r="41" spans="1:12" s="40" customFormat="1">
      <c r="A41" s="33" t="s">
        <v>273</v>
      </c>
      <c r="B41" s="38" t="s">
        <v>274</v>
      </c>
      <c r="C41" s="38" t="s">
        <v>191</v>
      </c>
      <c r="D41" s="39" t="s">
        <v>275</v>
      </c>
      <c r="E41" s="46"/>
      <c r="F41" s="46"/>
      <c r="G41" s="46"/>
      <c r="H41" s="46"/>
      <c r="I41" s="46"/>
      <c r="J41" s="46"/>
      <c r="K41" s="46"/>
      <c r="L41" s="36">
        <f t="shared" si="1"/>
        <v>0</v>
      </c>
    </row>
    <row r="42" spans="1:12">
      <c r="A42" s="33" t="s">
        <v>276</v>
      </c>
      <c r="B42" s="34" t="s">
        <v>277</v>
      </c>
      <c r="C42" s="34"/>
      <c r="D42" s="35" t="s">
        <v>185</v>
      </c>
      <c r="E42" s="36">
        <f>E43+E44</f>
        <v>0</v>
      </c>
      <c r="F42" s="36">
        <f t="shared" ref="F42:K42" si="26">F43+F44</f>
        <v>0</v>
      </c>
      <c r="G42" s="36">
        <f t="shared" si="26"/>
        <v>0</v>
      </c>
      <c r="H42" s="36">
        <f t="shared" si="26"/>
        <v>0</v>
      </c>
      <c r="I42" s="36">
        <f t="shared" si="26"/>
        <v>0</v>
      </c>
      <c r="J42" s="36">
        <f t="shared" si="26"/>
        <v>0</v>
      </c>
      <c r="K42" s="36">
        <f t="shared" si="26"/>
        <v>0</v>
      </c>
      <c r="L42" s="36">
        <f t="shared" si="1"/>
        <v>0</v>
      </c>
    </row>
    <row r="43" spans="1:12" s="40" customFormat="1">
      <c r="A43" s="33" t="s">
        <v>278</v>
      </c>
      <c r="B43" s="38" t="s">
        <v>279</v>
      </c>
      <c r="C43" s="38" t="s">
        <v>191</v>
      </c>
      <c r="D43" s="39" t="s">
        <v>262</v>
      </c>
      <c r="E43" s="46"/>
      <c r="F43" s="46"/>
      <c r="G43" s="46"/>
      <c r="H43" s="46"/>
      <c r="I43" s="46"/>
      <c r="J43" s="46"/>
      <c r="K43" s="46"/>
      <c r="L43" s="36">
        <f t="shared" si="1"/>
        <v>0</v>
      </c>
    </row>
    <row r="44" spans="1:12" s="40" customFormat="1">
      <c r="A44" s="33" t="s">
        <v>280</v>
      </c>
      <c r="B44" s="38" t="s">
        <v>281</v>
      </c>
      <c r="C44" s="38" t="s">
        <v>191</v>
      </c>
      <c r="D44" s="39" t="s">
        <v>262</v>
      </c>
      <c r="E44" s="46"/>
      <c r="F44" s="46"/>
      <c r="G44" s="46"/>
      <c r="H44" s="46"/>
      <c r="I44" s="46"/>
      <c r="J44" s="46"/>
      <c r="K44" s="46"/>
      <c r="L44" s="36">
        <f t="shared" si="1"/>
        <v>0</v>
      </c>
    </row>
    <row r="45" spans="1:12">
      <c r="A45" s="33" t="s">
        <v>282</v>
      </c>
      <c r="B45" s="34" t="s">
        <v>283</v>
      </c>
      <c r="C45" s="34"/>
      <c r="D45" s="35" t="s">
        <v>185</v>
      </c>
      <c r="E45" s="36">
        <f>E46</f>
        <v>5970</v>
      </c>
      <c r="F45" s="36">
        <f t="shared" ref="F45:K45" si="27">F46</f>
        <v>4680</v>
      </c>
      <c r="G45" s="36">
        <f t="shared" si="27"/>
        <v>1440</v>
      </c>
      <c r="H45" s="36">
        <f t="shared" si="27"/>
        <v>1800</v>
      </c>
      <c r="I45" s="36">
        <f t="shared" si="27"/>
        <v>6000</v>
      </c>
      <c r="J45" s="36">
        <f t="shared" si="27"/>
        <v>1080</v>
      </c>
      <c r="K45" s="36">
        <f t="shared" si="27"/>
        <v>0</v>
      </c>
      <c r="L45" s="36">
        <f t="shared" si="1"/>
        <v>20970</v>
      </c>
    </row>
    <row r="46" spans="1:12">
      <c r="A46" s="33" t="s">
        <v>284</v>
      </c>
      <c r="B46" s="34" t="s">
        <v>285</v>
      </c>
      <c r="C46" s="34" t="s">
        <v>191</v>
      </c>
      <c r="D46" s="35" t="s">
        <v>192</v>
      </c>
      <c r="E46" s="37">
        <v>5970</v>
      </c>
      <c r="F46" s="37">
        <v>4680</v>
      </c>
      <c r="G46" s="37">
        <v>1440</v>
      </c>
      <c r="H46" s="37">
        <f>150*12</f>
        <v>1800</v>
      </c>
      <c r="I46" s="37">
        <v>6000</v>
      </c>
      <c r="J46" s="91">
        <f>3*30*12</f>
        <v>1080</v>
      </c>
      <c r="K46" s="37"/>
      <c r="L46" s="36">
        <f t="shared" si="1"/>
        <v>20970</v>
      </c>
    </row>
    <row r="47" spans="1:12">
      <c r="A47" s="33" t="s">
        <v>286</v>
      </c>
      <c r="B47" s="34" t="s">
        <v>287</v>
      </c>
      <c r="C47" s="34"/>
      <c r="D47" s="35" t="s">
        <v>185</v>
      </c>
      <c r="E47" s="36">
        <f>SUM(E48:E51)</f>
        <v>7800</v>
      </c>
      <c r="F47" s="36">
        <f t="shared" ref="F47:K47" si="28">SUM(F48:F51)</f>
        <v>3000</v>
      </c>
      <c r="G47" s="36">
        <f t="shared" si="28"/>
        <v>4800</v>
      </c>
      <c r="H47" s="36">
        <f t="shared" si="28"/>
        <v>0</v>
      </c>
      <c r="I47" s="36">
        <f t="shared" si="28"/>
        <v>3000</v>
      </c>
      <c r="J47" s="36">
        <f t="shared" si="28"/>
        <v>3000</v>
      </c>
      <c r="K47" s="36">
        <f t="shared" si="28"/>
        <v>0</v>
      </c>
      <c r="L47" s="36">
        <f t="shared" si="1"/>
        <v>21600</v>
      </c>
    </row>
    <row r="48" spans="1:12">
      <c r="A48" s="33" t="s">
        <v>288</v>
      </c>
      <c r="B48" s="34" t="s">
        <v>289</v>
      </c>
      <c r="C48" s="34" t="s">
        <v>191</v>
      </c>
      <c r="D48" s="35" t="s">
        <v>290</v>
      </c>
      <c r="E48" s="37">
        <v>7800</v>
      </c>
      <c r="F48" s="37">
        <v>3000</v>
      </c>
      <c r="G48" s="37">
        <v>4800</v>
      </c>
      <c r="H48" s="37"/>
      <c r="I48" s="37">
        <v>3000</v>
      </c>
      <c r="J48" s="91">
        <f>5*50*12</f>
        <v>3000</v>
      </c>
      <c r="K48" s="37"/>
      <c r="L48" s="36">
        <f t="shared" si="1"/>
        <v>21600</v>
      </c>
    </row>
    <row r="49" spans="1:12" s="40" customFormat="1">
      <c r="A49" s="33" t="s">
        <v>291</v>
      </c>
      <c r="B49" s="38" t="s">
        <v>292</v>
      </c>
      <c r="C49" s="38" t="s">
        <v>191</v>
      </c>
      <c r="D49" s="39" t="s">
        <v>293</v>
      </c>
      <c r="E49" s="46"/>
      <c r="F49" s="46"/>
      <c r="G49" s="46"/>
      <c r="H49" s="46"/>
      <c r="I49" s="46"/>
      <c r="J49" s="46"/>
      <c r="K49" s="46"/>
      <c r="L49" s="36">
        <f t="shared" si="1"/>
        <v>0</v>
      </c>
    </row>
    <row r="50" spans="1:12" s="40" customFormat="1">
      <c r="A50" s="33" t="s">
        <v>294</v>
      </c>
      <c r="B50" s="38" t="s">
        <v>295</v>
      </c>
      <c r="C50" s="38" t="s">
        <v>191</v>
      </c>
      <c r="D50" s="39" t="s">
        <v>293</v>
      </c>
      <c r="E50" s="46"/>
      <c r="F50" s="46"/>
      <c r="G50" s="46"/>
      <c r="H50" s="46"/>
      <c r="I50" s="46"/>
      <c r="J50" s="46"/>
      <c r="K50" s="46"/>
      <c r="L50" s="36">
        <f t="shared" si="1"/>
        <v>0</v>
      </c>
    </row>
    <row r="51" spans="1:12" ht="33.75">
      <c r="A51" s="33" t="s">
        <v>296</v>
      </c>
      <c r="B51" s="34" t="s">
        <v>297</v>
      </c>
      <c r="C51" s="34" t="s">
        <v>191</v>
      </c>
      <c r="D51" s="42" t="s">
        <v>298</v>
      </c>
      <c r="E51" s="43"/>
      <c r="F51" s="43"/>
      <c r="G51" s="43"/>
      <c r="H51" s="43"/>
      <c r="I51" s="43"/>
      <c r="J51" s="43"/>
      <c r="K51" s="43"/>
      <c r="L51" s="36">
        <f t="shared" si="1"/>
        <v>0</v>
      </c>
    </row>
    <row r="52" spans="1:12">
      <c r="A52" s="33" t="s">
        <v>299</v>
      </c>
      <c r="B52" s="34" t="s">
        <v>300</v>
      </c>
      <c r="C52" s="34"/>
      <c r="D52" s="35" t="s">
        <v>185</v>
      </c>
      <c r="E52" s="36">
        <f>E53+E71+E73+E75+E77+E79+E81+E83+E85+E93</f>
        <v>3622083</v>
      </c>
      <c r="F52" s="36">
        <f t="shared" ref="F52:K52" si="29">F53+F71+F73+F75+F77+F79+F81+F83+F85+F93</f>
        <v>3512965.82</v>
      </c>
      <c r="G52" s="36">
        <f t="shared" si="29"/>
        <v>2192304.6</v>
      </c>
      <c r="H52" s="36">
        <f t="shared" si="29"/>
        <v>1027525</v>
      </c>
      <c r="I52" s="36">
        <f t="shared" si="29"/>
        <v>1522525.1</v>
      </c>
      <c r="J52" s="36">
        <f t="shared" si="29"/>
        <v>2274710.2000000002</v>
      </c>
      <c r="K52" s="36">
        <f t="shared" si="29"/>
        <v>266163.20000000001</v>
      </c>
      <c r="L52" s="36">
        <f t="shared" si="1"/>
        <v>14418276.919999998</v>
      </c>
    </row>
    <row r="53" spans="1:12">
      <c r="A53" s="33" t="s">
        <v>301</v>
      </c>
      <c r="B53" s="34" t="s">
        <v>302</v>
      </c>
      <c r="C53" s="34"/>
      <c r="D53" s="35" t="s">
        <v>303</v>
      </c>
      <c r="E53" s="36">
        <f>SUM(E54:E70)</f>
        <v>1904560</v>
      </c>
      <c r="F53" s="36">
        <f t="shared" ref="F53:K53" si="30">SUM(F54:F70)</f>
        <v>2391410</v>
      </c>
      <c r="G53" s="36">
        <f t="shared" si="30"/>
        <v>1614000</v>
      </c>
      <c r="H53" s="36">
        <f t="shared" si="30"/>
        <v>798000</v>
      </c>
      <c r="I53" s="36">
        <f t="shared" si="30"/>
        <v>1056020</v>
      </c>
      <c r="J53" s="36">
        <f t="shared" si="30"/>
        <v>1596000</v>
      </c>
      <c r="K53" s="36">
        <f t="shared" si="30"/>
        <v>128000</v>
      </c>
      <c r="L53" s="36">
        <f t="shared" si="1"/>
        <v>9487990</v>
      </c>
    </row>
    <row r="54" spans="1:12">
      <c r="A54" s="33" t="s">
        <v>304</v>
      </c>
      <c r="B54" s="34" t="s">
        <v>305</v>
      </c>
      <c r="C54" s="34" t="s">
        <v>191</v>
      </c>
      <c r="D54" s="47"/>
      <c r="E54" s="37">
        <v>726103</v>
      </c>
      <c r="F54" s="37">
        <v>400000</v>
      </c>
      <c r="G54" s="37">
        <v>150000</v>
      </c>
      <c r="H54" s="37">
        <v>325030</v>
      </c>
      <c r="I54" s="37">
        <v>274680</v>
      </c>
      <c r="J54" s="91">
        <v>594403</v>
      </c>
      <c r="K54" s="37">
        <v>121600</v>
      </c>
      <c r="L54" s="36">
        <f t="shared" si="1"/>
        <v>2591816</v>
      </c>
    </row>
    <row r="55" spans="1:12">
      <c r="A55" s="33" t="s">
        <v>306</v>
      </c>
      <c r="B55" s="34" t="s">
        <v>307</v>
      </c>
      <c r="C55" s="34" t="s">
        <v>191</v>
      </c>
      <c r="D55" s="47"/>
      <c r="E55" s="37">
        <v>70000</v>
      </c>
      <c r="F55" s="37">
        <v>70000</v>
      </c>
      <c r="G55" s="37"/>
      <c r="H55" s="37">
        <v>0</v>
      </c>
      <c r="I55" s="37"/>
      <c r="J55" s="91"/>
      <c r="K55" s="37"/>
      <c r="L55" s="36">
        <f t="shared" si="1"/>
        <v>140000</v>
      </c>
    </row>
    <row r="56" spans="1:12">
      <c r="A56" s="33" t="s">
        <v>308</v>
      </c>
      <c r="B56" s="34" t="s">
        <v>309</v>
      </c>
      <c r="C56" s="34" t="s">
        <v>191</v>
      </c>
      <c r="D56" s="47"/>
      <c r="E56" s="37">
        <v>15000</v>
      </c>
      <c r="F56" s="37"/>
      <c r="G56" s="37"/>
      <c r="H56" s="37">
        <v>5000</v>
      </c>
      <c r="I56" s="37"/>
      <c r="J56" s="91"/>
      <c r="K56" s="37"/>
      <c r="L56" s="36">
        <f t="shared" si="1"/>
        <v>20000</v>
      </c>
    </row>
    <row r="57" spans="1:12">
      <c r="A57" s="33" t="s">
        <v>310</v>
      </c>
      <c r="B57" s="34" t="s">
        <v>311</v>
      </c>
      <c r="C57" s="34" t="s">
        <v>191</v>
      </c>
      <c r="D57" s="47"/>
      <c r="E57" s="37">
        <v>65000</v>
      </c>
      <c r="F57" s="37">
        <v>50000</v>
      </c>
      <c r="G57" s="37">
        <v>20000</v>
      </c>
      <c r="H57" s="37">
        <v>8000</v>
      </c>
      <c r="I57" s="37">
        <v>25000</v>
      </c>
      <c r="J57" s="91">
        <v>60000</v>
      </c>
      <c r="K57" s="37"/>
      <c r="L57" s="36">
        <f t="shared" si="1"/>
        <v>228000</v>
      </c>
    </row>
    <row r="58" spans="1:12">
      <c r="A58" s="33" t="s">
        <v>312</v>
      </c>
      <c r="B58" s="34" t="s">
        <v>313</v>
      </c>
      <c r="C58" s="34" t="s">
        <v>191</v>
      </c>
      <c r="D58" s="47"/>
      <c r="E58" s="37">
        <v>200000</v>
      </c>
      <c r="F58" s="37">
        <v>90000</v>
      </c>
      <c r="G58" s="37">
        <v>40000</v>
      </c>
      <c r="H58" s="37">
        <v>40000</v>
      </c>
      <c r="I58" s="37">
        <v>80000</v>
      </c>
      <c r="J58" s="91">
        <v>160000</v>
      </c>
      <c r="K58" s="37"/>
      <c r="L58" s="36">
        <f t="shared" si="1"/>
        <v>610000</v>
      </c>
    </row>
    <row r="59" spans="1:12">
      <c r="A59" s="33" t="s">
        <v>314</v>
      </c>
      <c r="B59" s="34" t="s">
        <v>315</v>
      </c>
      <c r="C59" s="34" t="s">
        <v>191</v>
      </c>
      <c r="D59" s="47"/>
      <c r="E59" s="37">
        <v>10000</v>
      </c>
      <c r="F59" s="37">
        <v>5000</v>
      </c>
      <c r="G59" s="37">
        <v>5000</v>
      </c>
      <c r="H59" s="37">
        <v>5000</v>
      </c>
      <c r="I59" s="37">
        <v>4500</v>
      </c>
      <c r="J59" s="91">
        <v>8000</v>
      </c>
      <c r="K59" s="37"/>
      <c r="L59" s="36">
        <f t="shared" si="1"/>
        <v>37500</v>
      </c>
    </row>
    <row r="60" spans="1:12">
      <c r="A60" s="33" t="s">
        <v>316</v>
      </c>
      <c r="B60" s="34" t="s">
        <v>317</v>
      </c>
      <c r="C60" s="34" t="s">
        <v>191</v>
      </c>
      <c r="D60" s="47"/>
      <c r="E60" s="37">
        <v>50000</v>
      </c>
      <c r="F60" s="37">
        <v>20000</v>
      </c>
      <c r="G60" s="37">
        <v>5000</v>
      </c>
      <c r="H60" s="37">
        <v>20000</v>
      </c>
      <c r="I60" s="37">
        <v>15000</v>
      </c>
      <c r="J60" s="91">
        <v>10000</v>
      </c>
      <c r="K60" s="37"/>
      <c r="L60" s="36">
        <f t="shared" si="1"/>
        <v>120000</v>
      </c>
    </row>
    <row r="61" spans="1:12">
      <c r="A61" s="33" t="s">
        <v>318</v>
      </c>
      <c r="B61" s="34" t="s">
        <v>319</v>
      </c>
      <c r="C61" s="34" t="s">
        <v>191</v>
      </c>
      <c r="D61" s="47"/>
      <c r="E61" s="37">
        <v>60000</v>
      </c>
      <c r="F61" s="37">
        <v>160000</v>
      </c>
      <c r="G61" s="37">
        <v>200000</v>
      </c>
      <c r="H61" s="37">
        <v>30000</v>
      </c>
      <c r="I61" s="37">
        <v>100000</v>
      </c>
      <c r="J61" s="91">
        <v>250000</v>
      </c>
      <c r="K61" s="37"/>
      <c r="L61" s="36">
        <f t="shared" si="1"/>
        <v>800000</v>
      </c>
    </row>
    <row r="62" spans="1:12">
      <c r="A62" s="33" t="s">
        <v>320</v>
      </c>
      <c r="B62" s="34" t="s">
        <v>321</v>
      </c>
      <c r="C62" s="34" t="s">
        <v>191</v>
      </c>
      <c r="D62" s="47"/>
      <c r="E62" s="37">
        <v>0</v>
      </c>
      <c r="F62" s="37">
        <v>10000</v>
      </c>
      <c r="G62" s="37"/>
      <c r="H62" s="37">
        <v>0</v>
      </c>
      <c r="I62" s="37"/>
      <c r="J62" s="91">
        <v>1000</v>
      </c>
      <c r="K62" s="37"/>
      <c r="L62" s="36">
        <f t="shared" si="1"/>
        <v>11000</v>
      </c>
    </row>
    <row r="63" spans="1:12">
      <c r="A63" s="33" t="s">
        <v>322</v>
      </c>
      <c r="B63" s="34" t="s">
        <v>323</v>
      </c>
      <c r="C63" s="34" t="s">
        <v>324</v>
      </c>
      <c r="D63" s="47" t="s">
        <v>325</v>
      </c>
      <c r="E63" s="37">
        <v>95228</v>
      </c>
      <c r="F63" s="37">
        <v>119570.5</v>
      </c>
      <c r="G63" s="37">
        <v>17619.5</v>
      </c>
      <c r="H63" s="37">
        <v>11970</v>
      </c>
      <c r="I63" s="37">
        <v>52801</v>
      </c>
      <c r="J63" s="91">
        <v>67697</v>
      </c>
      <c r="K63" s="37">
        <v>6400</v>
      </c>
      <c r="L63" s="36">
        <f t="shared" si="1"/>
        <v>371286</v>
      </c>
    </row>
    <row r="64" spans="1:12">
      <c r="A64" s="33" t="s">
        <v>326</v>
      </c>
      <c r="B64" s="34" t="s">
        <v>327</v>
      </c>
      <c r="C64" s="34" t="s">
        <v>191</v>
      </c>
      <c r="D64" s="47"/>
      <c r="E64" s="37">
        <v>10000</v>
      </c>
      <c r="F64" s="37">
        <v>20000</v>
      </c>
      <c r="G64" s="37">
        <v>5000</v>
      </c>
      <c r="H64" s="37">
        <v>2000</v>
      </c>
      <c r="I64" s="37">
        <v>2000</v>
      </c>
      <c r="J64" s="91">
        <v>1000</v>
      </c>
      <c r="K64" s="37"/>
      <c r="L64" s="36">
        <f t="shared" si="1"/>
        <v>40000</v>
      </c>
    </row>
    <row r="65" spans="1:12">
      <c r="A65" s="33" t="s">
        <v>328</v>
      </c>
      <c r="B65" s="34" t="s">
        <v>329</v>
      </c>
      <c r="C65" s="34" t="s">
        <v>191</v>
      </c>
      <c r="D65" s="47"/>
      <c r="E65" s="37">
        <v>80000</v>
      </c>
      <c r="F65" s="37">
        <v>200000</v>
      </c>
      <c r="G65" s="37"/>
      <c r="H65" s="37">
        <v>0</v>
      </c>
      <c r="I65" s="37"/>
      <c r="J65" s="91"/>
      <c r="K65" s="37"/>
      <c r="L65" s="36">
        <f t="shared" si="1"/>
        <v>280000</v>
      </c>
    </row>
    <row r="66" spans="1:12">
      <c r="A66" s="33" t="s">
        <v>330</v>
      </c>
      <c r="B66" s="34" t="s">
        <v>331</v>
      </c>
      <c r="C66" s="34" t="s">
        <v>191</v>
      </c>
      <c r="D66" s="47"/>
      <c r="E66" s="37">
        <v>30000</v>
      </c>
      <c r="F66" s="37">
        <v>20000</v>
      </c>
      <c r="G66" s="37">
        <v>10000</v>
      </c>
      <c r="H66" s="37">
        <v>10000</v>
      </c>
      <c r="I66" s="37">
        <v>10000</v>
      </c>
      <c r="J66" s="91">
        <v>10000</v>
      </c>
      <c r="K66" s="37"/>
      <c r="L66" s="36">
        <f t="shared" si="1"/>
        <v>90000</v>
      </c>
    </row>
    <row r="67" spans="1:12">
      <c r="A67" s="33" t="s">
        <v>332</v>
      </c>
      <c r="B67" s="34" t="s">
        <v>333</v>
      </c>
      <c r="C67" s="34" t="s">
        <v>191</v>
      </c>
      <c r="D67" s="47"/>
      <c r="E67" s="37">
        <v>200000</v>
      </c>
      <c r="F67" s="37">
        <v>550000</v>
      </c>
      <c r="G67" s="37">
        <v>565279.5</v>
      </c>
      <c r="H67" s="37">
        <v>50000</v>
      </c>
      <c r="I67" s="37">
        <v>160000</v>
      </c>
      <c r="J67" s="91">
        <v>79500</v>
      </c>
      <c r="K67" s="37"/>
      <c r="L67" s="36">
        <f t="shared" ref="L67:L109" si="31">SUM(E67:K67)</f>
        <v>1604779.5</v>
      </c>
    </row>
    <row r="68" spans="1:12">
      <c r="A68" s="33" t="s">
        <v>334</v>
      </c>
      <c r="B68" s="34" t="s">
        <v>335</v>
      </c>
      <c r="C68" s="34" t="s">
        <v>191</v>
      </c>
      <c r="D68" s="47"/>
      <c r="E68" s="37">
        <v>123229</v>
      </c>
      <c r="F68" s="37">
        <v>176839.5</v>
      </c>
      <c r="G68" s="37">
        <v>8000</v>
      </c>
      <c r="H68" s="37">
        <f>1000+120000+10000</f>
        <v>131000</v>
      </c>
      <c r="I68" s="37">
        <v>32039</v>
      </c>
      <c r="J68" s="91">
        <v>239400</v>
      </c>
      <c r="K68" s="37"/>
      <c r="L68" s="36">
        <f t="shared" si="31"/>
        <v>710507.5</v>
      </c>
    </row>
    <row r="69" spans="1:12">
      <c r="A69" s="33" t="s">
        <v>336</v>
      </c>
      <c r="B69" s="34" t="s">
        <v>337</v>
      </c>
      <c r="C69" s="34" t="s">
        <v>191</v>
      </c>
      <c r="D69" s="47"/>
      <c r="E69" s="37">
        <v>120000</v>
      </c>
      <c r="F69" s="37">
        <v>500000</v>
      </c>
      <c r="G69" s="37"/>
      <c r="H69" s="37">
        <v>110000</v>
      </c>
      <c r="I69" s="37">
        <v>300000</v>
      </c>
      <c r="J69" s="91">
        <v>40000</v>
      </c>
      <c r="K69" s="37"/>
      <c r="L69" s="36">
        <f t="shared" si="31"/>
        <v>1070000</v>
      </c>
    </row>
    <row r="70" spans="1:12">
      <c r="A70" s="33" t="s">
        <v>338</v>
      </c>
      <c r="B70" s="34" t="s">
        <v>339</v>
      </c>
      <c r="C70" s="34" t="s">
        <v>191</v>
      </c>
      <c r="D70" s="47"/>
      <c r="E70" s="37">
        <v>50000</v>
      </c>
      <c r="F70" s="37"/>
      <c r="G70" s="37">
        <v>588101</v>
      </c>
      <c r="H70" s="37">
        <v>50000</v>
      </c>
      <c r="I70" s="37"/>
      <c r="J70" s="91">
        <v>75000</v>
      </c>
      <c r="K70" s="37"/>
      <c r="L70" s="36">
        <f t="shared" si="31"/>
        <v>763101</v>
      </c>
    </row>
    <row r="71" spans="1:12">
      <c r="A71" s="33" t="s">
        <v>340</v>
      </c>
      <c r="B71" s="34" t="s">
        <v>341</v>
      </c>
      <c r="C71" s="34"/>
      <c r="D71" s="35"/>
      <c r="E71" s="36">
        <f>E72</f>
        <v>33200</v>
      </c>
      <c r="F71" s="36">
        <f t="shared" ref="F71:K71" si="32">F72</f>
        <v>28400</v>
      </c>
      <c r="G71" s="36">
        <f t="shared" si="32"/>
        <v>7600</v>
      </c>
      <c r="H71" s="36">
        <f t="shared" si="32"/>
        <v>6400</v>
      </c>
      <c r="I71" s="36">
        <f t="shared" si="32"/>
        <v>14800</v>
      </c>
      <c r="J71" s="36">
        <f t="shared" si="32"/>
        <v>17600</v>
      </c>
      <c r="K71" s="36">
        <f t="shared" si="32"/>
        <v>1600</v>
      </c>
      <c r="L71" s="36">
        <f t="shared" si="31"/>
        <v>109600</v>
      </c>
    </row>
    <row r="72" spans="1:12" s="40" customFormat="1" ht="22.5">
      <c r="A72" s="33" t="s">
        <v>342</v>
      </c>
      <c r="B72" s="38" t="s">
        <v>343</v>
      </c>
      <c r="C72" s="38" t="s">
        <v>191</v>
      </c>
      <c r="D72" s="48" t="s">
        <v>344</v>
      </c>
      <c r="E72" s="36">
        <f>E96*400</f>
        <v>33200</v>
      </c>
      <c r="F72" s="36">
        <f t="shared" ref="F72:K72" si="33">F96*400</f>
        <v>28400</v>
      </c>
      <c r="G72" s="36">
        <f t="shared" si="33"/>
        <v>7600</v>
      </c>
      <c r="H72" s="36">
        <f t="shared" si="33"/>
        <v>6400</v>
      </c>
      <c r="I72" s="36">
        <f t="shared" si="33"/>
        <v>14800</v>
      </c>
      <c r="J72" s="36">
        <f t="shared" si="33"/>
        <v>17600</v>
      </c>
      <c r="K72" s="36">
        <f t="shared" si="33"/>
        <v>1600</v>
      </c>
      <c r="L72" s="36">
        <f t="shared" si="31"/>
        <v>109600</v>
      </c>
    </row>
    <row r="73" spans="1:12">
      <c r="A73" s="33" t="s">
        <v>345</v>
      </c>
      <c r="B73" s="34" t="s">
        <v>346</v>
      </c>
      <c r="C73" s="34"/>
      <c r="D73" s="35" t="s">
        <v>185</v>
      </c>
      <c r="E73" s="36">
        <f>E74</f>
        <v>512967.00000000006</v>
      </c>
      <c r="F73" s="36">
        <f t="shared" ref="F73:K73" si="34">F74</f>
        <v>100471.5</v>
      </c>
      <c r="G73" s="36">
        <f t="shared" si="34"/>
        <v>297375</v>
      </c>
      <c r="H73" s="36">
        <f t="shared" si="34"/>
        <v>22725</v>
      </c>
      <c r="I73" s="36">
        <f t="shared" si="34"/>
        <v>86839.5</v>
      </c>
      <c r="J73" s="36">
        <f t="shared" si="34"/>
        <v>224590.2</v>
      </c>
      <c r="K73" s="36">
        <f t="shared" si="34"/>
        <v>45000</v>
      </c>
      <c r="L73" s="36">
        <f t="shared" si="31"/>
        <v>1289968.2</v>
      </c>
    </row>
    <row r="74" spans="1:12" s="40" customFormat="1">
      <c r="A74" s="33" t="s">
        <v>347</v>
      </c>
      <c r="B74" s="38" t="s">
        <v>348</v>
      </c>
      <c r="C74" s="38" t="s">
        <v>191</v>
      </c>
      <c r="D74" s="48" t="s">
        <v>349</v>
      </c>
      <c r="E74" s="36">
        <f>E108*15</f>
        <v>512967.00000000006</v>
      </c>
      <c r="F74" s="36">
        <f t="shared" ref="F74:K74" si="35">F108*15</f>
        <v>100471.5</v>
      </c>
      <c r="G74" s="36">
        <f t="shared" si="35"/>
        <v>297375</v>
      </c>
      <c r="H74" s="36">
        <f t="shared" si="35"/>
        <v>22725</v>
      </c>
      <c r="I74" s="36">
        <f t="shared" si="35"/>
        <v>86839.5</v>
      </c>
      <c r="J74" s="36">
        <f t="shared" si="35"/>
        <v>224590.2</v>
      </c>
      <c r="K74" s="36">
        <f t="shared" si="35"/>
        <v>45000</v>
      </c>
      <c r="L74" s="36">
        <f t="shared" si="31"/>
        <v>1289968.2</v>
      </c>
    </row>
    <row r="75" spans="1:12">
      <c r="A75" s="33" t="s">
        <v>350</v>
      </c>
      <c r="B75" s="34" t="s">
        <v>351</v>
      </c>
      <c r="C75" s="34"/>
      <c r="D75" s="35" t="s">
        <v>185</v>
      </c>
      <c r="E75" s="36">
        <f>E76</f>
        <v>178864</v>
      </c>
      <c r="F75" s="36">
        <f t="shared" ref="F75:K75" si="36">F76</f>
        <v>40528</v>
      </c>
      <c r="G75" s="36">
        <f t="shared" si="36"/>
        <v>93120</v>
      </c>
      <c r="H75" s="36">
        <f t="shared" si="36"/>
        <v>1600</v>
      </c>
      <c r="I75" s="36">
        <f t="shared" si="36"/>
        <v>28000</v>
      </c>
      <c r="J75" s="36">
        <f t="shared" si="36"/>
        <v>66440</v>
      </c>
      <c r="K75" s="36">
        <f t="shared" si="36"/>
        <v>24000</v>
      </c>
      <c r="L75" s="36">
        <f t="shared" si="31"/>
        <v>432552</v>
      </c>
    </row>
    <row r="76" spans="1:12" s="40" customFormat="1">
      <c r="A76" s="33" t="s">
        <v>352</v>
      </c>
      <c r="B76" s="38" t="s">
        <v>353</v>
      </c>
      <c r="C76" s="38" t="s">
        <v>191</v>
      </c>
      <c r="D76" s="48" t="s">
        <v>354</v>
      </c>
      <c r="E76" s="36">
        <f>E109*8</f>
        <v>178864</v>
      </c>
      <c r="F76" s="36">
        <f t="shared" ref="F76:K76" si="37">F109*8</f>
        <v>40528</v>
      </c>
      <c r="G76" s="36">
        <f t="shared" si="37"/>
        <v>93120</v>
      </c>
      <c r="H76" s="36">
        <f t="shared" si="37"/>
        <v>1600</v>
      </c>
      <c r="I76" s="36">
        <f t="shared" si="37"/>
        <v>28000</v>
      </c>
      <c r="J76" s="36">
        <f t="shared" si="37"/>
        <v>66440</v>
      </c>
      <c r="K76" s="36">
        <f t="shared" si="37"/>
        <v>24000</v>
      </c>
      <c r="L76" s="36">
        <f t="shared" si="31"/>
        <v>432552</v>
      </c>
    </row>
    <row r="77" spans="1:12">
      <c r="A77" s="33" t="s">
        <v>355</v>
      </c>
      <c r="B77" s="34" t="s">
        <v>356</v>
      </c>
      <c r="C77" s="34"/>
      <c r="D77" s="35" t="s">
        <v>185</v>
      </c>
      <c r="E77" s="36">
        <f>E78</f>
        <v>0</v>
      </c>
      <c r="F77" s="36">
        <f t="shared" ref="F77:K77" si="38">F78</f>
        <v>0</v>
      </c>
      <c r="G77" s="36">
        <f t="shared" si="38"/>
        <v>0</v>
      </c>
      <c r="H77" s="36">
        <f t="shared" si="38"/>
        <v>0</v>
      </c>
      <c r="I77" s="36">
        <f t="shared" si="38"/>
        <v>0</v>
      </c>
      <c r="J77" s="36">
        <f t="shared" si="38"/>
        <v>0</v>
      </c>
      <c r="K77" s="36">
        <f t="shared" si="38"/>
        <v>0</v>
      </c>
      <c r="L77" s="36">
        <f t="shared" si="31"/>
        <v>0</v>
      </c>
    </row>
    <row r="78" spans="1:12" s="40" customFormat="1">
      <c r="A78" s="33" t="s">
        <v>357</v>
      </c>
      <c r="B78" s="38" t="s">
        <v>358</v>
      </c>
      <c r="C78" s="38" t="s">
        <v>191</v>
      </c>
      <c r="D78" s="48" t="s">
        <v>293</v>
      </c>
      <c r="E78" s="46"/>
      <c r="F78" s="46"/>
      <c r="G78" s="46"/>
      <c r="H78" s="46"/>
      <c r="I78" s="46"/>
      <c r="J78" s="46"/>
      <c r="K78" s="46"/>
      <c r="L78" s="36">
        <f t="shared" si="31"/>
        <v>0</v>
      </c>
    </row>
    <row r="79" spans="1:12">
      <c r="A79" s="33" t="s">
        <v>359</v>
      </c>
      <c r="B79" s="34" t="s">
        <v>360</v>
      </c>
      <c r="C79" s="34"/>
      <c r="D79" s="35" t="s">
        <v>185</v>
      </c>
      <c r="E79" s="36">
        <f>E80</f>
        <v>358560</v>
      </c>
      <c r="F79" s="36">
        <f t="shared" ref="F79:K79" si="39">F80</f>
        <v>306720</v>
      </c>
      <c r="G79" s="36">
        <f t="shared" si="39"/>
        <v>82080</v>
      </c>
      <c r="H79" s="36">
        <f t="shared" si="39"/>
        <v>69120</v>
      </c>
      <c r="I79" s="36">
        <f t="shared" si="39"/>
        <v>159840</v>
      </c>
      <c r="J79" s="36">
        <f t="shared" si="39"/>
        <v>190080</v>
      </c>
      <c r="K79" s="36">
        <f t="shared" si="39"/>
        <v>17280</v>
      </c>
      <c r="L79" s="36">
        <f t="shared" si="31"/>
        <v>1183680</v>
      </c>
    </row>
    <row r="80" spans="1:12" s="40" customFormat="1" ht="22.5">
      <c r="A80" s="33" t="s">
        <v>361</v>
      </c>
      <c r="B80" s="38" t="s">
        <v>362</v>
      </c>
      <c r="C80" s="38" t="s">
        <v>191</v>
      </c>
      <c r="D80" s="48" t="s">
        <v>363</v>
      </c>
      <c r="E80" s="36">
        <f>E96*4320</f>
        <v>358560</v>
      </c>
      <c r="F80" s="36">
        <f t="shared" ref="F80:K80" si="40">F96*4320</f>
        <v>306720</v>
      </c>
      <c r="G80" s="36">
        <f t="shared" si="40"/>
        <v>82080</v>
      </c>
      <c r="H80" s="36">
        <f t="shared" si="40"/>
        <v>69120</v>
      </c>
      <c r="I80" s="36">
        <f t="shared" si="40"/>
        <v>159840</v>
      </c>
      <c r="J80" s="36">
        <f t="shared" si="40"/>
        <v>190080</v>
      </c>
      <c r="K80" s="36">
        <f t="shared" si="40"/>
        <v>17280</v>
      </c>
      <c r="L80" s="36">
        <f t="shared" si="31"/>
        <v>1183680</v>
      </c>
    </row>
    <row r="81" spans="1:12">
      <c r="A81" s="33" t="s">
        <v>364</v>
      </c>
      <c r="B81" s="34" t="s">
        <v>365</v>
      </c>
      <c r="C81" s="34"/>
      <c r="D81" s="35" t="s">
        <v>185</v>
      </c>
      <c r="E81" s="36">
        <f>E82</f>
        <v>342332</v>
      </c>
      <c r="F81" s="36">
        <f t="shared" ref="F81:K81" si="41">F82</f>
        <v>268876.32</v>
      </c>
      <c r="G81" s="36">
        <f t="shared" si="41"/>
        <v>66129.600000000006</v>
      </c>
      <c r="H81" s="36">
        <f t="shared" si="41"/>
        <v>55200</v>
      </c>
      <c r="I81" s="36">
        <f t="shared" si="41"/>
        <v>135585.60000000001</v>
      </c>
      <c r="J81" s="36">
        <f t="shared" si="41"/>
        <v>148000</v>
      </c>
      <c r="K81" s="36">
        <f t="shared" si="41"/>
        <v>18283.2</v>
      </c>
      <c r="L81" s="36">
        <f t="shared" si="31"/>
        <v>1034406.72</v>
      </c>
    </row>
    <row r="82" spans="1:12" s="40" customFormat="1">
      <c r="A82" s="33" t="s">
        <v>366</v>
      </c>
      <c r="B82" s="38" t="s">
        <v>367</v>
      </c>
      <c r="C82" s="38" t="s">
        <v>191</v>
      </c>
      <c r="D82" s="39" t="s">
        <v>210</v>
      </c>
      <c r="E82" s="36">
        <f>E16*4</f>
        <v>342332</v>
      </c>
      <c r="F82" s="36">
        <f t="shared" ref="F82:K82" si="42">F16*4</f>
        <v>268876.32</v>
      </c>
      <c r="G82" s="36">
        <f t="shared" si="42"/>
        <v>66129.600000000006</v>
      </c>
      <c r="H82" s="36">
        <f t="shared" si="42"/>
        <v>55200</v>
      </c>
      <c r="I82" s="36">
        <f t="shared" si="42"/>
        <v>135585.60000000001</v>
      </c>
      <c r="J82" s="36">
        <f t="shared" si="42"/>
        <v>148000</v>
      </c>
      <c r="K82" s="36">
        <f t="shared" si="42"/>
        <v>18283.2</v>
      </c>
      <c r="L82" s="36">
        <f t="shared" si="31"/>
        <v>1034406.72</v>
      </c>
    </row>
    <row r="83" spans="1:12">
      <c r="A83" s="33" t="s">
        <v>368</v>
      </c>
      <c r="B83" s="34" t="s">
        <v>369</v>
      </c>
      <c r="C83" s="34"/>
      <c r="D83" s="35" t="s">
        <v>185</v>
      </c>
      <c r="E83" s="36">
        <f>E84</f>
        <v>32000</v>
      </c>
      <c r="F83" s="36">
        <f t="shared" ref="F83:K83" si="43">F84</f>
        <v>32000</v>
      </c>
      <c r="G83" s="36">
        <f t="shared" si="43"/>
        <v>0</v>
      </c>
      <c r="H83" s="36">
        <f t="shared" si="43"/>
        <v>0</v>
      </c>
      <c r="I83" s="36">
        <f t="shared" si="43"/>
        <v>0</v>
      </c>
      <c r="J83" s="36">
        <f t="shared" si="43"/>
        <v>0</v>
      </c>
      <c r="K83" s="36">
        <f t="shared" si="43"/>
        <v>0</v>
      </c>
      <c r="L83" s="36">
        <f t="shared" si="31"/>
        <v>64000</v>
      </c>
    </row>
    <row r="84" spans="1:12" ht="33.75">
      <c r="A84" s="33" t="s">
        <v>370</v>
      </c>
      <c r="B84" s="34" t="s">
        <v>371</v>
      </c>
      <c r="C84" s="34" t="s">
        <v>191</v>
      </c>
      <c r="D84" s="47" t="s">
        <v>372</v>
      </c>
      <c r="E84" s="37">
        <v>32000</v>
      </c>
      <c r="F84" s="37">
        <v>32000</v>
      </c>
      <c r="G84" s="37"/>
      <c r="H84" s="37"/>
      <c r="I84" s="37"/>
      <c r="J84" s="37"/>
      <c r="K84" s="37"/>
      <c r="L84" s="36">
        <f t="shared" si="31"/>
        <v>64000</v>
      </c>
    </row>
    <row r="85" spans="1:12">
      <c r="A85" s="33" t="s">
        <v>373</v>
      </c>
      <c r="B85" s="34" t="s">
        <v>374</v>
      </c>
      <c r="C85" s="34"/>
      <c r="D85" s="35" t="s">
        <v>185</v>
      </c>
      <c r="E85" s="36">
        <f>E86+E89+E92</f>
        <v>259600</v>
      </c>
      <c r="F85" s="36">
        <f t="shared" ref="F85:K85" si="44">F86+F89+F92</f>
        <v>344560</v>
      </c>
      <c r="G85" s="36">
        <f t="shared" si="44"/>
        <v>0</v>
      </c>
      <c r="H85" s="36">
        <f t="shared" si="44"/>
        <v>42480</v>
      </c>
      <c r="I85" s="36">
        <f t="shared" si="44"/>
        <v>9440</v>
      </c>
      <c r="J85" s="36">
        <f t="shared" si="44"/>
        <v>0</v>
      </c>
      <c r="K85" s="36">
        <f t="shared" si="44"/>
        <v>0</v>
      </c>
      <c r="L85" s="36">
        <f t="shared" si="31"/>
        <v>656080</v>
      </c>
    </row>
    <row r="86" spans="1:12">
      <c r="A86" s="33" t="s">
        <v>375</v>
      </c>
      <c r="B86" s="34" t="s">
        <v>376</v>
      </c>
      <c r="C86" s="34"/>
      <c r="D86" s="35" t="s">
        <v>185</v>
      </c>
      <c r="E86" s="36">
        <f>E87+E88</f>
        <v>0</v>
      </c>
      <c r="F86" s="36">
        <f t="shared" ref="F86:K86" si="45">F87+F88</f>
        <v>0</v>
      </c>
      <c r="G86" s="36">
        <f t="shared" si="45"/>
        <v>0</v>
      </c>
      <c r="H86" s="36">
        <f t="shared" si="45"/>
        <v>0</v>
      </c>
      <c r="I86" s="36">
        <f t="shared" si="45"/>
        <v>0</v>
      </c>
      <c r="J86" s="36">
        <f t="shared" si="45"/>
        <v>0</v>
      </c>
      <c r="K86" s="36">
        <f t="shared" si="45"/>
        <v>0</v>
      </c>
      <c r="L86" s="36">
        <f t="shared" si="31"/>
        <v>0</v>
      </c>
    </row>
    <row r="87" spans="1:12">
      <c r="A87" s="33" t="s">
        <v>377</v>
      </c>
      <c r="B87" s="34" t="s">
        <v>378</v>
      </c>
      <c r="C87" s="34" t="s">
        <v>191</v>
      </c>
      <c r="D87" s="47" t="s">
        <v>293</v>
      </c>
      <c r="E87" s="43"/>
      <c r="F87" s="43"/>
      <c r="G87" s="43"/>
      <c r="H87" s="43"/>
      <c r="I87" s="43"/>
      <c r="J87" s="43"/>
      <c r="K87" s="43"/>
      <c r="L87" s="36">
        <f t="shared" si="31"/>
        <v>0</v>
      </c>
    </row>
    <row r="88" spans="1:12">
      <c r="A88" s="33" t="s">
        <v>379</v>
      </c>
      <c r="B88" s="34" t="s">
        <v>380</v>
      </c>
      <c r="C88" s="34" t="s">
        <v>191</v>
      </c>
      <c r="D88" s="35" t="s">
        <v>381</v>
      </c>
      <c r="E88" s="43"/>
      <c r="F88" s="43"/>
      <c r="G88" s="43"/>
      <c r="H88" s="43"/>
      <c r="I88" s="43"/>
      <c r="J88" s="43"/>
      <c r="K88" s="43"/>
      <c r="L88" s="36">
        <f t="shared" si="31"/>
        <v>0</v>
      </c>
    </row>
    <row r="89" spans="1:12">
      <c r="A89" s="33" t="s">
        <v>382</v>
      </c>
      <c r="B89" s="34" t="s">
        <v>383</v>
      </c>
      <c r="C89" s="34"/>
      <c r="D89" s="35" t="s">
        <v>185</v>
      </c>
      <c r="E89" s="36">
        <f>E90+E91</f>
        <v>259600</v>
      </c>
      <c r="F89" s="36">
        <f t="shared" ref="F89:K89" si="46">F90+F91</f>
        <v>344560</v>
      </c>
      <c r="G89" s="36">
        <f t="shared" si="46"/>
        <v>0</v>
      </c>
      <c r="H89" s="36">
        <f t="shared" si="46"/>
        <v>42480</v>
      </c>
      <c r="I89" s="36">
        <f t="shared" si="46"/>
        <v>9440</v>
      </c>
      <c r="J89" s="36">
        <f t="shared" si="46"/>
        <v>0</v>
      </c>
      <c r="K89" s="36">
        <f t="shared" si="46"/>
        <v>0</v>
      </c>
      <c r="L89" s="36">
        <f t="shared" si="31"/>
        <v>656080</v>
      </c>
    </row>
    <row r="90" spans="1:12" s="40" customFormat="1" ht="22.5">
      <c r="A90" s="33" t="s">
        <v>384</v>
      </c>
      <c r="B90" s="38" t="s">
        <v>385</v>
      </c>
      <c r="C90" s="38" t="s">
        <v>191</v>
      </c>
      <c r="D90" s="48" t="s">
        <v>386</v>
      </c>
      <c r="E90" s="36">
        <f>E107*400</f>
        <v>22000</v>
      </c>
      <c r="F90" s="36">
        <f t="shared" ref="F90:K90" si="47">F107*400</f>
        <v>29200</v>
      </c>
      <c r="G90" s="36">
        <f t="shared" si="47"/>
        <v>0</v>
      </c>
      <c r="H90" s="36">
        <f t="shared" si="47"/>
        <v>3600</v>
      </c>
      <c r="I90" s="36">
        <f t="shared" si="47"/>
        <v>800</v>
      </c>
      <c r="J90" s="36">
        <f t="shared" si="47"/>
        <v>0</v>
      </c>
      <c r="K90" s="36">
        <f t="shared" si="47"/>
        <v>0</v>
      </c>
      <c r="L90" s="36">
        <f t="shared" si="31"/>
        <v>55600</v>
      </c>
    </row>
    <row r="91" spans="1:12" s="40" customFormat="1" ht="22.5">
      <c r="A91" s="33" t="s">
        <v>387</v>
      </c>
      <c r="B91" s="38" t="s">
        <v>388</v>
      </c>
      <c r="C91" s="38" t="s">
        <v>191</v>
      </c>
      <c r="D91" s="48" t="s">
        <v>389</v>
      </c>
      <c r="E91" s="36">
        <f>E107*4320</f>
        <v>237600</v>
      </c>
      <c r="F91" s="36">
        <f t="shared" ref="F91:K91" si="48">F107*4320</f>
        <v>315360</v>
      </c>
      <c r="G91" s="36">
        <f t="shared" si="48"/>
        <v>0</v>
      </c>
      <c r="H91" s="36">
        <f t="shared" si="48"/>
        <v>38880</v>
      </c>
      <c r="I91" s="36">
        <f t="shared" si="48"/>
        <v>8640</v>
      </c>
      <c r="J91" s="36">
        <f t="shared" si="48"/>
        <v>0</v>
      </c>
      <c r="K91" s="36">
        <f t="shared" si="48"/>
        <v>0</v>
      </c>
      <c r="L91" s="36">
        <f t="shared" si="31"/>
        <v>600480</v>
      </c>
    </row>
    <row r="92" spans="1:12">
      <c r="A92" s="33" t="s">
        <v>390</v>
      </c>
      <c r="B92" s="34" t="s">
        <v>391</v>
      </c>
      <c r="C92" s="34" t="s">
        <v>191</v>
      </c>
      <c r="D92" s="47" t="s">
        <v>293</v>
      </c>
      <c r="E92" s="49"/>
      <c r="F92" s="49"/>
      <c r="G92" s="49"/>
      <c r="H92" s="49"/>
      <c r="I92" s="49"/>
      <c r="J92" s="49"/>
      <c r="K92" s="49"/>
      <c r="L92" s="36">
        <f t="shared" si="31"/>
        <v>0</v>
      </c>
    </row>
    <row r="93" spans="1:12">
      <c r="A93" s="33" t="s">
        <v>392</v>
      </c>
      <c r="B93" s="34" t="s">
        <v>393</v>
      </c>
      <c r="C93" s="34"/>
      <c r="D93" s="35" t="s">
        <v>185</v>
      </c>
      <c r="E93" s="36">
        <f>E94</f>
        <v>0</v>
      </c>
      <c r="F93" s="36">
        <f t="shared" ref="F93:K93" si="49">F94</f>
        <v>0</v>
      </c>
      <c r="G93" s="36">
        <f t="shared" si="49"/>
        <v>32000</v>
      </c>
      <c r="H93" s="36">
        <f t="shared" si="49"/>
        <v>32000</v>
      </c>
      <c r="I93" s="36">
        <f t="shared" si="49"/>
        <v>32000</v>
      </c>
      <c r="J93" s="36">
        <f t="shared" si="49"/>
        <v>32000</v>
      </c>
      <c r="K93" s="36">
        <f t="shared" si="49"/>
        <v>32000</v>
      </c>
      <c r="L93" s="36">
        <f t="shared" si="31"/>
        <v>160000</v>
      </c>
    </row>
    <row r="94" spans="1:12" ht="57" thickBot="1">
      <c r="A94" s="33" t="s">
        <v>394</v>
      </c>
      <c r="B94" s="50" t="s">
        <v>395</v>
      </c>
      <c r="C94" s="34" t="s">
        <v>191</v>
      </c>
      <c r="D94" s="51" t="s">
        <v>523</v>
      </c>
      <c r="E94" s="52"/>
      <c r="F94" s="52"/>
      <c r="G94" s="37">
        <v>32000</v>
      </c>
      <c r="H94" s="37">
        <v>32000</v>
      </c>
      <c r="I94" s="37">
        <v>32000</v>
      </c>
      <c r="J94" s="37">
        <v>32000</v>
      </c>
      <c r="K94" s="37">
        <v>32000</v>
      </c>
      <c r="L94" s="36">
        <f t="shared" si="31"/>
        <v>160000</v>
      </c>
    </row>
    <row r="95" spans="1:12" ht="23.25" customHeight="1" thickTop="1">
      <c r="A95" s="33" t="s">
        <v>397</v>
      </c>
      <c r="B95" s="53" t="s">
        <v>398</v>
      </c>
      <c r="C95" s="53"/>
      <c r="D95" s="54"/>
      <c r="E95" s="55"/>
      <c r="F95" s="55"/>
      <c r="G95" s="55"/>
      <c r="H95" s="55"/>
      <c r="I95" s="55"/>
      <c r="J95" s="55"/>
      <c r="K95" s="55"/>
      <c r="L95" s="36">
        <f t="shared" si="31"/>
        <v>0</v>
      </c>
    </row>
    <row r="96" spans="1:12" ht="22.5">
      <c r="A96" s="33" t="s">
        <v>399</v>
      </c>
      <c r="B96" s="34" t="s">
        <v>400</v>
      </c>
      <c r="C96" s="34"/>
      <c r="D96" s="35" t="s">
        <v>524</v>
      </c>
      <c r="E96" s="36">
        <f>E97+E98+E99+E100</f>
        <v>83</v>
      </c>
      <c r="F96" s="36">
        <f t="shared" ref="F96:K96" si="50">F97+F98+F99+F100</f>
        <v>71</v>
      </c>
      <c r="G96" s="36">
        <f t="shared" si="50"/>
        <v>19</v>
      </c>
      <c r="H96" s="36">
        <f t="shared" si="50"/>
        <v>16</v>
      </c>
      <c r="I96" s="36">
        <f t="shared" si="50"/>
        <v>37</v>
      </c>
      <c r="J96" s="36">
        <f t="shared" si="50"/>
        <v>44</v>
      </c>
      <c r="K96" s="36">
        <f t="shared" si="50"/>
        <v>4</v>
      </c>
      <c r="L96" s="36">
        <f t="shared" si="31"/>
        <v>274</v>
      </c>
    </row>
    <row r="97" spans="1:12">
      <c r="A97" s="33" t="s">
        <v>402</v>
      </c>
      <c r="B97" s="56" t="s">
        <v>403</v>
      </c>
      <c r="C97" s="56"/>
      <c r="D97" s="42"/>
      <c r="E97" s="43">
        <v>83</v>
      </c>
      <c r="F97" s="43"/>
      <c r="G97" s="43"/>
      <c r="H97" s="43"/>
      <c r="I97" s="43"/>
      <c r="J97" s="43"/>
      <c r="K97" s="43"/>
      <c r="L97" s="36">
        <f t="shared" si="31"/>
        <v>83</v>
      </c>
    </row>
    <row r="98" spans="1:12">
      <c r="A98" s="33" t="s">
        <v>404</v>
      </c>
      <c r="B98" s="56" t="s">
        <v>405</v>
      </c>
      <c r="C98" s="56"/>
      <c r="D98" s="35"/>
      <c r="E98" s="37"/>
      <c r="F98" s="37">
        <v>71</v>
      </c>
      <c r="G98" s="37">
        <v>19</v>
      </c>
      <c r="H98" s="37"/>
      <c r="I98" s="37"/>
      <c r="J98" s="37"/>
      <c r="K98" s="37"/>
      <c r="L98" s="36">
        <f t="shared" si="31"/>
        <v>90</v>
      </c>
    </row>
    <row r="99" spans="1:12">
      <c r="A99" s="33" t="s">
        <v>406</v>
      </c>
      <c r="B99" s="56" t="s">
        <v>407</v>
      </c>
      <c r="C99" s="56"/>
      <c r="D99" s="42"/>
      <c r="E99" s="43"/>
      <c r="F99" s="43"/>
      <c r="G99" s="43"/>
      <c r="H99" s="43">
        <v>16</v>
      </c>
      <c r="I99" s="43">
        <v>37</v>
      </c>
      <c r="J99" s="92">
        <v>44</v>
      </c>
      <c r="K99" s="43"/>
      <c r="L99" s="36">
        <f t="shared" si="31"/>
        <v>97</v>
      </c>
    </row>
    <row r="100" spans="1:12">
      <c r="A100" s="33" t="s">
        <v>408</v>
      </c>
      <c r="B100" s="56" t="s">
        <v>409</v>
      </c>
      <c r="C100" s="56"/>
      <c r="D100" s="42"/>
      <c r="E100" s="43"/>
      <c r="F100" s="43"/>
      <c r="G100" s="43"/>
      <c r="H100" s="43"/>
      <c r="I100" s="43"/>
      <c r="J100" s="43"/>
      <c r="K100" s="43">
        <v>4</v>
      </c>
      <c r="L100" s="36">
        <f t="shared" si="31"/>
        <v>4</v>
      </c>
    </row>
    <row r="101" spans="1:12" ht="33.75">
      <c r="A101" s="33" t="s">
        <v>410</v>
      </c>
      <c r="B101" s="34" t="s">
        <v>411</v>
      </c>
      <c r="C101" s="34"/>
      <c r="D101" s="35" t="s">
        <v>525</v>
      </c>
      <c r="E101" s="36">
        <f>E102+E103+E104+E105</f>
        <v>667</v>
      </c>
      <c r="F101" s="36">
        <f t="shared" ref="F101:K101" si="51">F102+F103+F104+F105</f>
        <v>889</v>
      </c>
      <c r="G101" s="36">
        <f t="shared" si="51"/>
        <v>131</v>
      </c>
      <c r="H101" s="36">
        <f t="shared" si="51"/>
        <v>90</v>
      </c>
      <c r="I101" s="36">
        <f t="shared" si="51"/>
        <v>397</v>
      </c>
      <c r="J101" s="36">
        <f t="shared" si="51"/>
        <v>509</v>
      </c>
      <c r="K101" s="36">
        <f t="shared" si="51"/>
        <v>0</v>
      </c>
      <c r="L101" s="36">
        <f t="shared" si="31"/>
        <v>2683</v>
      </c>
    </row>
    <row r="102" spans="1:12">
      <c r="A102" s="33" t="s">
        <v>413</v>
      </c>
      <c r="B102" s="56" t="s">
        <v>403</v>
      </c>
      <c r="C102" s="56"/>
      <c r="D102" s="42"/>
      <c r="E102" s="43">
        <v>667</v>
      </c>
      <c r="F102" s="43"/>
      <c r="G102" s="43"/>
      <c r="H102" s="43"/>
      <c r="I102" s="43"/>
      <c r="J102" s="43"/>
      <c r="K102" s="43"/>
      <c r="L102" s="36">
        <f t="shared" si="31"/>
        <v>667</v>
      </c>
    </row>
    <row r="103" spans="1:12">
      <c r="A103" s="33" t="s">
        <v>414</v>
      </c>
      <c r="B103" s="56" t="s">
        <v>405</v>
      </c>
      <c r="C103" s="56"/>
      <c r="D103" s="35"/>
      <c r="E103" s="37"/>
      <c r="F103" s="37">
        <v>889</v>
      </c>
      <c r="G103" s="37">
        <v>131</v>
      </c>
      <c r="H103" s="37"/>
      <c r="I103" s="37"/>
      <c r="J103" s="37"/>
      <c r="K103" s="37"/>
      <c r="L103" s="36">
        <f t="shared" si="31"/>
        <v>1020</v>
      </c>
    </row>
    <row r="104" spans="1:12">
      <c r="A104" s="33" t="s">
        <v>415</v>
      </c>
      <c r="B104" s="56" t="s">
        <v>407</v>
      </c>
      <c r="C104" s="56"/>
      <c r="D104" s="42"/>
      <c r="E104" s="43"/>
      <c r="F104" s="43"/>
      <c r="G104" s="43"/>
      <c r="H104" s="43">
        <v>90</v>
      </c>
      <c r="I104" s="43">
        <v>397</v>
      </c>
      <c r="J104" s="92">
        <v>509</v>
      </c>
      <c r="K104" s="43"/>
      <c r="L104" s="36">
        <f t="shared" si="31"/>
        <v>996</v>
      </c>
    </row>
    <row r="105" spans="1:12">
      <c r="A105" s="33" t="s">
        <v>416</v>
      </c>
      <c r="B105" s="56" t="s">
        <v>409</v>
      </c>
      <c r="C105" s="56"/>
      <c r="D105" s="42"/>
      <c r="E105" s="43"/>
      <c r="F105" s="43"/>
      <c r="G105" s="43"/>
      <c r="H105" s="43"/>
      <c r="I105" s="43"/>
      <c r="J105" s="43"/>
      <c r="K105" s="43"/>
      <c r="L105" s="36">
        <f t="shared" si="31"/>
        <v>0</v>
      </c>
    </row>
    <row r="106" spans="1:12">
      <c r="A106" s="33" t="s">
        <v>417</v>
      </c>
      <c r="B106" s="34" t="s">
        <v>418</v>
      </c>
      <c r="C106" s="34"/>
      <c r="D106" s="47"/>
      <c r="E106" s="57"/>
      <c r="F106" s="57"/>
      <c r="G106" s="57"/>
      <c r="H106" s="57"/>
      <c r="I106" s="57"/>
      <c r="J106" s="57"/>
      <c r="K106" s="57"/>
      <c r="L106" s="36">
        <f t="shared" si="31"/>
        <v>0</v>
      </c>
    </row>
    <row r="107" spans="1:12">
      <c r="A107" s="33" t="s">
        <v>419</v>
      </c>
      <c r="B107" s="34" t="s">
        <v>420</v>
      </c>
      <c r="C107" s="34"/>
      <c r="D107" s="35"/>
      <c r="E107" s="37">
        <v>55</v>
      </c>
      <c r="F107" s="37">
        <v>73</v>
      </c>
      <c r="G107" s="37"/>
      <c r="H107" s="37">
        <v>9</v>
      </c>
      <c r="I107" s="37">
        <v>2</v>
      </c>
      <c r="J107" s="37"/>
      <c r="K107" s="37"/>
      <c r="L107" s="36">
        <f t="shared" si="31"/>
        <v>139</v>
      </c>
    </row>
    <row r="108" spans="1:12">
      <c r="A108" s="33" t="s">
        <v>421</v>
      </c>
      <c r="B108" s="56" t="s">
        <v>422</v>
      </c>
      <c r="C108" s="56"/>
      <c r="D108" s="47"/>
      <c r="E108" s="37">
        <v>34197.800000000003</v>
      </c>
      <c r="F108" s="37">
        <v>6698.1</v>
      </c>
      <c r="G108" s="37">
        <v>19825</v>
      </c>
      <c r="H108" s="37">
        <v>1515</v>
      </c>
      <c r="I108" s="37">
        <v>5789.3</v>
      </c>
      <c r="J108" s="91">
        <f>6544.84+8427.84</f>
        <v>14972.68</v>
      </c>
      <c r="K108" s="37">
        <v>3000</v>
      </c>
      <c r="L108" s="36">
        <f t="shared" si="31"/>
        <v>85997.88</v>
      </c>
    </row>
    <row r="109" spans="1:12">
      <c r="A109" s="33" t="s">
        <v>423</v>
      </c>
      <c r="B109" s="56" t="s">
        <v>424</v>
      </c>
      <c r="C109" s="56"/>
      <c r="D109" s="47"/>
      <c r="E109" s="37">
        <v>22358</v>
      </c>
      <c r="F109" s="37">
        <v>5066</v>
      </c>
      <c r="G109" s="37">
        <v>11640</v>
      </c>
      <c r="H109" s="37">
        <v>200</v>
      </c>
      <c r="I109" s="37">
        <v>3500</v>
      </c>
      <c r="J109" s="91">
        <f>4310+3995</f>
        <v>8305</v>
      </c>
      <c r="K109" s="37">
        <v>3000</v>
      </c>
      <c r="L109" s="36">
        <f t="shared" si="31"/>
        <v>54069</v>
      </c>
    </row>
  </sheetData>
  <protectedRanges>
    <protectedRange password="E9C1" sqref="B31:D109 A4:D12 A2:L3 B13:D28 A13:A109 L4:L109" name="区域1_1_2"/>
    <protectedRange password="E9C1" sqref="B29:C30" name="区域1_1_1_1"/>
    <protectedRange password="E9C1" sqref="D29" name="区域1_3"/>
    <protectedRange password="E9C1" sqref="D30" name="区域1_2_1"/>
  </protectedRanges>
  <mergeCells count="1">
    <mergeCell ref="A1:L1"/>
  </mergeCells>
  <phoneticPr fontId="1" type="noConversion"/>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9"/>
  <sheetViews>
    <sheetView topLeftCell="L1" workbookViewId="0">
      <selection activeCell="V3" sqref="V3:V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23" ht="25.5">
      <c r="A1" s="1332" t="s">
        <v>179</v>
      </c>
      <c r="B1" s="1333"/>
      <c r="C1" s="1333"/>
      <c r="D1" s="1333"/>
      <c r="E1" s="1333"/>
      <c r="F1" s="1333"/>
      <c r="G1" s="1333"/>
      <c r="H1" s="1333"/>
      <c r="I1" s="1333"/>
      <c r="J1" s="1333"/>
      <c r="K1" s="1333"/>
      <c r="L1" s="1333"/>
      <c r="M1" s="1333"/>
      <c r="N1" s="1333"/>
      <c r="O1" s="1333"/>
      <c r="P1" s="1333"/>
      <c r="Q1" s="1333"/>
      <c r="R1" s="1333"/>
      <c r="S1" s="1333"/>
      <c r="T1" s="1333"/>
      <c r="U1" s="1333"/>
      <c r="V1" s="1333"/>
    </row>
    <row r="2" spans="1:23" ht="30" customHeight="1">
      <c r="A2" s="31" t="s">
        <v>0</v>
      </c>
      <c r="B2" s="31" t="s">
        <v>180</v>
      </c>
      <c r="C2" s="31" t="s">
        <v>181</v>
      </c>
      <c r="D2" s="32" t="s">
        <v>182</v>
      </c>
      <c r="E2" s="32" t="s">
        <v>40</v>
      </c>
      <c r="F2" s="32" t="s">
        <v>425</v>
      </c>
      <c r="G2" s="32" t="s">
        <v>38</v>
      </c>
      <c r="H2" s="32" t="s">
        <v>39</v>
      </c>
      <c r="I2" s="32" t="s">
        <v>42</v>
      </c>
      <c r="J2" s="32" t="s">
        <v>44</v>
      </c>
      <c r="K2" s="32" t="s">
        <v>45</v>
      </c>
      <c r="L2" s="32" t="s">
        <v>426</v>
      </c>
      <c r="M2" s="32" t="s">
        <v>43</v>
      </c>
      <c r="N2" s="32" t="s">
        <v>47</v>
      </c>
      <c r="O2" s="32" t="s">
        <v>427</v>
      </c>
      <c r="P2" s="32" t="s">
        <v>50</v>
      </c>
      <c r="Q2" s="32" t="s">
        <v>51</v>
      </c>
      <c r="R2" s="32" t="s">
        <v>178</v>
      </c>
      <c r="S2" s="32" t="s">
        <v>428</v>
      </c>
      <c r="T2" s="32" t="s">
        <v>429</v>
      </c>
      <c r="U2" s="32" t="s">
        <v>430</v>
      </c>
      <c r="V2" s="32" t="s">
        <v>25</v>
      </c>
    </row>
    <row r="3" spans="1:23">
      <c r="A3" s="33" t="s">
        <v>183</v>
      </c>
      <c r="B3" s="34" t="s">
        <v>184</v>
      </c>
      <c r="C3" s="34"/>
      <c r="D3" s="35" t="s">
        <v>185</v>
      </c>
      <c r="E3" s="36">
        <f>E4+E31+E52</f>
        <v>90805518.120000005</v>
      </c>
      <c r="F3" s="36">
        <f t="shared" ref="F3:S3" si="0">F4+F31+F52</f>
        <v>30678359.620000001</v>
      </c>
      <c r="G3" s="36">
        <f t="shared" si="0"/>
        <v>29604085.100000001</v>
      </c>
      <c r="H3" s="36">
        <f t="shared" si="0"/>
        <v>1983923.4</v>
      </c>
      <c r="I3" s="36">
        <f t="shared" si="0"/>
        <v>31170271.629999999</v>
      </c>
      <c r="J3" s="36">
        <f t="shared" si="0"/>
        <v>104670566</v>
      </c>
      <c r="K3" s="36">
        <f t="shared" si="0"/>
        <v>22491004.5</v>
      </c>
      <c r="L3" s="36">
        <f t="shared" si="0"/>
        <v>41605039</v>
      </c>
      <c r="M3" s="36">
        <f t="shared" si="0"/>
        <v>22080041</v>
      </c>
      <c r="N3" s="36">
        <f t="shared" si="0"/>
        <v>38428318.129999995</v>
      </c>
      <c r="O3" s="36">
        <f t="shared" si="0"/>
        <v>56860530.600000001</v>
      </c>
      <c r="P3" s="36">
        <f t="shared" si="0"/>
        <v>15561090.6</v>
      </c>
      <c r="Q3" s="36">
        <f t="shared" si="0"/>
        <v>11859867</v>
      </c>
      <c r="R3" s="36">
        <f t="shared" si="0"/>
        <v>9360314.5999999996</v>
      </c>
      <c r="S3" s="36">
        <f t="shared" si="0"/>
        <v>15068283.6</v>
      </c>
      <c r="T3" s="37">
        <f>T4+T31+T52</f>
        <v>2537995</v>
      </c>
      <c r="U3" s="37">
        <f>U4+U31+U52</f>
        <v>2141953.6</v>
      </c>
      <c r="V3" s="36">
        <f t="shared" ref="V3:V66" si="1">SUM(E3:U3)</f>
        <v>526907161.50000012</v>
      </c>
      <c r="W3" s="143"/>
    </row>
    <row r="4" spans="1:23">
      <c r="A4" s="33" t="s">
        <v>186</v>
      </c>
      <c r="B4" s="34" t="s">
        <v>128</v>
      </c>
      <c r="C4" s="34"/>
      <c r="D4" s="35" t="s">
        <v>185</v>
      </c>
      <c r="E4" s="36">
        <f t="shared" ref="E4:S4" si="2">E5+E8+E13+E17+E20+E22+E25+E27+E29+E30</f>
        <v>80458671.870000005</v>
      </c>
      <c r="F4" s="36">
        <f t="shared" si="2"/>
        <v>27025112.420000002</v>
      </c>
      <c r="G4" s="36">
        <f t="shared" si="2"/>
        <v>26330783.800000001</v>
      </c>
      <c r="H4" s="36">
        <f t="shared" si="2"/>
        <v>0</v>
      </c>
      <c r="I4" s="36">
        <f t="shared" si="2"/>
        <v>26988989.68</v>
      </c>
      <c r="J4" s="36">
        <f t="shared" si="2"/>
        <v>88020684.75</v>
      </c>
      <c r="K4" s="36">
        <f t="shared" si="2"/>
        <v>19686231.050000001</v>
      </c>
      <c r="L4" s="36">
        <f t="shared" si="2"/>
        <v>34751612.700000003</v>
      </c>
      <c r="M4" s="36">
        <f t="shared" si="2"/>
        <v>19309861.300000001</v>
      </c>
      <c r="N4" s="36">
        <f t="shared" si="2"/>
        <v>32293548.379999999</v>
      </c>
      <c r="O4" s="36">
        <f t="shared" si="2"/>
        <v>48352370</v>
      </c>
      <c r="P4" s="36">
        <f t="shared" si="2"/>
        <v>13525120.6</v>
      </c>
      <c r="Q4" s="36">
        <f t="shared" si="2"/>
        <v>10209420</v>
      </c>
      <c r="R4" s="36">
        <f t="shared" si="2"/>
        <v>7924887.7999999998</v>
      </c>
      <c r="S4" s="36">
        <f t="shared" si="2"/>
        <v>13101029.039999999</v>
      </c>
      <c r="T4" s="37">
        <f>T5+T8+T13+T17+T20+T22+T25+T27+T29+T30</f>
        <v>2134067</v>
      </c>
      <c r="U4" s="37">
        <f>U5+U8+U13+U17+U20+U22+U25+U27+U29+U30</f>
        <v>1160842.4000000001</v>
      </c>
      <c r="V4" s="36">
        <f t="shared" si="1"/>
        <v>451273232.79000002</v>
      </c>
      <c r="W4" s="143"/>
    </row>
    <row r="5" spans="1:23">
      <c r="A5" s="33" t="s">
        <v>187</v>
      </c>
      <c r="B5" s="34" t="s">
        <v>188</v>
      </c>
      <c r="C5" s="34"/>
      <c r="D5" s="35" t="s">
        <v>185</v>
      </c>
      <c r="E5" s="36">
        <f>E6+E7</f>
        <v>11719956.870000001</v>
      </c>
      <c r="F5" s="36">
        <f t="shared" ref="F5:S5" si="3">F6+F7</f>
        <v>3938604.42</v>
      </c>
      <c r="G5" s="36">
        <f t="shared" si="3"/>
        <v>3941484.8000000003</v>
      </c>
      <c r="H5" s="36">
        <f t="shared" si="3"/>
        <v>0</v>
      </c>
      <c r="I5" s="36">
        <f t="shared" si="3"/>
        <v>3529631.68</v>
      </c>
      <c r="J5" s="36">
        <f t="shared" si="3"/>
        <v>12026580.75</v>
      </c>
      <c r="K5" s="36">
        <f t="shared" si="3"/>
        <v>2850060.05</v>
      </c>
      <c r="L5" s="36">
        <f t="shared" si="3"/>
        <v>4481004.7</v>
      </c>
      <c r="M5" s="36">
        <f t="shared" si="3"/>
        <v>2833775.3</v>
      </c>
      <c r="N5" s="36">
        <f t="shared" si="3"/>
        <v>3986555.38</v>
      </c>
      <c r="O5" s="36">
        <f t="shared" si="3"/>
        <v>6888108</v>
      </c>
      <c r="P5" s="36">
        <f t="shared" si="3"/>
        <v>1943256.6</v>
      </c>
      <c r="Q5" s="36">
        <f t="shared" si="3"/>
        <v>1285692</v>
      </c>
      <c r="R5" s="36">
        <f t="shared" si="3"/>
        <v>995207.8</v>
      </c>
      <c r="S5" s="36">
        <f t="shared" si="3"/>
        <v>1849788.24</v>
      </c>
      <c r="T5" s="37">
        <f>T6+T7</f>
        <v>300276</v>
      </c>
      <c r="U5" s="37">
        <f>U6+U7</f>
        <v>138948.4</v>
      </c>
      <c r="V5" s="36">
        <f t="shared" si="1"/>
        <v>62708930.989999995</v>
      </c>
    </row>
    <row r="6" spans="1:23">
      <c r="A6" s="33" t="s">
        <v>189</v>
      </c>
      <c r="B6" s="34" t="s">
        <v>190</v>
      </c>
      <c r="C6" s="34" t="s">
        <v>191</v>
      </c>
      <c r="D6" s="35" t="s">
        <v>192</v>
      </c>
      <c r="E6" s="37">
        <f>555499*12+0.87</f>
        <v>6665988.8700000001</v>
      </c>
      <c r="F6" s="37">
        <f>187497*12+0.42</f>
        <v>2249964.42</v>
      </c>
      <c r="G6" s="37">
        <f>176594*12+0.7+0.1</f>
        <v>2119128.8000000003</v>
      </c>
      <c r="H6" s="37"/>
      <c r="I6" s="37">
        <f>193970*12-0.32</f>
        <v>2327639.6800000002</v>
      </c>
      <c r="J6" s="37">
        <f>595335*12+0.75</f>
        <v>7144020.75</v>
      </c>
      <c r="K6" s="37">
        <f>125208*12+0.05</f>
        <v>1502496.05</v>
      </c>
      <c r="L6" s="37">
        <f>227914*12+0.7</f>
        <v>2734968.7</v>
      </c>
      <c r="M6" s="37">
        <f>126043*12-0.7</f>
        <v>1512515.3</v>
      </c>
      <c r="N6" s="37">
        <f>215048*12-0.62</f>
        <v>2580575.38</v>
      </c>
      <c r="O6" s="37">
        <f>335865*12</f>
        <v>4030380</v>
      </c>
      <c r="P6" s="37">
        <f>91269*12+0.6</f>
        <v>1095228.6000000001</v>
      </c>
      <c r="Q6" s="37">
        <f>71602*12</f>
        <v>859224</v>
      </c>
      <c r="R6" s="37">
        <f>54230*12-0.2</f>
        <v>650759.80000000005</v>
      </c>
      <c r="S6" s="37">
        <f>87068*12+0.24</f>
        <v>1044816.24</v>
      </c>
      <c r="T6" s="37">
        <f>14006*12</f>
        <v>168072</v>
      </c>
      <c r="U6" s="37">
        <f>7524*12+0.4</f>
        <v>90288.4</v>
      </c>
      <c r="V6" s="36">
        <f t="shared" si="1"/>
        <v>36776066.989999995</v>
      </c>
    </row>
    <row r="7" spans="1:23">
      <c r="A7" s="33" t="s">
        <v>193</v>
      </c>
      <c r="B7" s="34" t="s">
        <v>194</v>
      </c>
      <c r="C7" s="34" t="s">
        <v>191</v>
      </c>
      <c r="D7" s="35" t="s">
        <v>192</v>
      </c>
      <c r="E7" s="37">
        <f>421164*12</f>
        <v>5053968</v>
      </c>
      <c r="F7" s="37">
        <f>140720*12</f>
        <v>1688640</v>
      </c>
      <c r="G7" s="37">
        <f>151863*12</f>
        <v>1822356</v>
      </c>
      <c r="H7" s="37"/>
      <c r="I7" s="37">
        <f>100166*12</f>
        <v>1201992</v>
      </c>
      <c r="J7" s="37">
        <f>406880*12</f>
        <v>4882560</v>
      </c>
      <c r="K7" s="37">
        <f>112297*12</f>
        <v>1347564</v>
      </c>
      <c r="L7" s="37">
        <f>145503*12</f>
        <v>1746036</v>
      </c>
      <c r="M7" s="37">
        <f>110105*12</f>
        <v>1321260</v>
      </c>
      <c r="N7" s="37">
        <f>117165*12</f>
        <v>1405980</v>
      </c>
      <c r="O7" s="37">
        <f>238144*12</f>
        <v>2857728</v>
      </c>
      <c r="P7" s="37">
        <f>70669*12</f>
        <v>848028</v>
      </c>
      <c r="Q7" s="37">
        <f>35539*12</f>
        <v>426468</v>
      </c>
      <c r="R7" s="37">
        <f>28704*12</f>
        <v>344448</v>
      </c>
      <c r="S7" s="37">
        <f>67081*12</f>
        <v>804972</v>
      </c>
      <c r="T7" s="37">
        <f>11017*12</f>
        <v>132204</v>
      </c>
      <c r="U7" s="37">
        <f>4055*12</f>
        <v>48660</v>
      </c>
      <c r="V7" s="36">
        <f t="shared" si="1"/>
        <v>25932864</v>
      </c>
    </row>
    <row r="8" spans="1:23">
      <c r="A8" s="33" t="s">
        <v>195</v>
      </c>
      <c r="B8" s="34" t="s">
        <v>196</v>
      </c>
      <c r="C8" s="34"/>
      <c r="D8" s="35" t="s">
        <v>185</v>
      </c>
      <c r="E8" s="36">
        <f>E9+E10</f>
        <v>1382700</v>
      </c>
      <c r="F8" s="36">
        <f t="shared" ref="F8:S8" si="4">F9+F10</f>
        <v>466656</v>
      </c>
      <c r="G8" s="36">
        <f t="shared" si="4"/>
        <v>444216</v>
      </c>
      <c r="H8" s="36">
        <f t="shared" si="4"/>
        <v>0</v>
      </c>
      <c r="I8" s="36">
        <f t="shared" si="4"/>
        <v>485988</v>
      </c>
      <c r="J8" s="36">
        <f t="shared" si="4"/>
        <v>1560936</v>
      </c>
      <c r="K8" s="36">
        <f t="shared" si="4"/>
        <v>342588</v>
      </c>
      <c r="L8" s="36">
        <f t="shared" si="4"/>
        <v>625932</v>
      </c>
      <c r="M8" s="36">
        <f t="shared" si="4"/>
        <v>336816</v>
      </c>
      <c r="N8" s="36">
        <f t="shared" si="4"/>
        <v>588696</v>
      </c>
      <c r="O8" s="36">
        <f t="shared" si="4"/>
        <v>907464</v>
      </c>
      <c r="P8" s="36">
        <f t="shared" si="4"/>
        <v>249744</v>
      </c>
      <c r="Q8" s="36">
        <f t="shared" si="4"/>
        <v>194688</v>
      </c>
      <c r="R8" s="36">
        <f t="shared" si="4"/>
        <v>151320</v>
      </c>
      <c r="S8" s="36">
        <f t="shared" si="4"/>
        <v>244500</v>
      </c>
      <c r="T8" s="37">
        <f>T9+T10</f>
        <v>37908</v>
      </c>
      <c r="U8" s="37">
        <f>U9+U10</f>
        <v>22272</v>
      </c>
      <c r="V8" s="36">
        <f t="shared" si="1"/>
        <v>8042424</v>
      </c>
    </row>
    <row r="9" spans="1:23">
      <c r="A9" s="33" t="s">
        <v>197</v>
      </c>
      <c r="B9" s="34" t="s">
        <v>198</v>
      </c>
      <c r="C9" s="34" t="s">
        <v>191</v>
      </c>
      <c r="D9" s="35" t="s">
        <v>192</v>
      </c>
      <c r="E9" s="37">
        <f>1495*12</f>
        <v>17940</v>
      </c>
      <c r="F9" s="37">
        <f>532*12</f>
        <v>6384</v>
      </c>
      <c r="G9" s="37"/>
      <c r="H9" s="37"/>
      <c r="I9" s="37">
        <f>359*12</f>
        <v>4308</v>
      </c>
      <c r="J9" s="37">
        <f>1630*12</f>
        <v>19560</v>
      </c>
      <c r="K9" s="37">
        <f>451*12</f>
        <v>5412</v>
      </c>
      <c r="L9" s="37">
        <f>425*12</f>
        <v>5100</v>
      </c>
      <c r="M9" s="37">
        <f>416*12</f>
        <v>4992</v>
      </c>
      <c r="N9" s="37">
        <f>444*12</f>
        <v>5328</v>
      </c>
      <c r="O9" s="37">
        <f>1140*12</f>
        <v>13680</v>
      </c>
      <c r="P9" s="37">
        <f>296*12</f>
        <v>3552</v>
      </c>
      <c r="Q9" s="37">
        <f>168*12</f>
        <v>2016</v>
      </c>
      <c r="R9" s="37">
        <f>122*12</f>
        <v>1464</v>
      </c>
      <c r="S9" s="37">
        <f>305*12</f>
        <v>3660</v>
      </c>
      <c r="T9" s="37">
        <f>37*12</f>
        <v>444</v>
      </c>
      <c r="U9" s="37">
        <f>72*12</f>
        <v>864</v>
      </c>
      <c r="V9" s="36">
        <f t="shared" si="1"/>
        <v>94704</v>
      </c>
    </row>
    <row r="10" spans="1:23">
      <c r="A10" s="33" t="s">
        <v>199</v>
      </c>
      <c r="B10" s="34" t="s">
        <v>200</v>
      </c>
      <c r="C10" s="34"/>
      <c r="D10" s="35" t="s">
        <v>185</v>
      </c>
      <c r="E10" s="36">
        <f>E11+E12</f>
        <v>1364760</v>
      </c>
      <c r="F10" s="36">
        <f t="shared" ref="F10:S10" si="5">F11+F12</f>
        <v>460272</v>
      </c>
      <c r="G10" s="36">
        <f t="shared" si="5"/>
        <v>444216</v>
      </c>
      <c r="H10" s="36">
        <f t="shared" si="5"/>
        <v>0</v>
      </c>
      <c r="I10" s="36">
        <f t="shared" si="5"/>
        <v>481680</v>
      </c>
      <c r="J10" s="36">
        <f t="shared" si="5"/>
        <v>1541376</v>
      </c>
      <c r="K10" s="36">
        <f t="shared" si="5"/>
        <v>337176</v>
      </c>
      <c r="L10" s="36">
        <f t="shared" si="5"/>
        <v>620832</v>
      </c>
      <c r="M10" s="36">
        <f t="shared" si="5"/>
        <v>331824</v>
      </c>
      <c r="N10" s="36">
        <f t="shared" si="5"/>
        <v>583368</v>
      </c>
      <c r="O10" s="36">
        <f t="shared" si="5"/>
        <v>893784</v>
      </c>
      <c r="P10" s="36">
        <f t="shared" si="5"/>
        <v>246192</v>
      </c>
      <c r="Q10" s="36">
        <f t="shared" si="5"/>
        <v>192672</v>
      </c>
      <c r="R10" s="36">
        <f t="shared" si="5"/>
        <v>149856</v>
      </c>
      <c r="S10" s="36">
        <f t="shared" si="5"/>
        <v>240840</v>
      </c>
      <c r="T10" s="37">
        <f>T11+T12</f>
        <v>37464</v>
      </c>
      <c r="U10" s="37">
        <f>U11+U12</f>
        <v>21408</v>
      </c>
      <c r="V10" s="36">
        <f t="shared" si="1"/>
        <v>7947720</v>
      </c>
    </row>
    <row r="11" spans="1:23" s="40" customFormat="1">
      <c r="A11" s="33" t="s">
        <v>201</v>
      </c>
      <c r="B11" s="38" t="s">
        <v>202</v>
      </c>
      <c r="C11" s="38" t="s">
        <v>191</v>
      </c>
      <c r="D11" s="39" t="s">
        <v>185</v>
      </c>
      <c r="E11" s="36">
        <f>72*E96</f>
        <v>18360</v>
      </c>
      <c r="F11" s="36">
        <f t="shared" ref="F11:S11" si="6">72*F96</f>
        <v>6192</v>
      </c>
      <c r="G11" s="36">
        <f t="shared" si="6"/>
        <v>5976</v>
      </c>
      <c r="H11" s="36">
        <f t="shared" si="6"/>
        <v>0</v>
      </c>
      <c r="I11" s="36">
        <f t="shared" si="6"/>
        <v>6480</v>
      </c>
      <c r="J11" s="36">
        <f t="shared" si="6"/>
        <v>20736</v>
      </c>
      <c r="K11" s="36">
        <f t="shared" si="6"/>
        <v>4536</v>
      </c>
      <c r="L11" s="36">
        <f t="shared" si="6"/>
        <v>8352</v>
      </c>
      <c r="M11" s="36">
        <f t="shared" si="6"/>
        <v>4464</v>
      </c>
      <c r="N11" s="36">
        <f t="shared" si="6"/>
        <v>7848</v>
      </c>
      <c r="O11" s="36">
        <f t="shared" si="6"/>
        <v>12024</v>
      </c>
      <c r="P11" s="36">
        <f t="shared" si="6"/>
        <v>3312</v>
      </c>
      <c r="Q11" s="36">
        <f t="shared" si="6"/>
        <v>2592</v>
      </c>
      <c r="R11" s="36">
        <f t="shared" si="6"/>
        <v>2016</v>
      </c>
      <c r="S11" s="36">
        <f t="shared" si="6"/>
        <v>3240</v>
      </c>
      <c r="T11" s="37">
        <f>72*T96</f>
        <v>504</v>
      </c>
      <c r="U11" s="37">
        <f>72*U96</f>
        <v>288</v>
      </c>
      <c r="V11" s="36">
        <f t="shared" si="1"/>
        <v>106920</v>
      </c>
    </row>
    <row r="12" spans="1:23" s="40" customFormat="1">
      <c r="A12" s="33" t="s">
        <v>203</v>
      </c>
      <c r="B12" s="38" t="s">
        <v>204</v>
      </c>
      <c r="C12" s="38" t="s">
        <v>191</v>
      </c>
      <c r="D12" s="39" t="s">
        <v>185</v>
      </c>
      <c r="E12" s="36">
        <f>440*12*E96</f>
        <v>1346400</v>
      </c>
      <c r="F12" s="36">
        <f t="shared" ref="F12:S12" si="7">440*12*F96</f>
        <v>454080</v>
      </c>
      <c r="G12" s="36">
        <f t="shared" si="7"/>
        <v>438240</v>
      </c>
      <c r="H12" s="36">
        <f t="shared" si="7"/>
        <v>0</v>
      </c>
      <c r="I12" s="36">
        <f t="shared" si="7"/>
        <v>475200</v>
      </c>
      <c r="J12" s="36">
        <f t="shared" si="7"/>
        <v>1520640</v>
      </c>
      <c r="K12" s="36">
        <f t="shared" si="7"/>
        <v>332640</v>
      </c>
      <c r="L12" s="36">
        <f t="shared" si="7"/>
        <v>612480</v>
      </c>
      <c r="M12" s="36">
        <f t="shared" si="7"/>
        <v>327360</v>
      </c>
      <c r="N12" s="36">
        <f t="shared" si="7"/>
        <v>575520</v>
      </c>
      <c r="O12" s="36">
        <f t="shared" si="7"/>
        <v>881760</v>
      </c>
      <c r="P12" s="36">
        <f t="shared" si="7"/>
        <v>242880</v>
      </c>
      <c r="Q12" s="36">
        <f t="shared" si="7"/>
        <v>190080</v>
      </c>
      <c r="R12" s="36">
        <f t="shared" si="7"/>
        <v>147840</v>
      </c>
      <c r="S12" s="36">
        <f t="shared" si="7"/>
        <v>237600</v>
      </c>
      <c r="T12" s="37">
        <f>440*12*T96</f>
        <v>36960</v>
      </c>
      <c r="U12" s="37">
        <f>440*12*U96</f>
        <v>21120</v>
      </c>
      <c r="V12" s="36">
        <f t="shared" si="1"/>
        <v>7840800</v>
      </c>
    </row>
    <row r="13" spans="1:23">
      <c r="A13" s="33" t="s">
        <v>205</v>
      </c>
      <c r="B13" s="34" t="s">
        <v>206</v>
      </c>
      <c r="C13" s="34"/>
      <c r="D13" s="35" t="s">
        <v>207</v>
      </c>
      <c r="E13" s="36">
        <f>E14+E15+E16</f>
        <v>1265340</v>
      </c>
      <c r="F13" s="36">
        <f t="shared" ref="F13:S13" si="8">F14+F15+F16</f>
        <v>421673.99999999994</v>
      </c>
      <c r="G13" s="36">
        <f t="shared" si="8"/>
        <v>412980</v>
      </c>
      <c r="H13" s="36">
        <f t="shared" si="8"/>
        <v>0</v>
      </c>
      <c r="I13" s="36">
        <f t="shared" si="8"/>
        <v>404520</v>
      </c>
      <c r="J13" s="36">
        <f t="shared" si="8"/>
        <v>1342800</v>
      </c>
      <c r="K13" s="36">
        <f t="shared" si="8"/>
        <v>304860</v>
      </c>
      <c r="L13" s="36">
        <f t="shared" si="8"/>
        <v>523200</v>
      </c>
      <c r="M13" s="36">
        <f t="shared" si="8"/>
        <v>295152</v>
      </c>
      <c r="N13" s="36">
        <f t="shared" si="8"/>
        <v>484392</v>
      </c>
      <c r="O13" s="36">
        <f t="shared" si="8"/>
        <v>740382.00000000012</v>
      </c>
      <c r="P13" s="36">
        <f t="shared" si="8"/>
        <v>212400</v>
      </c>
      <c r="Q13" s="36">
        <f t="shared" si="8"/>
        <v>158880</v>
      </c>
      <c r="R13" s="36">
        <f t="shared" si="8"/>
        <v>123000</v>
      </c>
      <c r="S13" s="36">
        <f t="shared" si="8"/>
        <v>203623.2</v>
      </c>
      <c r="T13" s="37">
        <f>T14+T15+T16</f>
        <v>36660</v>
      </c>
      <c r="U13" s="37">
        <f>U14+U15+U16</f>
        <v>19218</v>
      </c>
      <c r="V13" s="36">
        <f t="shared" si="1"/>
        <v>6949081.2000000002</v>
      </c>
    </row>
    <row r="14" spans="1:23" s="40" customFormat="1">
      <c r="A14" s="33" t="s">
        <v>208</v>
      </c>
      <c r="B14" s="38" t="s">
        <v>209</v>
      </c>
      <c r="C14" s="38" t="s">
        <v>191</v>
      </c>
      <c r="D14" s="39" t="s">
        <v>210</v>
      </c>
      <c r="E14" s="36">
        <f>E16*3</f>
        <v>759204</v>
      </c>
      <c r="F14" s="36">
        <f t="shared" ref="F14:S14" si="9">F16*3</f>
        <v>253004.39999999997</v>
      </c>
      <c r="G14" s="36">
        <f t="shared" si="9"/>
        <v>247788</v>
      </c>
      <c r="H14" s="36">
        <f t="shared" si="9"/>
        <v>0</v>
      </c>
      <c r="I14" s="36">
        <f t="shared" si="9"/>
        <v>242712</v>
      </c>
      <c r="J14" s="36">
        <f t="shared" si="9"/>
        <v>805680</v>
      </c>
      <c r="K14" s="36">
        <f t="shared" si="9"/>
        <v>182916</v>
      </c>
      <c r="L14" s="36">
        <f t="shared" si="9"/>
        <v>313920</v>
      </c>
      <c r="M14" s="36">
        <f t="shared" si="9"/>
        <v>177091.19999999998</v>
      </c>
      <c r="N14" s="36">
        <f t="shared" si="9"/>
        <v>290635.19999999995</v>
      </c>
      <c r="O14" s="36">
        <f t="shared" si="9"/>
        <v>444229.20000000007</v>
      </c>
      <c r="P14" s="36">
        <f t="shared" si="9"/>
        <v>127440</v>
      </c>
      <c r="Q14" s="36">
        <f t="shared" si="9"/>
        <v>95328</v>
      </c>
      <c r="R14" s="36">
        <f t="shared" si="9"/>
        <v>73800</v>
      </c>
      <c r="S14" s="36">
        <f t="shared" si="9"/>
        <v>122173.92</v>
      </c>
      <c r="T14" s="37">
        <f>T16*3</f>
        <v>21996</v>
      </c>
      <c r="U14" s="37">
        <f>U16*3</f>
        <v>11530.800000000001</v>
      </c>
      <c r="V14" s="36">
        <f t="shared" si="1"/>
        <v>4169448.7199999997</v>
      </c>
    </row>
    <row r="15" spans="1:23" s="40" customFormat="1">
      <c r="A15" s="33" t="s">
        <v>211</v>
      </c>
      <c r="B15" s="38" t="s">
        <v>212</v>
      </c>
      <c r="C15" s="38" t="s">
        <v>191</v>
      </c>
      <c r="D15" s="39" t="s">
        <v>210</v>
      </c>
      <c r="E15" s="36">
        <f>E16</f>
        <v>253068</v>
      </c>
      <c r="F15" s="36">
        <f t="shared" ref="F15:U15" si="10">F16</f>
        <v>84334.799999999988</v>
      </c>
      <c r="G15" s="36">
        <f t="shared" si="10"/>
        <v>82596</v>
      </c>
      <c r="H15" s="36">
        <f t="shared" si="10"/>
        <v>0</v>
      </c>
      <c r="I15" s="36">
        <f t="shared" si="10"/>
        <v>80904</v>
      </c>
      <c r="J15" s="36">
        <f t="shared" si="10"/>
        <v>268560</v>
      </c>
      <c r="K15" s="36">
        <f t="shared" si="10"/>
        <v>60972</v>
      </c>
      <c r="L15" s="36">
        <f t="shared" si="10"/>
        <v>104640</v>
      </c>
      <c r="M15" s="36">
        <f t="shared" si="10"/>
        <v>59030.399999999994</v>
      </c>
      <c r="N15" s="36">
        <f t="shared" si="10"/>
        <v>96878.399999999994</v>
      </c>
      <c r="O15" s="36">
        <f t="shared" si="10"/>
        <v>148076.40000000002</v>
      </c>
      <c r="P15" s="36">
        <f t="shared" si="10"/>
        <v>42480</v>
      </c>
      <c r="Q15" s="36">
        <f t="shared" si="10"/>
        <v>31776</v>
      </c>
      <c r="R15" s="36">
        <f t="shared" si="10"/>
        <v>24600</v>
      </c>
      <c r="S15" s="36">
        <f t="shared" si="10"/>
        <v>40724.639999999999</v>
      </c>
      <c r="T15" s="37">
        <f t="shared" si="10"/>
        <v>7332</v>
      </c>
      <c r="U15" s="37">
        <f t="shared" si="10"/>
        <v>3843.6000000000004</v>
      </c>
      <c r="V15" s="36">
        <f t="shared" si="1"/>
        <v>1389816.24</v>
      </c>
    </row>
    <row r="16" spans="1:23" s="40" customFormat="1">
      <c r="A16" s="33" t="s">
        <v>213</v>
      </c>
      <c r="B16" s="38" t="s">
        <v>214</v>
      </c>
      <c r="C16" s="38" t="s">
        <v>191</v>
      </c>
      <c r="D16" s="39" t="s">
        <v>210</v>
      </c>
      <c r="E16" s="37">
        <f>21089*12</f>
        <v>253068</v>
      </c>
      <c r="F16" s="37">
        <f>7027.9*12</f>
        <v>84334.799999999988</v>
      </c>
      <c r="G16" s="37">
        <f>6883*12</f>
        <v>82596</v>
      </c>
      <c r="H16" s="37"/>
      <c r="I16" s="37">
        <f>6742*12</f>
        <v>80904</v>
      </c>
      <c r="J16" s="37">
        <f>22380*12</f>
        <v>268560</v>
      </c>
      <c r="K16" s="37">
        <f>5081*12</f>
        <v>60972</v>
      </c>
      <c r="L16" s="37">
        <f>8720*12</f>
        <v>104640</v>
      </c>
      <c r="M16" s="37">
        <f>4919.2*12</f>
        <v>59030.399999999994</v>
      </c>
      <c r="N16" s="37">
        <f>8073.2*12</f>
        <v>96878.399999999994</v>
      </c>
      <c r="O16" s="37">
        <f>12339.7*12</f>
        <v>148076.40000000002</v>
      </c>
      <c r="P16" s="37">
        <v>42480</v>
      </c>
      <c r="Q16" s="37">
        <f>2648*12</f>
        <v>31776</v>
      </c>
      <c r="R16" s="37">
        <f>2050*12</f>
        <v>24600</v>
      </c>
      <c r="S16" s="37">
        <f>3393.72*12</f>
        <v>40724.639999999999</v>
      </c>
      <c r="T16" s="37">
        <v>7332</v>
      </c>
      <c r="U16" s="37">
        <f>320.3*12</f>
        <v>3843.6000000000004</v>
      </c>
      <c r="V16" s="36">
        <f t="shared" si="1"/>
        <v>1389816.24</v>
      </c>
    </row>
    <row r="17" spans="1:22">
      <c r="A17" s="33" t="s">
        <v>215</v>
      </c>
      <c r="B17" s="34" t="s">
        <v>216</v>
      </c>
      <c r="C17" s="34"/>
      <c r="D17" s="35" t="s">
        <v>185</v>
      </c>
      <c r="E17" s="36">
        <v>40866555</v>
      </c>
      <c r="F17" s="36">
        <v>13782446</v>
      </c>
      <c r="G17" s="36">
        <v>13301663</v>
      </c>
      <c r="H17" s="36"/>
      <c r="I17" s="36">
        <v>14423490</v>
      </c>
      <c r="J17" s="36">
        <v>46155168</v>
      </c>
      <c r="K17" s="36">
        <v>10096443</v>
      </c>
      <c r="L17" s="36">
        <v>18590276</v>
      </c>
      <c r="M17" s="36">
        <v>9936182</v>
      </c>
      <c r="N17" s="36">
        <v>17468449</v>
      </c>
      <c r="O17" s="36">
        <v>24886340</v>
      </c>
      <c r="P17" s="36">
        <v>6854920</v>
      </c>
      <c r="Q17" s="36">
        <v>5364720</v>
      </c>
      <c r="R17" s="36">
        <v>4172560</v>
      </c>
      <c r="S17" s="36">
        <v>6705900</v>
      </c>
      <c r="T17" s="37">
        <v>1032143</v>
      </c>
      <c r="U17" s="37">
        <v>596080</v>
      </c>
      <c r="V17" s="36">
        <f t="shared" si="1"/>
        <v>234233335</v>
      </c>
    </row>
    <row r="18" spans="1:22" ht="22.5">
      <c r="A18" s="33" t="s">
        <v>217</v>
      </c>
      <c r="B18" s="41" t="s">
        <v>218</v>
      </c>
      <c r="C18" s="41" t="s">
        <v>191</v>
      </c>
      <c r="D18" s="42" t="s">
        <v>219</v>
      </c>
      <c r="E18" s="43">
        <f>E17-E19</f>
        <v>40205356</v>
      </c>
      <c r="F18" s="43">
        <f t="shared" ref="F18:U18" si="11">F17-F19</f>
        <v>13598194</v>
      </c>
      <c r="G18" s="43">
        <f t="shared" si="11"/>
        <v>13118104</v>
      </c>
      <c r="H18" s="43"/>
      <c r="I18" s="43">
        <f t="shared" si="11"/>
        <v>14244014</v>
      </c>
      <c r="J18" s="43">
        <f t="shared" si="11"/>
        <v>45891208</v>
      </c>
      <c r="K18" s="43">
        <f t="shared" si="11"/>
        <v>9743279</v>
      </c>
      <c r="L18" s="43">
        <f t="shared" si="11"/>
        <v>18197376</v>
      </c>
      <c r="M18" s="43">
        <f t="shared" si="11"/>
        <v>9570458</v>
      </c>
      <c r="N18" s="43">
        <f t="shared" si="11"/>
        <v>17277060</v>
      </c>
      <c r="O18" s="43">
        <f t="shared" si="11"/>
        <v>24623856</v>
      </c>
      <c r="P18" s="43">
        <f t="shared" si="11"/>
        <v>6705472</v>
      </c>
      <c r="Q18" s="43">
        <f t="shared" si="11"/>
        <v>5212584</v>
      </c>
      <c r="R18" s="43">
        <f t="shared" si="11"/>
        <v>4019704</v>
      </c>
      <c r="S18" s="43">
        <f t="shared" si="11"/>
        <v>6555924</v>
      </c>
      <c r="T18" s="43">
        <f t="shared" si="11"/>
        <v>1032143</v>
      </c>
      <c r="U18" s="43">
        <f t="shared" si="11"/>
        <v>596080</v>
      </c>
      <c r="V18" s="36">
        <f t="shared" si="1"/>
        <v>230590812</v>
      </c>
    </row>
    <row r="19" spans="1:22">
      <c r="A19" s="33" t="s">
        <v>220</v>
      </c>
      <c r="B19" s="41" t="s">
        <v>221</v>
      </c>
      <c r="C19" s="41" t="s">
        <v>191</v>
      </c>
      <c r="D19" s="42" t="s">
        <v>222</v>
      </c>
      <c r="E19" s="43">
        <f>221908+439291</f>
        <v>661199</v>
      </c>
      <c r="F19" s="43">
        <v>184252</v>
      </c>
      <c r="G19" s="43">
        <v>183559</v>
      </c>
      <c r="H19" s="43"/>
      <c r="I19" s="43">
        <v>179476</v>
      </c>
      <c r="J19" s="43">
        <v>263960</v>
      </c>
      <c r="K19" s="43">
        <v>353164</v>
      </c>
      <c r="L19" s="43">
        <v>392900</v>
      </c>
      <c r="M19" s="43">
        <v>365724</v>
      </c>
      <c r="N19" s="43">
        <v>191389</v>
      </c>
      <c r="O19" s="43">
        <v>262484</v>
      </c>
      <c r="P19" s="43">
        <v>149448</v>
      </c>
      <c r="Q19" s="43">
        <v>152136</v>
      </c>
      <c r="R19" s="43">
        <v>152856</v>
      </c>
      <c r="S19" s="43">
        <v>149976</v>
      </c>
      <c r="T19" s="43"/>
      <c r="U19" s="43"/>
      <c r="V19" s="36">
        <f t="shared" si="1"/>
        <v>3642523</v>
      </c>
    </row>
    <row r="20" spans="1:22">
      <c r="A20" s="33" t="s">
        <v>223</v>
      </c>
      <c r="B20" s="34" t="s">
        <v>224</v>
      </c>
      <c r="C20" s="34"/>
      <c r="D20" s="42" t="s">
        <v>185</v>
      </c>
      <c r="E20" s="45">
        <f>E21</f>
        <v>5061360</v>
      </c>
      <c r="F20" s="45">
        <f t="shared" ref="F20:U20" si="12">F21</f>
        <v>1686695.9999999998</v>
      </c>
      <c r="G20" s="45">
        <f t="shared" si="12"/>
        <v>1651920</v>
      </c>
      <c r="H20" s="45">
        <f t="shared" si="12"/>
        <v>0</v>
      </c>
      <c r="I20" s="45">
        <f t="shared" si="12"/>
        <v>1618080</v>
      </c>
      <c r="J20" s="45">
        <f t="shared" si="12"/>
        <v>5371200</v>
      </c>
      <c r="K20" s="45">
        <f t="shared" si="12"/>
        <v>1219440</v>
      </c>
      <c r="L20" s="45">
        <f t="shared" si="12"/>
        <v>2092800</v>
      </c>
      <c r="M20" s="45">
        <f t="shared" si="12"/>
        <v>1180608</v>
      </c>
      <c r="N20" s="45">
        <f t="shared" si="12"/>
        <v>1937568</v>
      </c>
      <c r="O20" s="45">
        <f t="shared" si="12"/>
        <v>2961528.0000000005</v>
      </c>
      <c r="P20" s="45">
        <f t="shared" si="12"/>
        <v>849600</v>
      </c>
      <c r="Q20" s="45">
        <f t="shared" si="12"/>
        <v>635520</v>
      </c>
      <c r="R20" s="45">
        <f t="shared" si="12"/>
        <v>492000</v>
      </c>
      <c r="S20" s="45">
        <f t="shared" si="12"/>
        <v>814492.8</v>
      </c>
      <c r="T20" s="43">
        <f t="shared" si="12"/>
        <v>146640</v>
      </c>
      <c r="U20" s="43">
        <f t="shared" si="12"/>
        <v>76872</v>
      </c>
      <c r="V20" s="36">
        <f t="shared" si="1"/>
        <v>27796324.800000001</v>
      </c>
    </row>
    <row r="21" spans="1:22">
      <c r="A21" s="33" t="s">
        <v>225</v>
      </c>
      <c r="B21" s="34" t="s">
        <v>226</v>
      </c>
      <c r="C21" s="34" t="s">
        <v>227</v>
      </c>
      <c r="D21" s="42" t="s">
        <v>185</v>
      </c>
      <c r="E21" s="45">
        <f>E16*20</f>
        <v>5061360</v>
      </c>
      <c r="F21" s="45">
        <f t="shared" ref="F21:S21" si="13">F16*20</f>
        <v>1686695.9999999998</v>
      </c>
      <c r="G21" s="45">
        <f t="shared" si="13"/>
        <v>1651920</v>
      </c>
      <c r="H21" s="45">
        <f t="shared" si="13"/>
        <v>0</v>
      </c>
      <c r="I21" s="45">
        <f t="shared" si="13"/>
        <v>1618080</v>
      </c>
      <c r="J21" s="45">
        <f t="shared" si="13"/>
        <v>5371200</v>
      </c>
      <c r="K21" s="45">
        <f t="shared" si="13"/>
        <v>1219440</v>
      </c>
      <c r="L21" s="45">
        <f t="shared" si="13"/>
        <v>2092800</v>
      </c>
      <c r="M21" s="45">
        <f t="shared" si="13"/>
        <v>1180608</v>
      </c>
      <c r="N21" s="45">
        <f t="shared" si="13"/>
        <v>1937568</v>
      </c>
      <c r="O21" s="45">
        <f t="shared" si="13"/>
        <v>2961528.0000000005</v>
      </c>
      <c r="P21" s="45">
        <f t="shared" si="13"/>
        <v>849600</v>
      </c>
      <c r="Q21" s="45">
        <f t="shared" si="13"/>
        <v>635520</v>
      </c>
      <c r="R21" s="45">
        <f t="shared" si="13"/>
        <v>492000</v>
      </c>
      <c r="S21" s="45">
        <f t="shared" si="13"/>
        <v>814492.8</v>
      </c>
      <c r="T21" s="43">
        <f>T16*20</f>
        <v>146640</v>
      </c>
      <c r="U21" s="43">
        <f>U16*20</f>
        <v>76872</v>
      </c>
      <c r="V21" s="36">
        <f t="shared" si="1"/>
        <v>27796324.800000001</v>
      </c>
    </row>
    <row r="22" spans="1:22">
      <c r="A22" s="33" t="s">
        <v>228</v>
      </c>
      <c r="B22" s="34" t="s">
        <v>229</v>
      </c>
      <c r="C22" s="34"/>
      <c r="D22" s="42" t="s">
        <v>210</v>
      </c>
      <c r="E22" s="45">
        <f>E23+E24</f>
        <v>2024544</v>
      </c>
      <c r="F22" s="45">
        <f t="shared" ref="F22:S22" si="14">F23+F24</f>
        <v>674678.39999999991</v>
      </c>
      <c r="G22" s="45">
        <f t="shared" si="14"/>
        <v>660768</v>
      </c>
      <c r="H22" s="45">
        <f t="shared" si="14"/>
        <v>0</v>
      </c>
      <c r="I22" s="45">
        <f t="shared" si="14"/>
        <v>647232</v>
      </c>
      <c r="J22" s="45">
        <f t="shared" si="14"/>
        <v>2148480</v>
      </c>
      <c r="K22" s="45">
        <f t="shared" si="14"/>
        <v>487776</v>
      </c>
      <c r="L22" s="45">
        <f t="shared" si="14"/>
        <v>837120</v>
      </c>
      <c r="M22" s="45">
        <f t="shared" si="14"/>
        <v>472243.19999999995</v>
      </c>
      <c r="N22" s="45">
        <f t="shared" si="14"/>
        <v>775027.19999999995</v>
      </c>
      <c r="O22" s="45">
        <f t="shared" si="14"/>
        <v>1184611.2000000002</v>
      </c>
      <c r="P22" s="45">
        <f t="shared" si="14"/>
        <v>339840</v>
      </c>
      <c r="Q22" s="45">
        <f t="shared" si="14"/>
        <v>254208</v>
      </c>
      <c r="R22" s="45">
        <f t="shared" si="14"/>
        <v>196800</v>
      </c>
      <c r="S22" s="45">
        <f t="shared" si="14"/>
        <v>325797.12</v>
      </c>
      <c r="T22" s="43">
        <f>T23+T24</f>
        <v>58656</v>
      </c>
      <c r="U22" s="43">
        <f>U23+U24</f>
        <v>30748.800000000003</v>
      </c>
      <c r="V22" s="36">
        <f t="shared" si="1"/>
        <v>11118529.92</v>
      </c>
    </row>
    <row r="23" spans="1:22">
      <c r="A23" s="33" t="s">
        <v>230</v>
      </c>
      <c r="B23" s="34" t="s">
        <v>231</v>
      </c>
      <c r="C23" s="34" t="s">
        <v>232</v>
      </c>
      <c r="D23" s="42" t="s">
        <v>210</v>
      </c>
      <c r="E23" s="45">
        <f>E16*4</f>
        <v>1012272</v>
      </c>
      <c r="F23" s="45">
        <f t="shared" ref="F23:S23" si="15">F16*4</f>
        <v>337339.19999999995</v>
      </c>
      <c r="G23" s="45">
        <f t="shared" si="15"/>
        <v>330384</v>
      </c>
      <c r="H23" s="45">
        <f t="shared" si="15"/>
        <v>0</v>
      </c>
      <c r="I23" s="45">
        <f t="shared" si="15"/>
        <v>323616</v>
      </c>
      <c r="J23" s="45">
        <f t="shared" si="15"/>
        <v>1074240</v>
      </c>
      <c r="K23" s="45">
        <f t="shared" si="15"/>
        <v>243888</v>
      </c>
      <c r="L23" s="45">
        <f t="shared" si="15"/>
        <v>418560</v>
      </c>
      <c r="M23" s="45">
        <f t="shared" si="15"/>
        <v>236121.59999999998</v>
      </c>
      <c r="N23" s="45">
        <f t="shared" si="15"/>
        <v>387513.59999999998</v>
      </c>
      <c r="O23" s="45">
        <f t="shared" si="15"/>
        <v>592305.60000000009</v>
      </c>
      <c r="P23" s="45">
        <f t="shared" si="15"/>
        <v>169920</v>
      </c>
      <c r="Q23" s="45">
        <f t="shared" si="15"/>
        <v>127104</v>
      </c>
      <c r="R23" s="45">
        <f t="shared" si="15"/>
        <v>98400</v>
      </c>
      <c r="S23" s="45">
        <f t="shared" si="15"/>
        <v>162898.56</v>
      </c>
      <c r="T23" s="43">
        <f>T16*4</f>
        <v>29328</v>
      </c>
      <c r="U23" s="43">
        <f>U16*4</f>
        <v>15374.400000000001</v>
      </c>
      <c r="V23" s="36">
        <f t="shared" si="1"/>
        <v>5559264.96</v>
      </c>
    </row>
    <row r="24" spans="1:22">
      <c r="A24" s="33" t="s">
        <v>233</v>
      </c>
      <c r="B24" s="34" t="s">
        <v>234</v>
      </c>
      <c r="C24" s="34" t="s">
        <v>232</v>
      </c>
      <c r="D24" s="42" t="s">
        <v>210</v>
      </c>
      <c r="E24" s="45">
        <f>E16*4</f>
        <v>1012272</v>
      </c>
      <c r="F24" s="45">
        <f t="shared" ref="F24:S24" si="16">F16*4</f>
        <v>337339.19999999995</v>
      </c>
      <c r="G24" s="45">
        <f t="shared" si="16"/>
        <v>330384</v>
      </c>
      <c r="H24" s="45">
        <f t="shared" si="16"/>
        <v>0</v>
      </c>
      <c r="I24" s="45">
        <f t="shared" si="16"/>
        <v>323616</v>
      </c>
      <c r="J24" s="45">
        <f t="shared" si="16"/>
        <v>1074240</v>
      </c>
      <c r="K24" s="45">
        <f t="shared" si="16"/>
        <v>243888</v>
      </c>
      <c r="L24" s="45">
        <f t="shared" si="16"/>
        <v>418560</v>
      </c>
      <c r="M24" s="45">
        <f t="shared" si="16"/>
        <v>236121.59999999998</v>
      </c>
      <c r="N24" s="45">
        <f t="shared" si="16"/>
        <v>387513.59999999998</v>
      </c>
      <c r="O24" s="45">
        <f t="shared" si="16"/>
        <v>592305.60000000009</v>
      </c>
      <c r="P24" s="45">
        <f t="shared" si="16"/>
        <v>169920</v>
      </c>
      <c r="Q24" s="45">
        <f t="shared" si="16"/>
        <v>127104</v>
      </c>
      <c r="R24" s="45">
        <f t="shared" si="16"/>
        <v>98400</v>
      </c>
      <c r="S24" s="45">
        <f t="shared" si="16"/>
        <v>162898.56</v>
      </c>
      <c r="T24" s="43">
        <f>T16*4</f>
        <v>29328</v>
      </c>
      <c r="U24" s="43">
        <f>U16*4</f>
        <v>15374.400000000001</v>
      </c>
      <c r="V24" s="36">
        <f t="shared" si="1"/>
        <v>5559264.96</v>
      </c>
    </row>
    <row r="25" spans="1:22">
      <c r="A25" s="33" t="s">
        <v>235</v>
      </c>
      <c r="B25" s="34" t="s">
        <v>236</v>
      </c>
      <c r="C25" s="34"/>
      <c r="D25" s="35" t="s">
        <v>185</v>
      </c>
      <c r="E25" s="36">
        <f>E26</f>
        <v>8098176</v>
      </c>
      <c r="F25" s="36">
        <f t="shared" ref="F25:U25" si="17">F26</f>
        <v>2698713.5999999996</v>
      </c>
      <c r="G25" s="36">
        <f t="shared" si="17"/>
        <v>2643072</v>
      </c>
      <c r="H25" s="36">
        <f t="shared" si="17"/>
        <v>0</v>
      </c>
      <c r="I25" s="36">
        <f t="shared" si="17"/>
        <v>2588928</v>
      </c>
      <c r="J25" s="36">
        <f t="shared" si="17"/>
        <v>8593920</v>
      </c>
      <c r="K25" s="36">
        <f t="shared" si="17"/>
        <v>1951104</v>
      </c>
      <c r="L25" s="36">
        <f t="shared" si="17"/>
        <v>3348480</v>
      </c>
      <c r="M25" s="36">
        <f t="shared" si="17"/>
        <v>1888972.7999999998</v>
      </c>
      <c r="N25" s="36">
        <f t="shared" si="17"/>
        <v>3100108.7999999998</v>
      </c>
      <c r="O25" s="36">
        <f t="shared" si="17"/>
        <v>4738444.8000000007</v>
      </c>
      <c r="P25" s="36">
        <f t="shared" si="17"/>
        <v>1359360</v>
      </c>
      <c r="Q25" s="36">
        <f t="shared" si="17"/>
        <v>1016832</v>
      </c>
      <c r="R25" s="36">
        <f t="shared" si="17"/>
        <v>787200</v>
      </c>
      <c r="S25" s="36">
        <f t="shared" si="17"/>
        <v>1303188.48</v>
      </c>
      <c r="T25" s="37">
        <f t="shared" si="17"/>
        <v>234624</v>
      </c>
      <c r="U25" s="37">
        <f t="shared" si="17"/>
        <v>122995.20000000001</v>
      </c>
      <c r="V25" s="36">
        <f t="shared" si="1"/>
        <v>44474119.68</v>
      </c>
    </row>
    <row r="26" spans="1:22" s="40" customFormat="1">
      <c r="A26" s="33" t="s">
        <v>237</v>
      </c>
      <c r="B26" s="38" t="s">
        <v>238</v>
      </c>
      <c r="C26" s="38" t="s">
        <v>239</v>
      </c>
      <c r="D26" s="39" t="s">
        <v>210</v>
      </c>
      <c r="E26" s="36">
        <f>E16*32</f>
        <v>8098176</v>
      </c>
      <c r="F26" s="36">
        <f t="shared" ref="F26:S26" si="18">F16*32</f>
        <v>2698713.5999999996</v>
      </c>
      <c r="G26" s="36">
        <f t="shared" si="18"/>
        <v>2643072</v>
      </c>
      <c r="H26" s="36">
        <f t="shared" si="18"/>
        <v>0</v>
      </c>
      <c r="I26" s="36">
        <f t="shared" si="18"/>
        <v>2588928</v>
      </c>
      <c r="J26" s="36">
        <f t="shared" si="18"/>
        <v>8593920</v>
      </c>
      <c r="K26" s="36">
        <f t="shared" si="18"/>
        <v>1951104</v>
      </c>
      <c r="L26" s="36">
        <f t="shared" si="18"/>
        <v>3348480</v>
      </c>
      <c r="M26" s="36">
        <f t="shared" si="18"/>
        <v>1888972.7999999998</v>
      </c>
      <c r="N26" s="36">
        <f t="shared" si="18"/>
        <v>3100108.7999999998</v>
      </c>
      <c r="O26" s="36">
        <f t="shared" si="18"/>
        <v>4738444.8000000007</v>
      </c>
      <c r="P26" s="36">
        <f t="shared" si="18"/>
        <v>1359360</v>
      </c>
      <c r="Q26" s="36">
        <f t="shared" si="18"/>
        <v>1016832</v>
      </c>
      <c r="R26" s="36">
        <f t="shared" si="18"/>
        <v>787200</v>
      </c>
      <c r="S26" s="36">
        <f t="shared" si="18"/>
        <v>1303188.48</v>
      </c>
      <c r="T26" s="37">
        <f>T16*32</f>
        <v>234624</v>
      </c>
      <c r="U26" s="37">
        <f>U16*32</f>
        <v>122995.20000000001</v>
      </c>
      <c r="V26" s="36">
        <f t="shared" si="1"/>
        <v>44474119.68</v>
      </c>
    </row>
    <row r="27" spans="1:22">
      <c r="A27" s="33" t="s">
        <v>240</v>
      </c>
      <c r="B27" s="34" t="s">
        <v>241</v>
      </c>
      <c r="C27" s="34"/>
      <c r="D27" s="35" t="s">
        <v>185</v>
      </c>
      <c r="E27" s="36">
        <f>E28</f>
        <v>4049088</v>
      </c>
      <c r="F27" s="36">
        <f t="shared" ref="F27:U27" si="19">F28</f>
        <v>1349356.7999999998</v>
      </c>
      <c r="G27" s="36">
        <f t="shared" si="19"/>
        <v>1321536</v>
      </c>
      <c r="H27" s="36">
        <f t="shared" si="19"/>
        <v>0</v>
      </c>
      <c r="I27" s="36">
        <f t="shared" si="19"/>
        <v>1294464</v>
      </c>
      <c r="J27" s="36">
        <f t="shared" si="19"/>
        <v>4296960</v>
      </c>
      <c r="K27" s="36">
        <f t="shared" si="19"/>
        <v>975552</v>
      </c>
      <c r="L27" s="36">
        <f t="shared" si="19"/>
        <v>1674240</v>
      </c>
      <c r="M27" s="36">
        <f t="shared" si="19"/>
        <v>944486.39999999991</v>
      </c>
      <c r="N27" s="36">
        <f t="shared" si="19"/>
        <v>1550054.3999999999</v>
      </c>
      <c r="O27" s="36">
        <f t="shared" si="19"/>
        <v>2369222.4000000004</v>
      </c>
      <c r="P27" s="36">
        <f t="shared" si="19"/>
        <v>679680</v>
      </c>
      <c r="Q27" s="36">
        <f t="shared" si="19"/>
        <v>508416</v>
      </c>
      <c r="R27" s="36">
        <f t="shared" si="19"/>
        <v>393600</v>
      </c>
      <c r="S27" s="36">
        <f t="shared" si="19"/>
        <v>651594.23999999999</v>
      </c>
      <c r="T27" s="37">
        <f t="shared" si="19"/>
        <v>117312</v>
      </c>
      <c r="U27" s="37">
        <f t="shared" si="19"/>
        <v>61497.600000000006</v>
      </c>
      <c r="V27" s="36">
        <f t="shared" si="1"/>
        <v>22237059.84</v>
      </c>
    </row>
    <row r="28" spans="1:22" s="40" customFormat="1">
      <c r="A28" s="33" t="s">
        <v>242</v>
      </c>
      <c r="B28" s="38" t="s">
        <v>243</v>
      </c>
      <c r="C28" s="38" t="s">
        <v>244</v>
      </c>
      <c r="D28" s="39" t="s">
        <v>210</v>
      </c>
      <c r="E28" s="36">
        <f>E16*16</f>
        <v>4049088</v>
      </c>
      <c r="F28" s="36">
        <f t="shared" ref="F28:S28" si="20">F16*16</f>
        <v>1349356.7999999998</v>
      </c>
      <c r="G28" s="36">
        <f t="shared" si="20"/>
        <v>1321536</v>
      </c>
      <c r="H28" s="36">
        <f t="shared" si="20"/>
        <v>0</v>
      </c>
      <c r="I28" s="36">
        <f t="shared" si="20"/>
        <v>1294464</v>
      </c>
      <c r="J28" s="36">
        <f t="shared" si="20"/>
        <v>4296960</v>
      </c>
      <c r="K28" s="36">
        <f t="shared" si="20"/>
        <v>975552</v>
      </c>
      <c r="L28" s="36">
        <f t="shared" si="20"/>
        <v>1674240</v>
      </c>
      <c r="M28" s="36">
        <f t="shared" si="20"/>
        <v>944486.39999999991</v>
      </c>
      <c r="N28" s="36">
        <f t="shared" si="20"/>
        <v>1550054.3999999999</v>
      </c>
      <c r="O28" s="36">
        <f t="shared" si="20"/>
        <v>2369222.4000000004</v>
      </c>
      <c r="P28" s="36">
        <f t="shared" si="20"/>
        <v>679680</v>
      </c>
      <c r="Q28" s="36">
        <f t="shared" si="20"/>
        <v>508416</v>
      </c>
      <c r="R28" s="36">
        <f t="shared" si="20"/>
        <v>393600</v>
      </c>
      <c r="S28" s="36">
        <f t="shared" si="20"/>
        <v>651594.23999999999</v>
      </c>
      <c r="T28" s="37">
        <f>T16*16</f>
        <v>117312</v>
      </c>
      <c r="U28" s="37">
        <f>U16*16</f>
        <v>61497.600000000006</v>
      </c>
      <c r="V28" s="36">
        <f t="shared" si="1"/>
        <v>22237059.84</v>
      </c>
    </row>
    <row r="29" spans="1:22" ht="22.5">
      <c r="A29" s="33" t="s">
        <v>245</v>
      </c>
      <c r="B29" s="34" t="s">
        <v>246</v>
      </c>
      <c r="C29" s="41" t="s">
        <v>191</v>
      </c>
      <c r="D29" s="39" t="s">
        <v>247</v>
      </c>
      <c r="E29" s="36">
        <f>9600*E96</f>
        <v>2448000</v>
      </c>
      <c r="F29" s="36">
        <f t="shared" ref="F29:S29" si="21">9600*F96</f>
        <v>825600</v>
      </c>
      <c r="G29" s="36">
        <f t="shared" si="21"/>
        <v>796800</v>
      </c>
      <c r="H29" s="36">
        <f t="shared" si="21"/>
        <v>0</v>
      </c>
      <c r="I29" s="36">
        <f t="shared" si="21"/>
        <v>864000</v>
      </c>
      <c r="J29" s="36">
        <f t="shared" si="21"/>
        <v>2764800</v>
      </c>
      <c r="K29" s="36">
        <f t="shared" si="21"/>
        <v>604800</v>
      </c>
      <c r="L29" s="36">
        <f t="shared" si="21"/>
        <v>1113600</v>
      </c>
      <c r="M29" s="36">
        <f t="shared" si="21"/>
        <v>595200</v>
      </c>
      <c r="N29" s="36">
        <f t="shared" si="21"/>
        <v>1046400</v>
      </c>
      <c r="O29" s="36">
        <f t="shared" si="21"/>
        <v>1603200</v>
      </c>
      <c r="P29" s="36">
        <f t="shared" si="21"/>
        <v>441600</v>
      </c>
      <c r="Q29" s="36">
        <f t="shared" si="21"/>
        <v>345600</v>
      </c>
      <c r="R29" s="36">
        <f t="shared" si="21"/>
        <v>268800</v>
      </c>
      <c r="S29" s="36">
        <f t="shared" si="21"/>
        <v>432000</v>
      </c>
      <c r="T29" s="37">
        <f>9600*T96</f>
        <v>67200</v>
      </c>
      <c r="U29" s="37">
        <f>9600*U96</f>
        <v>38400</v>
      </c>
      <c r="V29" s="36">
        <f t="shared" si="1"/>
        <v>14256000</v>
      </c>
    </row>
    <row r="30" spans="1:22">
      <c r="A30" s="33" t="s">
        <v>248</v>
      </c>
      <c r="B30" s="34" t="s">
        <v>249</v>
      </c>
      <c r="C30" s="34" t="s">
        <v>249</v>
      </c>
      <c r="D30" s="39" t="s">
        <v>210</v>
      </c>
      <c r="E30" s="45">
        <f>E16*14</f>
        <v>3542952</v>
      </c>
      <c r="F30" s="45">
        <f t="shared" ref="F30:S30" si="22">F16*14</f>
        <v>1180687.1999999997</v>
      </c>
      <c r="G30" s="45">
        <f t="shared" si="22"/>
        <v>1156344</v>
      </c>
      <c r="H30" s="45">
        <f t="shared" si="22"/>
        <v>0</v>
      </c>
      <c r="I30" s="45">
        <f t="shared" si="22"/>
        <v>1132656</v>
      </c>
      <c r="J30" s="45">
        <f t="shared" si="22"/>
        <v>3759840</v>
      </c>
      <c r="K30" s="45">
        <f t="shared" si="22"/>
        <v>853608</v>
      </c>
      <c r="L30" s="45">
        <f t="shared" si="22"/>
        <v>1464960</v>
      </c>
      <c r="M30" s="45">
        <f t="shared" si="22"/>
        <v>826425.59999999986</v>
      </c>
      <c r="N30" s="45">
        <f t="shared" si="22"/>
        <v>1356297.5999999999</v>
      </c>
      <c r="O30" s="45">
        <f t="shared" si="22"/>
        <v>2073069.6000000003</v>
      </c>
      <c r="P30" s="45">
        <f t="shared" si="22"/>
        <v>594720</v>
      </c>
      <c r="Q30" s="45">
        <f t="shared" si="22"/>
        <v>444864</v>
      </c>
      <c r="R30" s="45">
        <f t="shared" si="22"/>
        <v>344400</v>
      </c>
      <c r="S30" s="45">
        <f t="shared" si="22"/>
        <v>570144.96</v>
      </c>
      <c r="T30" s="43">
        <f>T16*14</f>
        <v>102648</v>
      </c>
      <c r="U30" s="43">
        <f>U16*14</f>
        <v>53810.400000000009</v>
      </c>
      <c r="V30" s="36">
        <f t="shared" si="1"/>
        <v>19457427.359999999</v>
      </c>
    </row>
    <row r="31" spans="1:22">
      <c r="A31" s="33" t="s">
        <v>250</v>
      </c>
      <c r="B31" s="34" t="s">
        <v>251</v>
      </c>
      <c r="C31" s="34"/>
      <c r="D31" s="35" t="s">
        <v>185</v>
      </c>
      <c r="E31" s="36">
        <f>E32+E40+E42+E45+E47</f>
        <v>65491.199999999997</v>
      </c>
      <c r="F31" s="36">
        <f t="shared" ref="F31:S31" si="23">F32+F40+F42+F45+F47</f>
        <v>10200</v>
      </c>
      <c r="G31" s="36">
        <f t="shared" si="23"/>
        <v>10440</v>
      </c>
      <c r="H31" s="36">
        <f t="shared" si="23"/>
        <v>0</v>
      </c>
      <c r="I31" s="36">
        <f t="shared" si="23"/>
        <v>8640</v>
      </c>
      <c r="J31" s="36">
        <f t="shared" si="23"/>
        <v>26980</v>
      </c>
      <c r="K31" s="36">
        <f t="shared" si="23"/>
        <v>6120</v>
      </c>
      <c r="L31" s="36">
        <f t="shared" si="23"/>
        <v>4320</v>
      </c>
      <c r="M31" s="36">
        <f t="shared" si="23"/>
        <v>3270</v>
      </c>
      <c r="N31" s="36">
        <f t="shared" si="23"/>
        <v>8480</v>
      </c>
      <c r="O31" s="36">
        <f t="shared" si="23"/>
        <v>20560</v>
      </c>
      <c r="P31" s="36">
        <f t="shared" si="23"/>
        <v>4380</v>
      </c>
      <c r="Q31" s="36">
        <f t="shared" si="23"/>
        <v>4030</v>
      </c>
      <c r="R31" s="36">
        <f t="shared" si="23"/>
        <v>3520</v>
      </c>
      <c r="S31" s="36">
        <f t="shared" si="23"/>
        <v>6560</v>
      </c>
      <c r="T31" s="37">
        <f>T32+T40+T42+T45+T47</f>
        <v>1080</v>
      </c>
      <c r="U31" s="37">
        <f>U32+U40+U42+U45+U47</f>
        <v>860</v>
      </c>
      <c r="V31" s="36">
        <f t="shared" si="1"/>
        <v>184931.20000000001</v>
      </c>
    </row>
    <row r="32" spans="1:22">
      <c r="A32" s="33" t="s">
        <v>252</v>
      </c>
      <c r="B32" s="34" t="s">
        <v>253</v>
      </c>
      <c r="C32" s="34"/>
      <c r="D32" s="35" t="s">
        <v>185</v>
      </c>
      <c r="E32" s="36">
        <f>E33+E34+E35+E36+E37+E38+E39</f>
        <v>0</v>
      </c>
      <c r="F32" s="36">
        <f t="shared" ref="F32:S32" si="24">F33+F34+F35+F36+F37+F38+F39</f>
        <v>0</v>
      </c>
      <c r="G32" s="36">
        <f t="shared" si="24"/>
        <v>0</v>
      </c>
      <c r="H32" s="36">
        <f t="shared" si="24"/>
        <v>0</v>
      </c>
      <c r="I32" s="36">
        <f t="shared" si="24"/>
        <v>0</v>
      </c>
      <c r="J32" s="36">
        <f t="shared" si="24"/>
        <v>0</v>
      </c>
      <c r="K32" s="36">
        <f t="shared" si="24"/>
        <v>0</v>
      </c>
      <c r="L32" s="36">
        <f t="shared" si="24"/>
        <v>0</v>
      </c>
      <c r="M32" s="36">
        <f t="shared" si="24"/>
        <v>0</v>
      </c>
      <c r="N32" s="36">
        <f t="shared" si="24"/>
        <v>0</v>
      </c>
      <c r="O32" s="36">
        <f t="shared" si="24"/>
        <v>0</v>
      </c>
      <c r="P32" s="36">
        <f t="shared" si="24"/>
        <v>0</v>
      </c>
      <c r="Q32" s="36">
        <f t="shared" si="24"/>
        <v>0</v>
      </c>
      <c r="R32" s="36">
        <f t="shared" si="24"/>
        <v>0</v>
      </c>
      <c r="S32" s="36">
        <f t="shared" si="24"/>
        <v>0</v>
      </c>
      <c r="T32" s="37">
        <f>T33+T34+T35+T36+T37+T38+T39</f>
        <v>0</v>
      </c>
      <c r="U32" s="37">
        <f>U33+U34+U35+U36+U37+U38+U39</f>
        <v>0</v>
      </c>
      <c r="V32" s="36">
        <f t="shared" si="1"/>
        <v>0</v>
      </c>
    </row>
    <row r="33" spans="1:22">
      <c r="A33" s="33" t="s">
        <v>254</v>
      </c>
      <c r="B33" s="34" t="s">
        <v>255</v>
      </c>
      <c r="C33" s="34" t="s">
        <v>256</v>
      </c>
      <c r="D33" s="42" t="s">
        <v>257</v>
      </c>
      <c r="E33" s="43"/>
      <c r="F33" s="43"/>
      <c r="G33" s="43"/>
      <c r="H33" s="43"/>
      <c r="I33" s="43"/>
      <c r="J33" s="43"/>
      <c r="K33" s="43"/>
      <c r="L33" s="43"/>
      <c r="M33" s="43"/>
      <c r="N33" s="43"/>
      <c r="O33" s="43"/>
      <c r="P33" s="43"/>
      <c r="Q33" s="43"/>
      <c r="R33" s="43"/>
      <c r="S33" s="43"/>
      <c r="T33" s="43"/>
      <c r="U33" s="43"/>
      <c r="V33" s="36">
        <f t="shared" si="1"/>
        <v>0</v>
      </c>
    </row>
    <row r="34" spans="1:22">
      <c r="A34" s="33" t="s">
        <v>258</v>
      </c>
      <c r="B34" s="34" t="s">
        <v>259</v>
      </c>
      <c r="C34" s="34" t="s">
        <v>256</v>
      </c>
      <c r="D34" s="42" t="s">
        <v>257</v>
      </c>
      <c r="E34" s="43"/>
      <c r="F34" s="43"/>
      <c r="G34" s="43"/>
      <c r="H34" s="43"/>
      <c r="I34" s="43"/>
      <c r="J34" s="43"/>
      <c r="K34" s="43"/>
      <c r="L34" s="43"/>
      <c r="M34" s="43"/>
      <c r="N34" s="43"/>
      <c r="O34" s="43"/>
      <c r="P34" s="43"/>
      <c r="Q34" s="43"/>
      <c r="R34" s="43"/>
      <c r="S34" s="43"/>
      <c r="T34" s="43"/>
      <c r="U34" s="43"/>
      <c r="V34" s="36">
        <f t="shared" si="1"/>
        <v>0</v>
      </c>
    </row>
    <row r="35" spans="1:22">
      <c r="A35" s="33" t="s">
        <v>260</v>
      </c>
      <c r="B35" s="34" t="s">
        <v>261</v>
      </c>
      <c r="C35" s="34" t="s">
        <v>256</v>
      </c>
      <c r="D35" s="42" t="s">
        <v>262</v>
      </c>
      <c r="E35" s="43"/>
      <c r="F35" s="43"/>
      <c r="G35" s="43"/>
      <c r="H35" s="43"/>
      <c r="I35" s="43"/>
      <c r="J35" s="43"/>
      <c r="K35" s="43"/>
      <c r="L35" s="43"/>
      <c r="M35" s="43"/>
      <c r="N35" s="43"/>
      <c r="O35" s="43"/>
      <c r="P35" s="43"/>
      <c r="Q35" s="43"/>
      <c r="R35" s="43"/>
      <c r="S35" s="43"/>
      <c r="T35" s="43"/>
      <c r="U35" s="43"/>
      <c r="V35" s="36">
        <f t="shared" si="1"/>
        <v>0</v>
      </c>
    </row>
    <row r="36" spans="1:22">
      <c r="A36" s="33" t="s">
        <v>263</v>
      </c>
      <c r="B36" s="34" t="s">
        <v>264</v>
      </c>
      <c r="C36" s="34" t="s">
        <v>256</v>
      </c>
      <c r="D36" s="42" t="s">
        <v>257</v>
      </c>
      <c r="E36" s="43"/>
      <c r="F36" s="43"/>
      <c r="G36" s="43"/>
      <c r="H36" s="43"/>
      <c r="I36" s="43"/>
      <c r="J36" s="43"/>
      <c r="K36" s="43"/>
      <c r="L36" s="43"/>
      <c r="M36" s="43"/>
      <c r="N36" s="43"/>
      <c r="O36" s="43"/>
      <c r="P36" s="43"/>
      <c r="Q36" s="43"/>
      <c r="R36" s="43"/>
      <c r="S36" s="43"/>
      <c r="T36" s="43"/>
      <c r="U36" s="43"/>
      <c r="V36" s="36">
        <f t="shared" si="1"/>
        <v>0</v>
      </c>
    </row>
    <row r="37" spans="1:22">
      <c r="A37" s="33" t="s">
        <v>265</v>
      </c>
      <c r="B37" s="34" t="s">
        <v>266</v>
      </c>
      <c r="C37" s="34" t="s">
        <v>256</v>
      </c>
      <c r="D37" s="42" t="s">
        <v>257</v>
      </c>
      <c r="E37" s="43"/>
      <c r="F37" s="43"/>
      <c r="G37" s="43"/>
      <c r="H37" s="43"/>
      <c r="I37" s="43"/>
      <c r="J37" s="43"/>
      <c r="K37" s="43"/>
      <c r="L37" s="43"/>
      <c r="M37" s="43"/>
      <c r="N37" s="43"/>
      <c r="O37" s="43"/>
      <c r="P37" s="43"/>
      <c r="Q37" s="43"/>
      <c r="R37" s="43"/>
      <c r="S37" s="43"/>
      <c r="T37" s="43"/>
      <c r="U37" s="43"/>
      <c r="V37" s="36">
        <f t="shared" si="1"/>
        <v>0</v>
      </c>
    </row>
    <row r="38" spans="1:22">
      <c r="A38" s="33" t="s">
        <v>267</v>
      </c>
      <c r="B38" s="34" t="s">
        <v>268</v>
      </c>
      <c r="C38" s="34" t="s">
        <v>256</v>
      </c>
      <c r="D38" s="42" t="s">
        <v>257</v>
      </c>
      <c r="E38" s="43"/>
      <c r="F38" s="43"/>
      <c r="G38" s="43"/>
      <c r="H38" s="43"/>
      <c r="I38" s="43"/>
      <c r="J38" s="43"/>
      <c r="K38" s="43"/>
      <c r="L38" s="43"/>
      <c r="M38" s="43"/>
      <c r="N38" s="43"/>
      <c r="O38" s="43"/>
      <c r="P38" s="43"/>
      <c r="Q38" s="43"/>
      <c r="R38" s="43"/>
      <c r="S38" s="43"/>
      <c r="T38" s="43"/>
      <c r="U38" s="43"/>
      <c r="V38" s="36">
        <f t="shared" si="1"/>
        <v>0</v>
      </c>
    </row>
    <row r="39" spans="1:22">
      <c r="A39" s="33" t="s">
        <v>269</v>
      </c>
      <c r="B39" s="34" t="s">
        <v>270</v>
      </c>
      <c r="C39" s="34" t="s">
        <v>256</v>
      </c>
      <c r="D39" s="42" t="s">
        <v>257</v>
      </c>
      <c r="E39" s="43"/>
      <c r="F39" s="43"/>
      <c r="G39" s="43"/>
      <c r="H39" s="43"/>
      <c r="I39" s="43"/>
      <c r="J39" s="43"/>
      <c r="K39" s="43"/>
      <c r="L39" s="43"/>
      <c r="M39" s="43"/>
      <c r="N39" s="43"/>
      <c r="O39" s="43"/>
      <c r="P39" s="43"/>
      <c r="Q39" s="43"/>
      <c r="R39" s="43"/>
      <c r="S39" s="43"/>
      <c r="T39" s="43"/>
      <c r="U39" s="43"/>
      <c r="V39" s="36">
        <f t="shared" si="1"/>
        <v>0</v>
      </c>
    </row>
    <row r="40" spans="1:22">
      <c r="A40" s="33" t="s">
        <v>271</v>
      </c>
      <c r="B40" s="34" t="s">
        <v>272</v>
      </c>
      <c r="C40" s="34"/>
      <c r="D40" s="35" t="s">
        <v>185</v>
      </c>
      <c r="E40" s="36">
        <f>E41</f>
        <v>0</v>
      </c>
      <c r="F40" s="36">
        <f t="shared" ref="F40:U40" si="25">F41</f>
        <v>0</v>
      </c>
      <c r="G40" s="36">
        <f t="shared" si="25"/>
        <v>0</v>
      </c>
      <c r="H40" s="36">
        <f t="shared" si="25"/>
        <v>0</v>
      </c>
      <c r="I40" s="36">
        <f t="shared" si="25"/>
        <v>0</v>
      </c>
      <c r="J40" s="36">
        <f t="shared" si="25"/>
        <v>0</v>
      </c>
      <c r="K40" s="36">
        <f t="shared" si="25"/>
        <v>0</v>
      </c>
      <c r="L40" s="36">
        <f t="shared" si="25"/>
        <v>0</v>
      </c>
      <c r="M40" s="36">
        <f t="shared" si="25"/>
        <v>0</v>
      </c>
      <c r="N40" s="36">
        <f t="shared" si="25"/>
        <v>0</v>
      </c>
      <c r="O40" s="36">
        <f t="shared" si="25"/>
        <v>0</v>
      </c>
      <c r="P40" s="36">
        <f t="shared" si="25"/>
        <v>0</v>
      </c>
      <c r="Q40" s="36">
        <f t="shared" si="25"/>
        <v>0</v>
      </c>
      <c r="R40" s="36">
        <f t="shared" si="25"/>
        <v>0</v>
      </c>
      <c r="S40" s="36">
        <f t="shared" si="25"/>
        <v>0</v>
      </c>
      <c r="T40" s="37">
        <f t="shared" si="25"/>
        <v>0</v>
      </c>
      <c r="U40" s="37">
        <f t="shared" si="25"/>
        <v>0</v>
      </c>
      <c r="V40" s="36">
        <f t="shared" si="1"/>
        <v>0</v>
      </c>
    </row>
    <row r="41" spans="1:22" s="40" customFormat="1">
      <c r="A41" s="33" t="s">
        <v>273</v>
      </c>
      <c r="B41" s="38" t="s">
        <v>274</v>
      </c>
      <c r="C41" s="38" t="s">
        <v>191</v>
      </c>
      <c r="D41" s="39" t="s">
        <v>275</v>
      </c>
      <c r="E41" s="46"/>
      <c r="F41" s="46"/>
      <c r="G41" s="46"/>
      <c r="H41" s="46"/>
      <c r="I41" s="46"/>
      <c r="J41" s="46"/>
      <c r="K41" s="46"/>
      <c r="L41" s="46"/>
      <c r="M41" s="46"/>
      <c r="N41" s="46"/>
      <c r="O41" s="46"/>
      <c r="P41" s="46"/>
      <c r="Q41" s="46"/>
      <c r="R41" s="46"/>
      <c r="S41" s="46"/>
      <c r="T41" s="46"/>
      <c r="U41" s="46"/>
      <c r="V41" s="36">
        <f t="shared" si="1"/>
        <v>0</v>
      </c>
    </row>
    <row r="42" spans="1:22">
      <c r="A42" s="33" t="s">
        <v>276</v>
      </c>
      <c r="B42" s="34" t="s">
        <v>277</v>
      </c>
      <c r="C42" s="34"/>
      <c r="D42" s="35" t="s">
        <v>185</v>
      </c>
      <c r="E42" s="36">
        <f>E43+E44</f>
        <v>0</v>
      </c>
      <c r="F42" s="36">
        <f t="shared" ref="F42:S42" si="26">F43+F44</f>
        <v>0</v>
      </c>
      <c r="G42" s="36">
        <f t="shared" si="26"/>
        <v>0</v>
      </c>
      <c r="H42" s="36">
        <f t="shared" si="26"/>
        <v>0</v>
      </c>
      <c r="I42" s="36">
        <f t="shared" si="26"/>
        <v>0</v>
      </c>
      <c r="J42" s="36">
        <f t="shared" si="26"/>
        <v>0</v>
      </c>
      <c r="K42" s="36">
        <f t="shared" si="26"/>
        <v>0</v>
      </c>
      <c r="L42" s="36">
        <f t="shared" si="26"/>
        <v>0</v>
      </c>
      <c r="M42" s="36">
        <f t="shared" si="26"/>
        <v>0</v>
      </c>
      <c r="N42" s="36">
        <f t="shared" si="26"/>
        <v>0</v>
      </c>
      <c r="O42" s="36">
        <f t="shared" si="26"/>
        <v>0</v>
      </c>
      <c r="P42" s="36">
        <f t="shared" si="26"/>
        <v>0</v>
      </c>
      <c r="Q42" s="36">
        <f t="shared" si="26"/>
        <v>0</v>
      </c>
      <c r="R42" s="36">
        <f t="shared" si="26"/>
        <v>0</v>
      </c>
      <c r="S42" s="36">
        <f t="shared" si="26"/>
        <v>0</v>
      </c>
      <c r="T42" s="37">
        <f>T43+T44</f>
        <v>0</v>
      </c>
      <c r="U42" s="37">
        <f>U43+U44</f>
        <v>0</v>
      </c>
      <c r="V42" s="36">
        <f t="shared" si="1"/>
        <v>0</v>
      </c>
    </row>
    <row r="43" spans="1:22" s="40" customFormat="1">
      <c r="A43" s="33" t="s">
        <v>278</v>
      </c>
      <c r="B43" s="38" t="s">
        <v>279</v>
      </c>
      <c r="C43" s="38" t="s">
        <v>191</v>
      </c>
      <c r="D43" s="39" t="s">
        <v>262</v>
      </c>
      <c r="E43" s="46"/>
      <c r="F43" s="46"/>
      <c r="G43" s="46"/>
      <c r="H43" s="46"/>
      <c r="I43" s="46"/>
      <c r="J43" s="46"/>
      <c r="K43" s="46"/>
      <c r="L43" s="46"/>
      <c r="M43" s="46"/>
      <c r="N43" s="46"/>
      <c r="O43" s="46"/>
      <c r="P43" s="46"/>
      <c r="Q43" s="46"/>
      <c r="R43" s="46"/>
      <c r="S43" s="46"/>
      <c r="T43" s="46"/>
      <c r="U43" s="46"/>
      <c r="V43" s="36">
        <f t="shared" si="1"/>
        <v>0</v>
      </c>
    </row>
    <row r="44" spans="1:22" s="40" customFormat="1">
      <c r="A44" s="33" t="s">
        <v>280</v>
      </c>
      <c r="B44" s="38" t="s">
        <v>281</v>
      </c>
      <c r="C44" s="38" t="s">
        <v>191</v>
      </c>
      <c r="D44" s="39" t="s">
        <v>262</v>
      </c>
      <c r="E44" s="46"/>
      <c r="F44" s="46"/>
      <c r="G44" s="46"/>
      <c r="H44" s="46"/>
      <c r="I44" s="46"/>
      <c r="J44" s="46"/>
      <c r="K44" s="46"/>
      <c r="L44" s="46"/>
      <c r="M44" s="46"/>
      <c r="N44" s="46"/>
      <c r="O44" s="46"/>
      <c r="P44" s="46"/>
      <c r="Q44" s="46"/>
      <c r="R44" s="46"/>
      <c r="S44" s="46"/>
      <c r="T44" s="46"/>
      <c r="U44" s="46"/>
      <c r="V44" s="36">
        <f t="shared" si="1"/>
        <v>0</v>
      </c>
    </row>
    <row r="45" spans="1:22">
      <c r="A45" s="33" t="s">
        <v>282</v>
      </c>
      <c r="B45" s="34" t="s">
        <v>283</v>
      </c>
      <c r="C45" s="34"/>
      <c r="D45" s="35" t="s">
        <v>185</v>
      </c>
      <c r="E45" s="36">
        <f>E46</f>
        <v>22680</v>
      </c>
      <c r="F45" s="36">
        <f t="shared" ref="F45:U45" si="27">F46</f>
        <v>7200</v>
      </c>
      <c r="G45" s="36">
        <f t="shared" si="27"/>
        <v>10440</v>
      </c>
      <c r="H45" s="36">
        <f t="shared" si="27"/>
        <v>0</v>
      </c>
      <c r="I45" s="36">
        <f t="shared" si="27"/>
        <v>6840</v>
      </c>
      <c r="J45" s="36">
        <f t="shared" si="27"/>
        <v>22680</v>
      </c>
      <c r="K45" s="36">
        <f t="shared" si="27"/>
        <v>6120</v>
      </c>
      <c r="L45" s="36">
        <f t="shared" si="27"/>
        <v>4320</v>
      </c>
      <c r="M45" s="36">
        <f t="shared" si="27"/>
        <v>2520</v>
      </c>
      <c r="N45" s="36">
        <f t="shared" si="27"/>
        <v>6480</v>
      </c>
      <c r="O45" s="36">
        <f t="shared" si="27"/>
        <v>16560</v>
      </c>
      <c r="P45" s="36">
        <f t="shared" si="27"/>
        <v>2880</v>
      </c>
      <c r="Q45" s="36">
        <f t="shared" si="27"/>
        <v>2880</v>
      </c>
      <c r="R45" s="36">
        <f t="shared" si="27"/>
        <v>2520</v>
      </c>
      <c r="S45" s="36">
        <f t="shared" si="27"/>
        <v>5760</v>
      </c>
      <c r="T45" s="37">
        <f t="shared" si="27"/>
        <v>1080</v>
      </c>
      <c r="U45" s="37">
        <f t="shared" si="27"/>
        <v>360</v>
      </c>
      <c r="V45" s="36">
        <f t="shared" si="1"/>
        <v>121320</v>
      </c>
    </row>
    <row r="46" spans="1:22">
      <c r="A46" s="33" t="s">
        <v>284</v>
      </c>
      <c r="B46" s="34" t="s">
        <v>285</v>
      </c>
      <c r="C46" s="34" t="s">
        <v>191</v>
      </c>
      <c r="D46" s="35" t="s">
        <v>192</v>
      </c>
      <c r="E46" s="37">
        <f>1890*12</f>
        <v>22680</v>
      </c>
      <c r="F46" s="37">
        <f>600*12</f>
        <v>7200</v>
      </c>
      <c r="G46" s="37">
        <f>870*12</f>
        <v>10440</v>
      </c>
      <c r="H46" s="37"/>
      <c r="I46" s="37">
        <f>570*12</f>
        <v>6840</v>
      </c>
      <c r="J46" s="37">
        <f>1890*12</f>
        <v>22680</v>
      </c>
      <c r="K46" s="37">
        <f>510*12</f>
        <v>6120</v>
      </c>
      <c r="L46" s="37">
        <f>360*12</f>
        <v>4320</v>
      </c>
      <c r="M46" s="37">
        <f>210*12</f>
        <v>2520</v>
      </c>
      <c r="N46" s="37">
        <f>540*12</f>
        <v>6480</v>
      </c>
      <c r="O46" s="37">
        <f>1380*12</f>
        <v>16560</v>
      </c>
      <c r="P46" s="37">
        <f>240*12</f>
        <v>2880</v>
      </c>
      <c r="Q46" s="37">
        <f>240*12</f>
        <v>2880</v>
      </c>
      <c r="R46" s="37">
        <f>210*12</f>
        <v>2520</v>
      </c>
      <c r="S46" s="37">
        <f>480*12</f>
        <v>5760</v>
      </c>
      <c r="T46" s="37">
        <f>90*12</f>
        <v>1080</v>
      </c>
      <c r="U46" s="37">
        <f>30*12</f>
        <v>360</v>
      </c>
      <c r="V46" s="36">
        <f t="shared" si="1"/>
        <v>121320</v>
      </c>
    </row>
    <row r="47" spans="1:22">
      <c r="A47" s="33" t="s">
        <v>286</v>
      </c>
      <c r="B47" s="34" t="s">
        <v>287</v>
      </c>
      <c r="C47" s="34"/>
      <c r="D47" s="35" t="s">
        <v>185</v>
      </c>
      <c r="E47" s="36">
        <f>SUM(E48:E51)</f>
        <v>42811.199999999997</v>
      </c>
      <c r="F47" s="36">
        <f t="shared" ref="F47:S47" si="28">SUM(F48:F51)</f>
        <v>3000</v>
      </c>
      <c r="G47" s="36">
        <f t="shared" si="28"/>
        <v>0</v>
      </c>
      <c r="H47" s="36">
        <f t="shared" si="28"/>
        <v>0</v>
      </c>
      <c r="I47" s="36">
        <f t="shared" si="28"/>
        <v>1800</v>
      </c>
      <c r="J47" s="36">
        <f t="shared" si="28"/>
        <v>4300</v>
      </c>
      <c r="K47" s="36">
        <f t="shared" si="28"/>
        <v>0</v>
      </c>
      <c r="L47" s="36">
        <f t="shared" si="28"/>
        <v>0</v>
      </c>
      <c r="M47" s="36">
        <f t="shared" si="28"/>
        <v>750</v>
      </c>
      <c r="N47" s="36">
        <f t="shared" si="28"/>
        <v>2000</v>
      </c>
      <c r="O47" s="36">
        <f t="shared" si="28"/>
        <v>4000</v>
      </c>
      <c r="P47" s="36">
        <f t="shared" si="28"/>
        <v>1500</v>
      </c>
      <c r="Q47" s="36">
        <f t="shared" si="28"/>
        <v>1150</v>
      </c>
      <c r="R47" s="36">
        <f t="shared" si="28"/>
        <v>1000</v>
      </c>
      <c r="S47" s="36">
        <f t="shared" si="28"/>
        <v>800</v>
      </c>
      <c r="T47" s="37">
        <f>SUM(T48:T51)</f>
        <v>0</v>
      </c>
      <c r="U47" s="37">
        <f>SUM(U48:U51)</f>
        <v>500</v>
      </c>
      <c r="V47" s="36">
        <f t="shared" si="1"/>
        <v>63611.199999999997</v>
      </c>
    </row>
    <row r="48" spans="1:22">
      <c r="A48" s="33" t="s">
        <v>288</v>
      </c>
      <c r="B48" s="34" t="s">
        <v>289</v>
      </c>
      <c r="C48" s="34" t="s">
        <v>191</v>
      </c>
      <c r="D48" s="35" t="s">
        <v>290</v>
      </c>
      <c r="E48" s="37">
        <v>4100</v>
      </c>
      <c r="F48" s="37">
        <v>3000</v>
      </c>
      <c r="G48" s="37"/>
      <c r="H48" s="37"/>
      <c r="I48" s="37">
        <v>1800</v>
      </c>
      <c r="J48" s="37">
        <v>4300</v>
      </c>
      <c r="K48" s="37"/>
      <c r="L48" s="37"/>
      <c r="M48" s="37">
        <v>750</v>
      </c>
      <c r="N48" s="37">
        <v>2000</v>
      </c>
      <c r="O48" s="37">
        <v>4000</v>
      </c>
      <c r="P48" s="37">
        <v>1500</v>
      </c>
      <c r="Q48" s="37">
        <v>1150</v>
      </c>
      <c r="R48" s="37">
        <v>1000</v>
      </c>
      <c r="S48" s="37">
        <v>800</v>
      </c>
      <c r="T48" s="37"/>
      <c r="U48" s="37">
        <f>50*10</f>
        <v>500</v>
      </c>
      <c r="V48" s="36">
        <f t="shared" si="1"/>
        <v>24900</v>
      </c>
    </row>
    <row r="49" spans="1:24" s="40" customFormat="1">
      <c r="A49" s="33" t="s">
        <v>291</v>
      </c>
      <c r="B49" s="38" t="s">
        <v>292</v>
      </c>
      <c r="C49" s="38" t="s">
        <v>191</v>
      </c>
      <c r="D49" s="39" t="s">
        <v>293</v>
      </c>
      <c r="E49" s="46"/>
      <c r="F49" s="46"/>
      <c r="G49" s="46"/>
      <c r="H49" s="46"/>
      <c r="I49" s="46"/>
      <c r="J49" s="46"/>
      <c r="K49" s="46"/>
      <c r="L49" s="46"/>
      <c r="M49" s="46"/>
      <c r="N49" s="46"/>
      <c r="O49" s="46"/>
      <c r="P49" s="46"/>
      <c r="Q49" s="46"/>
      <c r="R49" s="46"/>
      <c r="S49" s="46"/>
      <c r="T49" s="46"/>
      <c r="U49" s="46"/>
      <c r="V49" s="36">
        <f t="shared" si="1"/>
        <v>0</v>
      </c>
    </row>
    <row r="50" spans="1:24" s="40" customFormat="1">
      <c r="A50" s="33" t="s">
        <v>294</v>
      </c>
      <c r="B50" s="38" t="s">
        <v>295</v>
      </c>
      <c r="C50" s="38" t="s">
        <v>191</v>
      </c>
      <c r="D50" s="39" t="s">
        <v>293</v>
      </c>
      <c r="E50" s="46"/>
      <c r="F50" s="46"/>
      <c r="G50" s="46"/>
      <c r="H50" s="46"/>
      <c r="I50" s="46"/>
      <c r="J50" s="46"/>
      <c r="K50" s="46"/>
      <c r="L50" s="46"/>
      <c r="M50" s="46"/>
      <c r="N50" s="46"/>
      <c r="O50" s="46"/>
      <c r="P50" s="46"/>
      <c r="Q50" s="46"/>
      <c r="R50" s="46"/>
      <c r="S50" s="46"/>
      <c r="T50" s="46"/>
      <c r="U50" s="46"/>
      <c r="V50" s="36">
        <f t="shared" si="1"/>
        <v>0</v>
      </c>
    </row>
    <row r="51" spans="1:24" ht="33.75">
      <c r="A51" s="33" t="s">
        <v>296</v>
      </c>
      <c r="B51" s="34" t="s">
        <v>297</v>
      </c>
      <c r="C51" s="34" t="s">
        <v>191</v>
      </c>
      <c r="D51" s="42" t="s">
        <v>298</v>
      </c>
      <c r="E51" s="43">
        <v>38711.199999999997</v>
      </c>
      <c r="F51" s="43"/>
      <c r="G51" s="43"/>
      <c r="H51" s="43"/>
      <c r="I51" s="43"/>
      <c r="J51" s="43"/>
      <c r="K51" s="43"/>
      <c r="L51" s="43"/>
      <c r="M51" s="43"/>
      <c r="N51" s="43"/>
      <c r="O51" s="43"/>
      <c r="P51" s="43"/>
      <c r="Q51" s="43"/>
      <c r="R51" s="43"/>
      <c r="S51" s="43"/>
      <c r="T51" s="43"/>
      <c r="U51" s="43"/>
      <c r="V51" s="36">
        <f t="shared" si="1"/>
        <v>38711.199999999997</v>
      </c>
    </row>
    <row r="52" spans="1:24">
      <c r="A52" s="33" t="s">
        <v>299</v>
      </c>
      <c r="B52" s="34" t="s">
        <v>300</v>
      </c>
      <c r="C52" s="34"/>
      <c r="D52" s="35" t="s">
        <v>185</v>
      </c>
      <c r="E52" s="36">
        <f>E53+E71+E73+E75+E77+E79+E81+E83+E85+E93</f>
        <v>10281355.050000001</v>
      </c>
      <c r="F52" s="36">
        <f t="shared" ref="F52:S52" si="29">F53+F71+F73+F75+F77+F79+F81+F83+F85+F93</f>
        <v>3643047.2</v>
      </c>
      <c r="G52" s="36">
        <f t="shared" si="29"/>
        <v>3262861.3</v>
      </c>
      <c r="H52" s="36">
        <f t="shared" si="29"/>
        <v>1983923.4</v>
      </c>
      <c r="I52" s="36">
        <f t="shared" si="29"/>
        <v>4172641.95</v>
      </c>
      <c r="J52" s="36">
        <f t="shared" si="29"/>
        <v>16622901.25</v>
      </c>
      <c r="K52" s="36">
        <f t="shared" si="29"/>
        <v>2798653.45</v>
      </c>
      <c r="L52" s="36">
        <f t="shared" si="29"/>
        <v>6849106.2999999998</v>
      </c>
      <c r="M52" s="36">
        <f t="shared" si="29"/>
        <v>2766909.7</v>
      </c>
      <c r="N52" s="36">
        <f t="shared" si="29"/>
        <v>6126289.75</v>
      </c>
      <c r="O52" s="36">
        <f t="shared" si="29"/>
        <v>8487600.5999999996</v>
      </c>
      <c r="P52" s="36">
        <f t="shared" si="29"/>
        <v>2031590</v>
      </c>
      <c r="Q52" s="36">
        <f t="shared" si="29"/>
        <v>1646417</v>
      </c>
      <c r="R52" s="36">
        <f t="shared" si="29"/>
        <v>1431906.8</v>
      </c>
      <c r="S52" s="36">
        <f t="shared" si="29"/>
        <v>1960694.56</v>
      </c>
      <c r="T52" s="37">
        <f>T53+T71+T73+T75+T77+T79+T81+T83+T85+T93</f>
        <v>402848</v>
      </c>
      <c r="U52" s="37">
        <f>U53+U71+U73+U75+U77+U79+U81+U83+U85+U93</f>
        <v>980251.20000000007</v>
      </c>
      <c r="V52" s="36">
        <f t="shared" si="1"/>
        <v>75448997.510000005</v>
      </c>
      <c r="X52" s="30">
        <v>74325237.510000005</v>
      </c>
    </row>
    <row r="53" spans="1:24">
      <c r="A53" s="33" t="s">
        <v>301</v>
      </c>
      <c r="B53" s="34" t="s">
        <v>302</v>
      </c>
      <c r="C53" s="34"/>
      <c r="D53" s="35" t="s">
        <v>303</v>
      </c>
      <c r="E53" s="36">
        <f>SUM(E54:E70)</f>
        <v>7128700</v>
      </c>
      <c r="F53" s="36">
        <f t="shared" ref="F53:S53" si="30">SUM(F54:F70)</f>
        <v>2402620</v>
      </c>
      <c r="G53" s="36">
        <f t="shared" si="30"/>
        <v>2071560</v>
      </c>
      <c r="H53" s="36">
        <f t="shared" si="30"/>
        <v>1703650</v>
      </c>
      <c r="I53" s="36">
        <f t="shared" si="30"/>
        <v>3197890</v>
      </c>
      <c r="J53" s="36">
        <f t="shared" si="30"/>
        <v>13131530</v>
      </c>
      <c r="K53" s="36">
        <f t="shared" si="30"/>
        <v>2012120</v>
      </c>
      <c r="L53" s="36">
        <f t="shared" si="30"/>
        <v>5474560</v>
      </c>
      <c r="M53" s="36">
        <f t="shared" si="30"/>
        <v>2029080</v>
      </c>
      <c r="N53" s="36">
        <f t="shared" si="30"/>
        <v>4893110</v>
      </c>
      <c r="O53" s="36">
        <f t="shared" si="30"/>
        <v>6417420</v>
      </c>
      <c r="P53" s="36">
        <f t="shared" si="30"/>
        <v>1359260</v>
      </c>
      <c r="Q53" s="36">
        <f t="shared" si="30"/>
        <v>1212960</v>
      </c>
      <c r="R53" s="36">
        <f t="shared" si="30"/>
        <v>1099080</v>
      </c>
      <c r="S53" s="36">
        <f t="shared" si="30"/>
        <v>1361920</v>
      </c>
      <c r="T53" s="37">
        <f>SUM(T54:T70)</f>
        <v>224000</v>
      </c>
      <c r="U53" s="37">
        <f>SUM(U54:U70)</f>
        <v>798000</v>
      </c>
      <c r="V53" s="36">
        <f t="shared" si="1"/>
        <v>56517460</v>
      </c>
    </row>
    <row r="54" spans="1:24">
      <c r="A54" s="33" t="s">
        <v>304</v>
      </c>
      <c r="B54" s="34" t="s">
        <v>305</v>
      </c>
      <c r="C54" s="34" t="s">
        <v>191</v>
      </c>
      <c r="D54" s="47"/>
      <c r="E54" s="37">
        <v>500000</v>
      </c>
      <c r="F54" s="37">
        <v>430000</v>
      </c>
      <c r="G54" s="37">
        <v>130733</v>
      </c>
      <c r="H54" s="37">
        <v>100000</v>
      </c>
      <c r="I54" s="37">
        <v>50000</v>
      </c>
      <c r="J54" s="37">
        <f>500000+508810.5/2</f>
        <v>754405.25</v>
      </c>
      <c r="K54" s="37">
        <f>246700+78166</f>
        <v>324866</v>
      </c>
      <c r="L54" s="37">
        <f>360000+212344/2</f>
        <v>466172</v>
      </c>
      <c r="M54" s="37">
        <f>13000+295923+78166</f>
        <v>387089</v>
      </c>
      <c r="N54" s="37">
        <f>450000+190085.5/2</f>
        <v>545042.75</v>
      </c>
      <c r="O54" s="37">
        <v>700000</v>
      </c>
      <c r="P54" s="37">
        <v>200000</v>
      </c>
      <c r="Q54" s="37">
        <v>150000</v>
      </c>
      <c r="R54" s="37">
        <v>120000</v>
      </c>
      <c r="S54" s="37">
        <v>43144</v>
      </c>
      <c r="T54" s="37">
        <v>21000</v>
      </c>
      <c r="U54" s="37">
        <v>94084</v>
      </c>
      <c r="V54" s="36">
        <f t="shared" si="1"/>
        <v>5016536</v>
      </c>
    </row>
    <row r="55" spans="1:24">
      <c r="A55" s="33" t="s">
        <v>306</v>
      </c>
      <c r="B55" s="34" t="s">
        <v>307</v>
      </c>
      <c r="C55" s="34" t="s">
        <v>191</v>
      </c>
      <c r="D55" s="47"/>
      <c r="E55" s="37">
        <v>400000</v>
      </c>
      <c r="F55" s="37">
        <v>70000</v>
      </c>
      <c r="G55" s="37">
        <v>76317</v>
      </c>
      <c r="H55" s="37">
        <v>50000</v>
      </c>
      <c r="I55" s="37">
        <v>50000</v>
      </c>
      <c r="J55" s="37">
        <v>500000</v>
      </c>
      <c r="K55" s="37">
        <v>130000</v>
      </c>
      <c r="L55" s="37">
        <v>120000</v>
      </c>
      <c r="M55" s="37">
        <v>75000</v>
      </c>
      <c r="N55" s="37">
        <v>90000</v>
      </c>
      <c r="O55" s="37">
        <v>150000</v>
      </c>
      <c r="P55" s="37">
        <v>2000</v>
      </c>
      <c r="Q55" s="37">
        <v>10000</v>
      </c>
      <c r="R55" s="37">
        <v>5000</v>
      </c>
      <c r="S55" s="37">
        <v>1000</v>
      </c>
      <c r="T55" s="37">
        <v>12000</v>
      </c>
      <c r="U55" s="37">
        <v>12000</v>
      </c>
      <c r="V55" s="36">
        <f t="shared" si="1"/>
        <v>1753317</v>
      </c>
    </row>
    <row r="56" spans="1:24">
      <c r="A56" s="33" t="s">
        <v>308</v>
      </c>
      <c r="B56" s="34" t="s">
        <v>309</v>
      </c>
      <c r="C56" s="34" t="s">
        <v>191</v>
      </c>
      <c r="D56" s="47"/>
      <c r="E56" s="37">
        <v>100000</v>
      </c>
      <c r="F56" s="37">
        <v>0</v>
      </c>
      <c r="G56" s="37">
        <v>25000</v>
      </c>
      <c r="H56" s="37">
        <v>0</v>
      </c>
      <c r="I56" s="37">
        <v>20000</v>
      </c>
      <c r="J56" s="37">
        <v>500000</v>
      </c>
      <c r="K56" s="37">
        <v>8000</v>
      </c>
      <c r="L56" s="37">
        <v>10000</v>
      </c>
      <c r="M56" s="37">
        <v>20000</v>
      </c>
      <c r="N56" s="37">
        <v>10000</v>
      </c>
      <c r="O56" s="37">
        <v>30000</v>
      </c>
      <c r="P56" s="37">
        <v>5000</v>
      </c>
      <c r="Q56" s="37">
        <v>10000</v>
      </c>
      <c r="R56" s="37">
        <v>10000</v>
      </c>
      <c r="S56" s="37">
        <v>1000</v>
      </c>
      <c r="T56" s="37">
        <v>3000</v>
      </c>
      <c r="U56" s="37"/>
      <c r="V56" s="36">
        <f t="shared" si="1"/>
        <v>752000</v>
      </c>
    </row>
    <row r="57" spans="1:24">
      <c r="A57" s="33" t="s">
        <v>310</v>
      </c>
      <c r="B57" s="34" t="s">
        <v>311</v>
      </c>
      <c r="C57" s="34" t="s">
        <v>191</v>
      </c>
      <c r="D57" s="47"/>
      <c r="E57" s="37">
        <v>300000</v>
      </c>
      <c r="F57" s="37">
        <v>100000</v>
      </c>
      <c r="G57" s="37">
        <v>60000</v>
      </c>
      <c r="H57" s="37">
        <v>30000</v>
      </c>
      <c r="I57" s="37">
        <v>120000</v>
      </c>
      <c r="J57" s="37">
        <v>100000</v>
      </c>
      <c r="K57" s="37">
        <v>120000</v>
      </c>
      <c r="L57" s="37">
        <v>180000</v>
      </c>
      <c r="M57" s="37">
        <v>35000</v>
      </c>
      <c r="N57" s="37">
        <v>150000</v>
      </c>
      <c r="O57" s="37">
        <v>120000</v>
      </c>
      <c r="P57" s="37">
        <v>40000</v>
      </c>
      <c r="Q57" s="37">
        <v>20000</v>
      </c>
      <c r="R57" s="37">
        <v>12500</v>
      </c>
      <c r="S57" s="37">
        <v>55000</v>
      </c>
      <c r="T57" s="37">
        <v>3000</v>
      </c>
      <c r="U57" s="37">
        <v>30000</v>
      </c>
      <c r="V57" s="36">
        <f t="shared" si="1"/>
        <v>1475500</v>
      </c>
    </row>
    <row r="58" spans="1:24">
      <c r="A58" s="33" t="s">
        <v>312</v>
      </c>
      <c r="B58" s="34" t="s">
        <v>313</v>
      </c>
      <c r="C58" s="34" t="s">
        <v>191</v>
      </c>
      <c r="D58" s="47"/>
      <c r="E58" s="37">
        <v>350000</v>
      </c>
      <c r="F58" s="37">
        <v>200000</v>
      </c>
      <c r="G58" s="37">
        <v>100000</v>
      </c>
      <c r="H58" s="37">
        <v>150000</v>
      </c>
      <c r="I58" s="37">
        <v>200000</v>
      </c>
      <c r="J58" s="37">
        <v>500000</v>
      </c>
      <c r="K58" s="37">
        <v>140000</v>
      </c>
      <c r="L58" s="37">
        <v>240000</v>
      </c>
      <c r="M58" s="37">
        <v>150000</v>
      </c>
      <c r="N58" s="37">
        <v>330000</v>
      </c>
      <c r="O58" s="37">
        <v>400000</v>
      </c>
      <c r="P58" s="37">
        <v>100000</v>
      </c>
      <c r="Q58" s="37">
        <v>120000</v>
      </c>
      <c r="R58" s="37">
        <v>68000</v>
      </c>
      <c r="S58" s="37">
        <v>120000</v>
      </c>
      <c r="T58" s="37"/>
      <c r="U58" s="37">
        <v>50000</v>
      </c>
      <c r="V58" s="36">
        <f t="shared" si="1"/>
        <v>3218000</v>
      </c>
    </row>
    <row r="59" spans="1:24">
      <c r="A59" s="33" t="s">
        <v>314</v>
      </c>
      <c r="B59" s="34" t="s">
        <v>315</v>
      </c>
      <c r="C59" s="34" t="s">
        <v>191</v>
      </c>
      <c r="D59" s="47"/>
      <c r="E59" s="37">
        <v>100000</v>
      </c>
      <c r="F59" s="37">
        <v>60000</v>
      </c>
      <c r="G59" s="37">
        <v>20000</v>
      </c>
      <c r="H59" s="37">
        <v>6000</v>
      </c>
      <c r="I59" s="37">
        <v>70000</v>
      </c>
      <c r="J59" s="37">
        <v>100000</v>
      </c>
      <c r="K59" s="37">
        <v>5000</v>
      </c>
      <c r="L59" s="37">
        <v>120000</v>
      </c>
      <c r="M59" s="37">
        <v>50000</v>
      </c>
      <c r="N59" s="37">
        <v>50000</v>
      </c>
      <c r="O59" s="37">
        <v>50000</v>
      </c>
      <c r="P59" s="37">
        <v>30000</v>
      </c>
      <c r="Q59" s="37">
        <v>30000</v>
      </c>
      <c r="R59" s="37">
        <v>16000</v>
      </c>
      <c r="S59" s="37">
        <v>28000</v>
      </c>
      <c r="T59" s="37">
        <v>2000</v>
      </c>
      <c r="U59" s="37">
        <v>20000</v>
      </c>
      <c r="V59" s="36">
        <f t="shared" si="1"/>
        <v>757000</v>
      </c>
    </row>
    <row r="60" spans="1:24">
      <c r="A60" s="33" t="s">
        <v>316</v>
      </c>
      <c r="B60" s="34" t="s">
        <v>317</v>
      </c>
      <c r="C60" s="34" t="s">
        <v>191</v>
      </c>
      <c r="D60" s="47"/>
      <c r="E60" s="37">
        <v>100000</v>
      </c>
      <c r="F60" s="37">
        <v>30000</v>
      </c>
      <c r="G60" s="37">
        <v>5000</v>
      </c>
      <c r="H60" s="37">
        <v>50000</v>
      </c>
      <c r="I60" s="37">
        <v>2000</v>
      </c>
      <c r="J60" s="37">
        <v>100000</v>
      </c>
      <c r="K60" s="37">
        <v>3000</v>
      </c>
      <c r="L60" s="37">
        <v>20000</v>
      </c>
      <c r="M60" s="37">
        <v>20000</v>
      </c>
      <c r="N60" s="37">
        <v>35000</v>
      </c>
      <c r="O60" s="37">
        <v>20000</v>
      </c>
      <c r="P60" s="37">
        <v>5000</v>
      </c>
      <c r="Q60" s="37">
        <v>20000</v>
      </c>
      <c r="R60" s="37">
        <v>2000</v>
      </c>
      <c r="S60" s="37">
        <v>2000</v>
      </c>
      <c r="T60" s="37">
        <v>10000</v>
      </c>
      <c r="U60" s="37">
        <v>5000</v>
      </c>
      <c r="V60" s="36">
        <f t="shared" si="1"/>
        <v>429000</v>
      </c>
    </row>
    <row r="61" spans="1:24">
      <c r="A61" s="33" t="s">
        <v>318</v>
      </c>
      <c r="B61" s="34" t="s">
        <v>319</v>
      </c>
      <c r="C61" s="34" t="s">
        <v>191</v>
      </c>
      <c r="D61" s="47"/>
      <c r="E61" s="37">
        <v>550000</v>
      </c>
      <c r="F61" s="37">
        <v>160000</v>
      </c>
      <c r="G61" s="37">
        <v>150000</v>
      </c>
      <c r="H61" s="37">
        <v>150000</v>
      </c>
      <c r="I61" s="37">
        <v>30000</v>
      </c>
      <c r="J61" s="37">
        <v>1500000</v>
      </c>
      <c r="K61" s="37">
        <v>350000</v>
      </c>
      <c r="L61" s="37">
        <v>600000</v>
      </c>
      <c r="M61" s="37">
        <v>250000</v>
      </c>
      <c r="N61" s="37">
        <v>640989</v>
      </c>
      <c r="O61" s="37">
        <v>500000</v>
      </c>
      <c r="P61" s="37">
        <v>120000</v>
      </c>
      <c r="Q61" s="37">
        <v>100000</v>
      </c>
      <c r="R61" s="37">
        <v>120000</v>
      </c>
      <c r="S61" s="37">
        <v>380000</v>
      </c>
      <c r="T61" s="37">
        <v>20000</v>
      </c>
      <c r="U61" s="37">
        <v>100000</v>
      </c>
      <c r="V61" s="36">
        <f t="shared" si="1"/>
        <v>5720989</v>
      </c>
    </row>
    <row r="62" spans="1:24">
      <c r="A62" s="33" t="s">
        <v>320</v>
      </c>
      <c r="B62" s="34" t="s">
        <v>321</v>
      </c>
      <c r="C62" s="34" t="s">
        <v>191</v>
      </c>
      <c r="D62" s="47"/>
      <c r="E62" s="37"/>
      <c r="F62" s="37"/>
      <c r="G62" s="37"/>
      <c r="H62" s="37"/>
      <c r="I62" s="37"/>
      <c r="J62" s="37"/>
      <c r="K62" s="37"/>
      <c r="L62" s="37"/>
      <c r="M62" s="37"/>
      <c r="N62" s="37"/>
      <c r="O62" s="37"/>
      <c r="P62" s="37"/>
      <c r="Q62" s="37"/>
      <c r="R62" s="37"/>
      <c r="S62" s="37"/>
      <c r="T62" s="37"/>
      <c r="U62" s="37"/>
      <c r="V62" s="36">
        <f t="shared" si="1"/>
        <v>0</v>
      </c>
    </row>
    <row r="63" spans="1:24">
      <c r="A63" s="33" t="s">
        <v>322</v>
      </c>
      <c r="B63" s="34" t="s">
        <v>323</v>
      </c>
      <c r="C63" s="34" t="s">
        <v>324</v>
      </c>
      <c r="D63" s="47" t="s">
        <v>325</v>
      </c>
      <c r="E63" s="37">
        <v>356435</v>
      </c>
      <c r="F63" s="37">
        <v>120131</v>
      </c>
      <c r="G63" s="37">
        <v>103578</v>
      </c>
      <c r="H63" s="37">
        <v>56458</v>
      </c>
      <c r="I63" s="37">
        <v>159894.5</v>
      </c>
      <c r="J63" s="37">
        <f>629797+26779.5</f>
        <v>656576.5</v>
      </c>
      <c r="K63" s="37">
        <f>96492+4114</f>
        <v>100606</v>
      </c>
      <c r="L63" s="37">
        <f>262552+11176</f>
        <v>273728</v>
      </c>
      <c r="M63" s="37">
        <f>101454</f>
        <v>101454</v>
      </c>
      <c r="N63" s="37">
        <v>244655.5</v>
      </c>
      <c r="O63" s="37">
        <v>314753</v>
      </c>
      <c r="P63" s="37">
        <v>67697</v>
      </c>
      <c r="Q63" s="37">
        <v>60648</v>
      </c>
      <c r="R63" s="37">
        <v>54954</v>
      </c>
      <c r="S63" s="37">
        <v>62776</v>
      </c>
      <c r="T63" s="37">
        <v>11200</v>
      </c>
      <c r="U63" s="37">
        <v>6916</v>
      </c>
      <c r="V63" s="36">
        <f t="shared" si="1"/>
        <v>2752460.5</v>
      </c>
      <c r="X63" s="30">
        <v>2696272.5</v>
      </c>
    </row>
    <row r="64" spans="1:24">
      <c r="A64" s="33" t="s">
        <v>326</v>
      </c>
      <c r="B64" s="34" t="s">
        <v>327</v>
      </c>
      <c r="C64" s="34" t="s">
        <v>191</v>
      </c>
      <c r="D64" s="47"/>
      <c r="E64" s="37">
        <v>6000</v>
      </c>
      <c r="F64" s="37">
        <v>8000</v>
      </c>
      <c r="G64" s="37">
        <v>3000</v>
      </c>
      <c r="H64" s="37">
        <v>6000</v>
      </c>
      <c r="I64" s="37">
        <v>2000</v>
      </c>
      <c r="J64" s="37">
        <v>82000</v>
      </c>
      <c r="K64" s="37">
        <v>15000</v>
      </c>
      <c r="L64" s="37">
        <v>12000</v>
      </c>
      <c r="M64" s="37">
        <v>4900</v>
      </c>
      <c r="N64" s="37">
        <v>22380</v>
      </c>
      <c r="O64" s="37">
        <v>1000</v>
      </c>
      <c r="P64" s="37">
        <v>9800</v>
      </c>
      <c r="Q64" s="37">
        <v>6000</v>
      </c>
      <c r="R64" s="37">
        <v>8420</v>
      </c>
      <c r="S64" s="37">
        <v>6000</v>
      </c>
      <c r="T64" s="37">
        <v>5000</v>
      </c>
      <c r="U64" s="37">
        <v>10000</v>
      </c>
      <c r="V64" s="36">
        <f t="shared" si="1"/>
        <v>207500</v>
      </c>
    </row>
    <row r="65" spans="1:22">
      <c r="A65" s="33" t="s">
        <v>328</v>
      </c>
      <c r="B65" s="34" t="s">
        <v>329</v>
      </c>
      <c r="C65" s="34" t="s">
        <v>191</v>
      </c>
      <c r="D65" s="47"/>
      <c r="E65" s="37">
        <v>500000</v>
      </c>
      <c r="F65" s="37">
        <v>150000</v>
      </c>
      <c r="G65" s="37">
        <v>110000</v>
      </c>
      <c r="H65" s="37">
        <v>100000</v>
      </c>
      <c r="I65" s="37">
        <v>30000</v>
      </c>
      <c r="J65" s="37">
        <v>1500000</v>
      </c>
      <c r="K65" s="37">
        <v>180000</v>
      </c>
      <c r="L65" s="37">
        <v>350000</v>
      </c>
      <c r="M65" s="37">
        <v>80000</v>
      </c>
      <c r="N65" s="37">
        <v>330000</v>
      </c>
      <c r="O65" s="37">
        <v>1500000</v>
      </c>
      <c r="P65" s="37">
        <v>250000</v>
      </c>
      <c r="Q65" s="37">
        <v>100000</v>
      </c>
      <c r="R65" s="37">
        <v>150000</v>
      </c>
      <c r="S65" s="37">
        <v>190000</v>
      </c>
      <c r="T65" s="37">
        <v>3000</v>
      </c>
      <c r="U65" s="37">
        <v>200000</v>
      </c>
      <c r="V65" s="36">
        <f t="shared" si="1"/>
        <v>5723000</v>
      </c>
    </row>
    <row r="66" spans="1:22">
      <c r="A66" s="33" t="s">
        <v>330</v>
      </c>
      <c r="B66" s="34" t="s">
        <v>331</v>
      </c>
      <c r="C66" s="34" t="s">
        <v>191</v>
      </c>
      <c r="D66" s="47"/>
      <c r="E66" s="37">
        <v>1000000</v>
      </c>
      <c r="F66" s="37">
        <v>150000</v>
      </c>
      <c r="G66" s="37">
        <v>90000</v>
      </c>
      <c r="H66" s="37">
        <v>100000</v>
      </c>
      <c r="I66" s="37">
        <v>80000</v>
      </c>
      <c r="J66" s="37">
        <v>1500000</v>
      </c>
      <c r="K66" s="37">
        <v>50000</v>
      </c>
      <c r="L66" s="37">
        <v>600000</v>
      </c>
      <c r="M66" s="37">
        <v>50000</v>
      </c>
      <c r="N66" s="37">
        <v>110000</v>
      </c>
      <c r="O66" s="37">
        <v>150000</v>
      </c>
      <c r="P66" s="37">
        <v>30000</v>
      </c>
      <c r="Q66" s="37">
        <v>50000</v>
      </c>
      <c r="R66" s="37">
        <v>2000</v>
      </c>
      <c r="S66" s="37">
        <v>38000</v>
      </c>
      <c r="T66" s="37">
        <v>3000</v>
      </c>
      <c r="U66" s="37">
        <v>10000</v>
      </c>
      <c r="V66" s="36">
        <f t="shared" si="1"/>
        <v>4013000</v>
      </c>
    </row>
    <row r="67" spans="1:22">
      <c r="A67" s="33" t="s">
        <v>332</v>
      </c>
      <c r="B67" s="34" t="s">
        <v>333</v>
      </c>
      <c r="C67" s="34" t="s">
        <v>191</v>
      </c>
      <c r="D67" s="47"/>
      <c r="E67" s="37">
        <v>200000</v>
      </c>
      <c r="F67" s="37">
        <v>40000</v>
      </c>
      <c r="G67" s="37">
        <v>100000</v>
      </c>
      <c r="H67" s="37">
        <v>20000</v>
      </c>
      <c r="I67" s="37">
        <v>50000</v>
      </c>
      <c r="J67" s="37">
        <v>1500000</v>
      </c>
      <c r="K67" s="37">
        <v>85000</v>
      </c>
      <c r="L67" s="37">
        <v>330000</v>
      </c>
      <c r="M67" s="37">
        <v>50000</v>
      </c>
      <c r="N67" s="37">
        <v>100000</v>
      </c>
      <c r="O67" s="37">
        <v>5000</v>
      </c>
      <c r="P67" s="37">
        <v>30000</v>
      </c>
      <c r="Q67" s="37">
        <v>70000</v>
      </c>
      <c r="R67" s="37">
        <v>5000</v>
      </c>
      <c r="S67" s="37">
        <v>45000</v>
      </c>
      <c r="T67" s="37">
        <v>20000</v>
      </c>
      <c r="U67" s="37">
        <v>10000</v>
      </c>
      <c r="V67" s="36">
        <f t="shared" ref="V67:V109" si="31">SUM(E67:U67)</f>
        <v>2660000</v>
      </c>
    </row>
    <row r="68" spans="1:22">
      <c r="A68" s="33" t="s">
        <v>334</v>
      </c>
      <c r="B68" s="34" t="s">
        <v>335</v>
      </c>
      <c r="C68" s="34" t="s">
        <v>191</v>
      </c>
      <c r="D68" s="47"/>
      <c r="E68" s="37">
        <f>1828692+37573</f>
        <v>1866265</v>
      </c>
      <c r="F68" s="37">
        <f>607651+26838</f>
        <v>634489</v>
      </c>
      <c r="G68" s="37">
        <v>942682</v>
      </c>
      <c r="H68" s="37">
        <f>579824+5368</f>
        <v>585192</v>
      </c>
      <c r="I68" s="37">
        <f>1828628+5367.5</f>
        <v>1833995.5</v>
      </c>
      <c r="J68" s="37">
        <f>461723+100000+22420+508810.5/2</f>
        <v>838548.25</v>
      </c>
      <c r="K68" s="37">
        <v>420000</v>
      </c>
      <c r="L68" s="37">
        <f>1540883+5605+212344/2</f>
        <v>1652660</v>
      </c>
      <c r="M68" s="37">
        <f>257094+11210</f>
        <v>268304</v>
      </c>
      <c r="N68" s="37">
        <f>1330000+190085.5/2</f>
        <v>1425042.75</v>
      </c>
      <c r="O68" s="37">
        <f>1410080+16587</f>
        <v>1426667</v>
      </c>
      <c r="P68" s="37">
        <v>249763</v>
      </c>
      <c r="Q68" s="37">
        <v>306312</v>
      </c>
      <c r="R68" s="37">
        <f>399677+5529</f>
        <v>405206</v>
      </c>
      <c r="S68" s="37">
        <v>270000</v>
      </c>
      <c r="T68" s="37">
        <v>30000</v>
      </c>
      <c r="U68" s="37">
        <v>150000</v>
      </c>
      <c r="V68" s="36">
        <f t="shared" si="31"/>
        <v>13305126.5</v>
      </c>
    </row>
    <row r="69" spans="1:22">
      <c r="A69" s="33" t="s">
        <v>336</v>
      </c>
      <c r="B69" s="34" t="s">
        <v>337</v>
      </c>
      <c r="C69" s="34" t="s">
        <v>191</v>
      </c>
      <c r="D69" s="47"/>
      <c r="E69" s="37">
        <v>400000</v>
      </c>
      <c r="F69" s="37">
        <v>230000</v>
      </c>
      <c r="G69" s="37">
        <v>145250</v>
      </c>
      <c r="H69" s="37">
        <v>100000</v>
      </c>
      <c r="I69" s="37">
        <v>200000</v>
      </c>
      <c r="J69" s="37">
        <v>1500000</v>
      </c>
      <c r="K69" s="37">
        <v>50000</v>
      </c>
      <c r="L69" s="37">
        <v>300000</v>
      </c>
      <c r="M69" s="37">
        <f>200000+87333</f>
        <v>287333</v>
      </c>
      <c r="N69" s="37">
        <v>560000</v>
      </c>
      <c r="O69" s="37">
        <v>1000000</v>
      </c>
      <c r="P69" s="37">
        <v>60000</v>
      </c>
      <c r="Q69" s="37">
        <v>130000</v>
      </c>
      <c r="R69" s="37">
        <v>60000</v>
      </c>
      <c r="S69" s="37">
        <v>110000</v>
      </c>
      <c r="T69" s="37">
        <v>60000</v>
      </c>
      <c r="U69" s="37">
        <v>50000</v>
      </c>
      <c r="V69" s="36">
        <f t="shared" si="31"/>
        <v>5242583</v>
      </c>
    </row>
    <row r="70" spans="1:22">
      <c r="A70" s="33" t="s">
        <v>338</v>
      </c>
      <c r="B70" s="34" t="s">
        <v>339</v>
      </c>
      <c r="C70" s="34" t="s">
        <v>191</v>
      </c>
      <c r="D70" s="47"/>
      <c r="E70" s="37">
        <v>400000</v>
      </c>
      <c r="F70" s="37">
        <v>20000</v>
      </c>
      <c r="G70" s="37">
        <v>10000</v>
      </c>
      <c r="H70" s="37">
        <v>200000</v>
      </c>
      <c r="I70" s="37">
        <v>300000</v>
      </c>
      <c r="J70" s="37">
        <v>1500000</v>
      </c>
      <c r="K70" s="37">
        <v>30648</v>
      </c>
      <c r="L70" s="37">
        <v>200000</v>
      </c>
      <c r="M70" s="37">
        <v>200000</v>
      </c>
      <c r="N70" s="37">
        <v>250000</v>
      </c>
      <c r="O70" s="37">
        <v>50000</v>
      </c>
      <c r="P70" s="37">
        <v>160000</v>
      </c>
      <c r="Q70" s="37">
        <v>30000</v>
      </c>
      <c r="R70" s="37">
        <v>60000</v>
      </c>
      <c r="S70" s="37">
        <v>10000</v>
      </c>
      <c r="T70" s="37">
        <v>20800</v>
      </c>
      <c r="U70" s="37">
        <v>50000</v>
      </c>
      <c r="V70" s="36">
        <f t="shared" si="31"/>
        <v>3491448</v>
      </c>
    </row>
    <row r="71" spans="1:22">
      <c r="A71" s="33" t="s">
        <v>340</v>
      </c>
      <c r="B71" s="34" t="s">
        <v>341</v>
      </c>
      <c r="C71" s="34"/>
      <c r="D71" s="35"/>
      <c r="E71" s="36">
        <f>E72</f>
        <v>102000</v>
      </c>
      <c r="F71" s="36">
        <f t="shared" ref="F71:U71" si="32">F72</f>
        <v>34400</v>
      </c>
      <c r="G71" s="36">
        <f t="shared" si="32"/>
        <v>33200</v>
      </c>
      <c r="H71" s="36">
        <f t="shared" si="32"/>
        <v>0</v>
      </c>
      <c r="I71" s="36">
        <f t="shared" si="32"/>
        <v>36000</v>
      </c>
      <c r="J71" s="36">
        <f t="shared" si="32"/>
        <v>115200</v>
      </c>
      <c r="K71" s="36">
        <f t="shared" si="32"/>
        <v>25200</v>
      </c>
      <c r="L71" s="36">
        <f t="shared" si="32"/>
        <v>46400</v>
      </c>
      <c r="M71" s="36">
        <f t="shared" si="32"/>
        <v>24800</v>
      </c>
      <c r="N71" s="36">
        <f t="shared" si="32"/>
        <v>43600</v>
      </c>
      <c r="O71" s="36">
        <f t="shared" si="32"/>
        <v>66800</v>
      </c>
      <c r="P71" s="36">
        <f t="shared" si="32"/>
        <v>18400</v>
      </c>
      <c r="Q71" s="36">
        <f t="shared" si="32"/>
        <v>14400</v>
      </c>
      <c r="R71" s="36">
        <f t="shared" si="32"/>
        <v>11200</v>
      </c>
      <c r="S71" s="36">
        <f t="shared" si="32"/>
        <v>18000</v>
      </c>
      <c r="T71" s="37">
        <f t="shared" si="32"/>
        <v>2800</v>
      </c>
      <c r="U71" s="37">
        <f t="shared" si="32"/>
        <v>1600</v>
      </c>
      <c r="V71" s="36">
        <f t="shared" si="31"/>
        <v>594000</v>
      </c>
    </row>
    <row r="72" spans="1:22" s="40" customFormat="1" ht="22.5">
      <c r="A72" s="33" t="s">
        <v>342</v>
      </c>
      <c r="B72" s="38" t="s">
        <v>343</v>
      </c>
      <c r="C72" s="38" t="s">
        <v>191</v>
      </c>
      <c r="D72" s="48" t="s">
        <v>344</v>
      </c>
      <c r="E72" s="36">
        <f>E96*400</f>
        <v>102000</v>
      </c>
      <c r="F72" s="36">
        <f t="shared" ref="F72:S72" si="33">F96*400</f>
        <v>34400</v>
      </c>
      <c r="G72" s="36">
        <f t="shared" si="33"/>
        <v>33200</v>
      </c>
      <c r="H72" s="36">
        <f t="shared" si="33"/>
        <v>0</v>
      </c>
      <c r="I72" s="36">
        <f t="shared" si="33"/>
        <v>36000</v>
      </c>
      <c r="J72" s="36">
        <f t="shared" si="33"/>
        <v>115200</v>
      </c>
      <c r="K72" s="36">
        <f t="shared" si="33"/>
        <v>25200</v>
      </c>
      <c r="L72" s="36">
        <f t="shared" si="33"/>
        <v>46400</v>
      </c>
      <c r="M72" s="36">
        <f t="shared" si="33"/>
        <v>24800</v>
      </c>
      <c r="N72" s="36">
        <f t="shared" si="33"/>
        <v>43600</v>
      </c>
      <c r="O72" s="36">
        <f t="shared" si="33"/>
        <v>66800</v>
      </c>
      <c r="P72" s="36">
        <f t="shared" si="33"/>
        <v>18400</v>
      </c>
      <c r="Q72" s="36">
        <f t="shared" si="33"/>
        <v>14400</v>
      </c>
      <c r="R72" s="36">
        <f t="shared" si="33"/>
        <v>11200</v>
      </c>
      <c r="S72" s="36">
        <f t="shared" si="33"/>
        <v>18000</v>
      </c>
      <c r="T72" s="37">
        <f>T96*400</f>
        <v>2800</v>
      </c>
      <c r="U72" s="37">
        <f>U96*400</f>
        <v>1600</v>
      </c>
      <c r="V72" s="36">
        <f t="shared" si="31"/>
        <v>594000</v>
      </c>
    </row>
    <row r="73" spans="1:22">
      <c r="A73" s="33" t="s">
        <v>345</v>
      </c>
      <c r="B73" s="34" t="s">
        <v>346</v>
      </c>
      <c r="C73" s="34"/>
      <c r="D73" s="35" t="s">
        <v>185</v>
      </c>
      <c r="E73" s="36">
        <f>E74</f>
        <v>325039.05</v>
      </c>
      <c r="F73" s="36">
        <f t="shared" ref="F73:U73" si="34">F74</f>
        <v>197400</v>
      </c>
      <c r="G73" s="36">
        <f t="shared" si="34"/>
        <v>125589.30000000002</v>
      </c>
      <c r="H73" s="36">
        <f t="shared" si="34"/>
        <v>191134.2</v>
      </c>
      <c r="I73" s="36">
        <f t="shared" si="34"/>
        <v>170335.94999999998</v>
      </c>
      <c r="J73" s="36">
        <f t="shared" si="34"/>
        <v>429539.25</v>
      </c>
      <c r="K73" s="36">
        <f t="shared" si="34"/>
        <v>69477.45</v>
      </c>
      <c r="L73" s="36">
        <f t="shared" si="34"/>
        <v>191346.3</v>
      </c>
      <c r="M73" s="36">
        <f t="shared" si="34"/>
        <v>77588.100000000006</v>
      </c>
      <c r="N73" s="36">
        <f t="shared" si="34"/>
        <v>215058.15</v>
      </c>
      <c r="O73" s="36">
        <f t="shared" si="34"/>
        <v>349515</v>
      </c>
      <c r="P73" s="36">
        <f t="shared" si="34"/>
        <v>64290</v>
      </c>
      <c r="Q73" s="36">
        <f t="shared" si="34"/>
        <v>80865</v>
      </c>
      <c r="R73" s="36">
        <f t="shared" si="34"/>
        <v>55978.8</v>
      </c>
      <c r="S73" s="36">
        <f t="shared" si="34"/>
        <v>69180</v>
      </c>
      <c r="T73" s="37">
        <f t="shared" si="34"/>
        <v>42000</v>
      </c>
      <c r="U73" s="37">
        <f t="shared" si="34"/>
        <v>97500</v>
      </c>
      <c r="V73" s="36">
        <f t="shared" si="31"/>
        <v>2751836.55</v>
      </c>
    </row>
    <row r="74" spans="1:22" s="40" customFormat="1">
      <c r="A74" s="33" t="s">
        <v>347</v>
      </c>
      <c r="B74" s="38" t="s">
        <v>348</v>
      </c>
      <c r="C74" s="38" t="s">
        <v>191</v>
      </c>
      <c r="D74" s="48" t="s">
        <v>349</v>
      </c>
      <c r="E74" s="36">
        <f>E108*15</f>
        <v>325039.05</v>
      </c>
      <c r="F74" s="36">
        <f t="shared" ref="F74:S74" si="35">F108*15</f>
        <v>197400</v>
      </c>
      <c r="G74" s="36">
        <f t="shared" si="35"/>
        <v>125589.30000000002</v>
      </c>
      <c r="H74" s="36">
        <f t="shared" si="35"/>
        <v>191134.2</v>
      </c>
      <c r="I74" s="36">
        <f t="shared" si="35"/>
        <v>170335.94999999998</v>
      </c>
      <c r="J74" s="36">
        <f t="shared" si="35"/>
        <v>429539.25</v>
      </c>
      <c r="K74" s="36">
        <f t="shared" si="35"/>
        <v>69477.45</v>
      </c>
      <c r="L74" s="36">
        <f t="shared" si="35"/>
        <v>191346.3</v>
      </c>
      <c r="M74" s="36">
        <f t="shared" si="35"/>
        <v>77588.100000000006</v>
      </c>
      <c r="N74" s="36">
        <f t="shared" si="35"/>
        <v>215058.15</v>
      </c>
      <c r="O74" s="36">
        <f t="shared" si="35"/>
        <v>349515</v>
      </c>
      <c r="P74" s="36">
        <f t="shared" si="35"/>
        <v>64290</v>
      </c>
      <c r="Q74" s="36">
        <f t="shared" si="35"/>
        <v>80865</v>
      </c>
      <c r="R74" s="36">
        <f t="shared" si="35"/>
        <v>55978.8</v>
      </c>
      <c r="S74" s="36">
        <f t="shared" si="35"/>
        <v>69180</v>
      </c>
      <c r="T74" s="37">
        <f>T108*15</f>
        <v>42000</v>
      </c>
      <c r="U74" s="37">
        <f>U108*15</f>
        <v>97500</v>
      </c>
      <c r="V74" s="36">
        <f t="shared" si="31"/>
        <v>2751836.55</v>
      </c>
    </row>
    <row r="75" spans="1:22">
      <c r="A75" s="33" t="s">
        <v>350</v>
      </c>
      <c r="B75" s="34" t="s">
        <v>351</v>
      </c>
      <c r="C75" s="34"/>
      <c r="D75" s="35" t="s">
        <v>185</v>
      </c>
      <c r="E75" s="36">
        <f>E76</f>
        <v>84144</v>
      </c>
      <c r="F75" s="36">
        <f t="shared" ref="F75:U75" si="36">F76</f>
        <v>69528</v>
      </c>
      <c r="G75" s="36">
        <f t="shared" si="36"/>
        <v>51968</v>
      </c>
      <c r="H75" s="36">
        <f t="shared" si="36"/>
        <v>57139.199999999997</v>
      </c>
      <c r="I75" s="36">
        <f t="shared" si="36"/>
        <v>24000</v>
      </c>
      <c r="J75" s="36">
        <f t="shared" si="36"/>
        <v>85912</v>
      </c>
      <c r="K75" s="36">
        <f t="shared" si="36"/>
        <v>25808</v>
      </c>
      <c r="L75" s="36">
        <f t="shared" si="36"/>
        <v>52960</v>
      </c>
      <c r="M75" s="36">
        <f t="shared" si="36"/>
        <v>28680</v>
      </c>
      <c r="N75" s="36">
        <f t="shared" si="36"/>
        <v>74688</v>
      </c>
      <c r="O75" s="36">
        <f t="shared" si="36"/>
        <v>75440</v>
      </c>
      <c r="P75" s="36">
        <f t="shared" si="36"/>
        <v>18800</v>
      </c>
      <c r="Q75" s="36">
        <f t="shared" si="36"/>
        <v>18848</v>
      </c>
      <c r="R75" s="36">
        <f t="shared" si="36"/>
        <v>14288</v>
      </c>
      <c r="S75" s="36">
        <f t="shared" si="36"/>
        <v>13736</v>
      </c>
      <c r="T75" s="37">
        <f t="shared" si="36"/>
        <v>0</v>
      </c>
      <c r="U75" s="37">
        <f t="shared" si="36"/>
        <v>18496.8</v>
      </c>
      <c r="V75" s="36">
        <f t="shared" si="31"/>
        <v>714436</v>
      </c>
    </row>
    <row r="76" spans="1:22" s="40" customFormat="1">
      <c r="A76" s="33" t="s">
        <v>352</v>
      </c>
      <c r="B76" s="38" t="s">
        <v>353</v>
      </c>
      <c r="C76" s="38" t="s">
        <v>191</v>
      </c>
      <c r="D76" s="48" t="s">
        <v>354</v>
      </c>
      <c r="E76" s="36">
        <f>E109*8</f>
        <v>84144</v>
      </c>
      <c r="F76" s="36">
        <f t="shared" ref="F76:S76" si="37">F109*8</f>
        <v>69528</v>
      </c>
      <c r="G76" s="36">
        <f t="shared" si="37"/>
        <v>51968</v>
      </c>
      <c r="H76" s="36">
        <f t="shared" si="37"/>
        <v>57139.199999999997</v>
      </c>
      <c r="I76" s="36">
        <f t="shared" si="37"/>
        <v>24000</v>
      </c>
      <c r="J76" s="36">
        <f t="shared" si="37"/>
        <v>85912</v>
      </c>
      <c r="K76" s="36">
        <f t="shared" si="37"/>
        <v>25808</v>
      </c>
      <c r="L76" s="36">
        <f t="shared" si="37"/>
        <v>52960</v>
      </c>
      <c r="M76" s="36">
        <f t="shared" si="37"/>
        <v>28680</v>
      </c>
      <c r="N76" s="36">
        <f t="shared" si="37"/>
        <v>74688</v>
      </c>
      <c r="O76" s="36">
        <f t="shared" si="37"/>
        <v>75440</v>
      </c>
      <c r="P76" s="36">
        <f t="shared" si="37"/>
        <v>18800</v>
      </c>
      <c r="Q76" s="36">
        <f t="shared" si="37"/>
        <v>18848</v>
      </c>
      <c r="R76" s="36">
        <f t="shared" si="37"/>
        <v>14288</v>
      </c>
      <c r="S76" s="36">
        <f t="shared" si="37"/>
        <v>13736</v>
      </c>
      <c r="T76" s="37">
        <f>T109*8</f>
        <v>0</v>
      </c>
      <c r="U76" s="37">
        <f>U109*8</f>
        <v>18496.8</v>
      </c>
      <c r="V76" s="36">
        <f t="shared" si="31"/>
        <v>714436</v>
      </c>
    </row>
    <row r="77" spans="1:22">
      <c r="A77" s="33" t="s">
        <v>355</v>
      </c>
      <c r="B77" s="34" t="s">
        <v>356</v>
      </c>
      <c r="C77" s="34"/>
      <c r="D77" s="35" t="s">
        <v>185</v>
      </c>
      <c r="E77" s="36">
        <f>E78</f>
        <v>0</v>
      </c>
      <c r="F77" s="36">
        <f t="shared" ref="F77:U77" si="38">F78</f>
        <v>0</v>
      </c>
      <c r="G77" s="36">
        <f t="shared" si="38"/>
        <v>0</v>
      </c>
      <c r="H77" s="36">
        <f t="shared" si="38"/>
        <v>0</v>
      </c>
      <c r="I77" s="36">
        <f t="shared" si="38"/>
        <v>0</v>
      </c>
      <c r="J77" s="36">
        <f t="shared" si="38"/>
        <v>0</v>
      </c>
      <c r="K77" s="36">
        <f t="shared" si="38"/>
        <v>0</v>
      </c>
      <c r="L77" s="36">
        <f t="shared" si="38"/>
        <v>0</v>
      </c>
      <c r="M77" s="36">
        <f t="shared" si="38"/>
        <v>0</v>
      </c>
      <c r="N77" s="36">
        <f t="shared" si="38"/>
        <v>0</v>
      </c>
      <c r="O77" s="36">
        <f t="shared" si="38"/>
        <v>0</v>
      </c>
      <c r="P77" s="36">
        <f t="shared" si="38"/>
        <v>0</v>
      </c>
      <c r="Q77" s="36">
        <f t="shared" si="38"/>
        <v>0</v>
      </c>
      <c r="R77" s="36">
        <f t="shared" si="38"/>
        <v>0</v>
      </c>
      <c r="S77" s="36">
        <f t="shared" si="38"/>
        <v>0</v>
      </c>
      <c r="T77" s="37">
        <f t="shared" si="38"/>
        <v>0</v>
      </c>
      <c r="U77" s="37">
        <f t="shared" si="38"/>
        <v>0</v>
      </c>
      <c r="V77" s="36">
        <f t="shared" si="31"/>
        <v>0</v>
      </c>
    </row>
    <row r="78" spans="1:22" s="40" customFormat="1">
      <c r="A78" s="33" t="s">
        <v>357</v>
      </c>
      <c r="B78" s="38" t="s">
        <v>358</v>
      </c>
      <c r="C78" s="38" t="s">
        <v>191</v>
      </c>
      <c r="D78" s="48" t="s">
        <v>293</v>
      </c>
      <c r="E78" s="46"/>
      <c r="F78" s="46"/>
      <c r="G78" s="46"/>
      <c r="H78" s="46"/>
      <c r="I78" s="46"/>
      <c r="J78" s="46"/>
      <c r="K78" s="46"/>
      <c r="L78" s="46"/>
      <c r="M78" s="46"/>
      <c r="N78" s="46"/>
      <c r="O78" s="46"/>
      <c r="P78" s="46"/>
      <c r="Q78" s="46"/>
      <c r="R78" s="46"/>
      <c r="S78" s="46"/>
      <c r="T78" s="46"/>
      <c r="U78" s="46"/>
      <c r="V78" s="36">
        <f t="shared" si="31"/>
        <v>0</v>
      </c>
    </row>
    <row r="79" spans="1:22">
      <c r="A79" s="33" t="s">
        <v>359</v>
      </c>
      <c r="B79" s="34" t="s">
        <v>360</v>
      </c>
      <c r="C79" s="34"/>
      <c r="D79" s="35" t="s">
        <v>185</v>
      </c>
      <c r="E79" s="36">
        <f>E80</f>
        <v>1101600</v>
      </c>
      <c r="F79" s="36">
        <f t="shared" ref="F79:U79" si="39">F80</f>
        <v>371520</v>
      </c>
      <c r="G79" s="36">
        <f t="shared" si="39"/>
        <v>358560</v>
      </c>
      <c r="H79" s="36">
        <f t="shared" si="39"/>
        <v>0</v>
      </c>
      <c r="I79" s="36">
        <f t="shared" si="39"/>
        <v>388800</v>
      </c>
      <c r="J79" s="36">
        <f t="shared" si="39"/>
        <v>1244160</v>
      </c>
      <c r="K79" s="36">
        <f t="shared" si="39"/>
        <v>272160</v>
      </c>
      <c r="L79" s="36">
        <f t="shared" si="39"/>
        <v>501120</v>
      </c>
      <c r="M79" s="36">
        <f t="shared" si="39"/>
        <v>267840</v>
      </c>
      <c r="N79" s="36">
        <f t="shared" si="39"/>
        <v>470880</v>
      </c>
      <c r="O79" s="36">
        <f t="shared" si="39"/>
        <v>721440</v>
      </c>
      <c r="P79" s="36">
        <f t="shared" si="39"/>
        <v>198720</v>
      </c>
      <c r="Q79" s="36">
        <f t="shared" si="39"/>
        <v>155520</v>
      </c>
      <c r="R79" s="36">
        <f t="shared" si="39"/>
        <v>120960</v>
      </c>
      <c r="S79" s="36">
        <f t="shared" si="39"/>
        <v>194400</v>
      </c>
      <c r="T79" s="37">
        <f t="shared" si="39"/>
        <v>30240</v>
      </c>
      <c r="U79" s="37">
        <f t="shared" si="39"/>
        <v>17280</v>
      </c>
      <c r="V79" s="36">
        <f t="shared" si="31"/>
        <v>6415200</v>
      </c>
    </row>
    <row r="80" spans="1:22" s="40" customFormat="1" ht="22.5">
      <c r="A80" s="33" t="s">
        <v>361</v>
      </c>
      <c r="B80" s="38" t="s">
        <v>362</v>
      </c>
      <c r="C80" s="38" t="s">
        <v>191</v>
      </c>
      <c r="D80" s="48" t="s">
        <v>363</v>
      </c>
      <c r="E80" s="36">
        <f>E96*4320</f>
        <v>1101600</v>
      </c>
      <c r="F80" s="36">
        <f t="shared" ref="F80:S80" si="40">F96*4320</f>
        <v>371520</v>
      </c>
      <c r="G80" s="36">
        <f t="shared" si="40"/>
        <v>358560</v>
      </c>
      <c r="H80" s="36">
        <f t="shared" si="40"/>
        <v>0</v>
      </c>
      <c r="I80" s="36">
        <f t="shared" si="40"/>
        <v>388800</v>
      </c>
      <c r="J80" s="36">
        <f t="shared" si="40"/>
        <v>1244160</v>
      </c>
      <c r="K80" s="36">
        <f t="shared" si="40"/>
        <v>272160</v>
      </c>
      <c r="L80" s="36">
        <f t="shared" si="40"/>
        <v>501120</v>
      </c>
      <c r="M80" s="36">
        <f t="shared" si="40"/>
        <v>267840</v>
      </c>
      <c r="N80" s="36">
        <f t="shared" si="40"/>
        <v>470880</v>
      </c>
      <c r="O80" s="36">
        <f t="shared" si="40"/>
        <v>721440</v>
      </c>
      <c r="P80" s="36">
        <f t="shared" si="40"/>
        <v>198720</v>
      </c>
      <c r="Q80" s="36">
        <f t="shared" si="40"/>
        <v>155520</v>
      </c>
      <c r="R80" s="36">
        <f t="shared" si="40"/>
        <v>120960</v>
      </c>
      <c r="S80" s="36">
        <f t="shared" si="40"/>
        <v>194400</v>
      </c>
      <c r="T80" s="37">
        <f>T96*4320</f>
        <v>30240</v>
      </c>
      <c r="U80" s="37">
        <f>U96*4320</f>
        <v>17280</v>
      </c>
      <c r="V80" s="36">
        <f t="shared" si="31"/>
        <v>6415200</v>
      </c>
    </row>
    <row r="81" spans="1:22">
      <c r="A81" s="33" t="s">
        <v>364</v>
      </c>
      <c r="B81" s="34" t="s">
        <v>365</v>
      </c>
      <c r="C81" s="34"/>
      <c r="D81" s="35" t="s">
        <v>185</v>
      </c>
      <c r="E81" s="36">
        <f>E82</f>
        <v>1012272</v>
      </c>
      <c r="F81" s="36">
        <f t="shared" ref="F81:U81" si="41">F82</f>
        <v>337339.19999999995</v>
      </c>
      <c r="G81" s="36">
        <f t="shared" si="41"/>
        <v>330384</v>
      </c>
      <c r="H81" s="36">
        <f t="shared" si="41"/>
        <v>0</v>
      </c>
      <c r="I81" s="36">
        <f t="shared" si="41"/>
        <v>323616</v>
      </c>
      <c r="J81" s="36">
        <f t="shared" si="41"/>
        <v>1074240</v>
      </c>
      <c r="K81" s="36">
        <f t="shared" si="41"/>
        <v>243888</v>
      </c>
      <c r="L81" s="36">
        <f t="shared" si="41"/>
        <v>418560</v>
      </c>
      <c r="M81" s="36">
        <f t="shared" si="41"/>
        <v>236121.59999999998</v>
      </c>
      <c r="N81" s="36">
        <f t="shared" si="41"/>
        <v>387513.59999999998</v>
      </c>
      <c r="O81" s="36">
        <f t="shared" si="41"/>
        <v>592305.60000000009</v>
      </c>
      <c r="P81" s="36">
        <f t="shared" si="41"/>
        <v>169920</v>
      </c>
      <c r="Q81" s="36">
        <f t="shared" si="41"/>
        <v>127104</v>
      </c>
      <c r="R81" s="36">
        <f t="shared" si="41"/>
        <v>98400</v>
      </c>
      <c r="S81" s="36">
        <f t="shared" si="41"/>
        <v>162898.56</v>
      </c>
      <c r="T81" s="37">
        <f t="shared" si="41"/>
        <v>29328</v>
      </c>
      <c r="U81" s="37">
        <f t="shared" si="41"/>
        <v>15374.400000000001</v>
      </c>
      <c r="V81" s="36">
        <f t="shared" si="31"/>
        <v>5559264.96</v>
      </c>
    </row>
    <row r="82" spans="1:22" s="40" customFormat="1">
      <c r="A82" s="33" t="s">
        <v>366</v>
      </c>
      <c r="B82" s="38" t="s">
        <v>367</v>
      </c>
      <c r="C82" s="38" t="s">
        <v>191</v>
      </c>
      <c r="D82" s="39" t="s">
        <v>210</v>
      </c>
      <c r="E82" s="36">
        <f>E16*4</f>
        <v>1012272</v>
      </c>
      <c r="F82" s="36">
        <f t="shared" ref="F82:S82" si="42">F16*4</f>
        <v>337339.19999999995</v>
      </c>
      <c r="G82" s="36">
        <f t="shared" si="42"/>
        <v>330384</v>
      </c>
      <c r="H82" s="36">
        <f t="shared" si="42"/>
        <v>0</v>
      </c>
      <c r="I82" s="36">
        <f t="shared" si="42"/>
        <v>323616</v>
      </c>
      <c r="J82" s="36">
        <f t="shared" si="42"/>
        <v>1074240</v>
      </c>
      <c r="K82" s="36">
        <f t="shared" si="42"/>
        <v>243888</v>
      </c>
      <c r="L82" s="36">
        <f t="shared" si="42"/>
        <v>418560</v>
      </c>
      <c r="M82" s="36">
        <f t="shared" si="42"/>
        <v>236121.59999999998</v>
      </c>
      <c r="N82" s="36">
        <f t="shared" si="42"/>
        <v>387513.59999999998</v>
      </c>
      <c r="O82" s="36">
        <f t="shared" si="42"/>
        <v>592305.60000000009</v>
      </c>
      <c r="P82" s="36">
        <f t="shared" si="42"/>
        <v>169920</v>
      </c>
      <c r="Q82" s="36">
        <f t="shared" si="42"/>
        <v>127104</v>
      </c>
      <c r="R82" s="36">
        <f t="shared" si="42"/>
        <v>98400</v>
      </c>
      <c r="S82" s="36">
        <f t="shared" si="42"/>
        <v>162898.56</v>
      </c>
      <c r="T82" s="37">
        <f>T16*4</f>
        <v>29328</v>
      </c>
      <c r="U82" s="37">
        <f>U16*4</f>
        <v>15374.400000000001</v>
      </c>
      <c r="V82" s="36">
        <f t="shared" si="31"/>
        <v>5559264.96</v>
      </c>
    </row>
    <row r="83" spans="1:22">
      <c r="A83" s="33" t="s">
        <v>368</v>
      </c>
      <c r="B83" s="34" t="s">
        <v>369</v>
      </c>
      <c r="C83" s="34"/>
      <c r="D83" s="35" t="s">
        <v>185</v>
      </c>
      <c r="E83" s="36">
        <f>E84</f>
        <v>32000</v>
      </c>
      <c r="F83" s="36">
        <f t="shared" ref="F83:U83" si="43">F84</f>
        <v>32000</v>
      </c>
      <c r="G83" s="36">
        <f t="shared" si="43"/>
        <v>32000</v>
      </c>
      <c r="H83" s="36">
        <f t="shared" si="43"/>
        <v>32000</v>
      </c>
      <c r="I83" s="36">
        <f t="shared" si="43"/>
        <v>32000</v>
      </c>
      <c r="J83" s="36">
        <f t="shared" si="43"/>
        <v>32000</v>
      </c>
      <c r="K83" s="36">
        <f t="shared" si="43"/>
        <v>32000</v>
      </c>
      <c r="L83" s="36">
        <f t="shared" si="43"/>
        <v>0</v>
      </c>
      <c r="M83" s="36">
        <f t="shared" si="43"/>
        <v>32000</v>
      </c>
      <c r="N83" s="36">
        <f t="shared" si="43"/>
        <v>32000</v>
      </c>
      <c r="O83" s="36">
        <f t="shared" si="43"/>
        <v>32000</v>
      </c>
      <c r="P83" s="36">
        <f t="shared" si="43"/>
        <v>32000</v>
      </c>
      <c r="Q83" s="36">
        <f t="shared" si="43"/>
        <v>0</v>
      </c>
      <c r="R83" s="36">
        <f t="shared" si="43"/>
        <v>32000</v>
      </c>
      <c r="S83" s="36">
        <f t="shared" si="43"/>
        <v>0</v>
      </c>
      <c r="T83" s="37">
        <f t="shared" si="43"/>
        <v>0</v>
      </c>
      <c r="U83" s="37">
        <f t="shared" si="43"/>
        <v>0</v>
      </c>
      <c r="V83" s="36">
        <f t="shared" si="31"/>
        <v>384000</v>
      </c>
    </row>
    <row r="84" spans="1:22" ht="33.75">
      <c r="A84" s="33" t="s">
        <v>370</v>
      </c>
      <c r="B84" s="34" t="s">
        <v>371</v>
      </c>
      <c r="C84" s="34" t="s">
        <v>191</v>
      </c>
      <c r="D84" s="47" t="s">
        <v>372</v>
      </c>
      <c r="E84" s="37">
        <v>32000</v>
      </c>
      <c r="F84" s="37">
        <v>32000</v>
      </c>
      <c r="G84" s="37">
        <v>32000</v>
      </c>
      <c r="H84" s="37">
        <v>32000</v>
      </c>
      <c r="I84" s="37">
        <v>32000</v>
      </c>
      <c r="J84" s="37">
        <v>32000</v>
      </c>
      <c r="K84" s="37">
        <v>32000</v>
      </c>
      <c r="L84" s="37"/>
      <c r="M84" s="37">
        <v>32000</v>
      </c>
      <c r="N84" s="37">
        <v>32000</v>
      </c>
      <c r="O84" s="37">
        <v>32000</v>
      </c>
      <c r="P84" s="37">
        <v>32000</v>
      </c>
      <c r="Q84" s="37"/>
      <c r="R84" s="37">
        <v>32000</v>
      </c>
      <c r="S84" s="37"/>
      <c r="T84" s="37"/>
      <c r="U84" s="37"/>
      <c r="V84" s="36">
        <f t="shared" si="31"/>
        <v>384000</v>
      </c>
    </row>
    <row r="85" spans="1:22">
      <c r="A85" s="33" t="s">
        <v>373</v>
      </c>
      <c r="B85" s="34" t="s">
        <v>374</v>
      </c>
      <c r="C85" s="34"/>
      <c r="D85" s="35" t="s">
        <v>185</v>
      </c>
      <c r="E85" s="36">
        <f>E86+E89+E92</f>
        <v>495600</v>
      </c>
      <c r="F85" s="36">
        <f t="shared" ref="F85:S85" si="44">F86+F89+F92</f>
        <v>198240</v>
      </c>
      <c r="G85" s="36">
        <f t="shared" si="44"/>
        <v>259600</v>
      </c>
      <c r="H85" s="36">
        <f t="shared" si="44"/>
        <v>0</v>
      </c>
      <c r="I85" s="36">
        <f t="shared" si="44"/>
        <v>0</v>
      </c>
      <c r="J85" s="36">
        <f t="shared" si="44"/>
        <v>500320</v>
      </c>
      <c r="K85" s="36">
        <f t="shared" si="44"/>
        <v>118000</v>
      </c>
      <c r="L85" s="36">
        <f t="shared" si="44"/>
        <v>132160</v>
      </c>
      <c r="M85" s="36">
        <f t="shared" si="44"/>
        <v>70800</v>
      </c>
      <c r="N85" s="36">
        <f t="shared" si="44"/>
        <v>9440</v>
      </c>
      <c r="O85" s="36">
        <f t="shared" si="44"/>
        <v>207680</v>
      </c>
      <c r="P85" s="36">
        <f t="shared" si="44"/>
        <v>165200</v>
      </c>
      <c r="Q85" s="36">
        <f t="shared" si="44"/>
        <v>4720</v>
      </c>
      <c r="R85" s="36">
        <f t="shared" si="44"/>
        <v>0</v>
      </c>
      <c r="S85" s="36">
        <f t="shared" si="44"/>
        <v>108560</v>
      </c>
      <c r="T85" s="37">
        <f>T86+T89+T92</f>
        <v>42480</v>
      </c>
      <c r="U85" s="37">
        <f>U86+U89+U92</f>
        <v>0</v>
      </c>
      <c r="V85" s="36">
        <f t="shared" si="31"/>
        <v>2312800</v>
      </c>
    </row>
    <row r="86" spans="1:22">
      <c r="A86" s="33" t="s">
        <v>375</v>
      </c>
      <c r="B86" s="34" t="s">
        <v>376</v>
      </c>
      <c r="C86" s="34"/>
      <c r="D86" s="35" t="s">
        <v>185</v>
      </c>
      <c r="E86" s="36">
        <f>E87+E88</f>
        <v>0</v>
      </c>
      <c r="F86" s="36">
        <f t="shared" ref="F86:S86" si="45">F87+F88</f>
        <v>0</v>
      </c>
      <c r="G86" s="36">
        <f t="shared" si="45"/>
        <v>0</v>
      </c>
      <c r="H86" s="36">
        <f t="shared" si="45"/>
        <v>0</v>
      </c>
      <c r="I86" s="36">
        <f t="shared" si="45"/>
        <v>0</v>
      </c>
      <c r="J86" s="36">
        <f t="shared" si="45"/>
        <v>0</v>
      </c>
      <c r="K86" s="36">
        <f t="shared" si="45"/>
        <v>0</v>
      </c>
      <c r="L86" s="36">
        <f t="shared" si="45"/>
        <v>0</v>
      </c>
      <c r="M86" s="36">
        <f t="shared" si="45"/>
        <v>0</v>
      </c>
      <c r="N86" s="36">
        <f t="shared" si="45"/>
        <v>0</v>
      </c>
      <c r="O86" s="36">
        <f t="shared" si="45"/>
        <v>0</v>
      </c>
      <c r="P86" s="36">
        <f t="shared" si="45"/>
        <v>0</v>
      </c>
      <c r="Q86" s="36">
        <f t="shared" si="45"/>
        <v>0</v>
      </c>
      <c r="R86" s="36">
        <f t="shared" si="45"/>
        <v>0</v>
      </c>
      <c r="S86" s="36">
        <f t="shared" si="45"/>
        <v>0</v>
      </c>
      <c r="T86" s="37">
        <f>T87+T88</f>
        <v>0</v>
      </c>
      <c r="U86" s="37">
        <f>U87+U88</f>
        <v>0</v>
      </c>
      <c r="V86" s="36">
        <f t="shared" si="31"/>
        <v>0</v>
      </c>
    </row>
    <row r="87" spans="1:22">
      <c r="A87" s="33" t="s">
        <v>377</v>
      </c>
      <c r="B87" s="34" t="s">
        <v>378</v>
      </c>
      <c r="C87" s="34" t="s">
        <v>191</v>
      </c>
      <c r="D87" s="47" t="s">
        <v>293</v>
      </c>
      <c r="E87" s="43"/>
      <c r="F87" s="43"/>
      <c r="G87" s="43"/>
      <c r="H87" s="43"/>
      <c r="I87" s="43"/>
      <c r="J87" s="43"/>
      <c r="K87" s="43"/>
      <c r="L87" s="43"/>
      <c r="M87" s="43"/>
      <c r="N87" s="43"/>
      <c r="O87" s="43"/>
      <c r="P87" s="43"/>
      <c r="Q87" s="43"/>
      <c r="R87" s="43"/>
      <c r="S87" s="43"/>
      <c r="T87" s="43"/>
      <c r="U87" s="43"/>
      <c r="V87" s="36">
        <f t="shared" si="31"/>
        <v>0</v>
      </c>
    </row>
    <row r="88" spans="1:22">
      <c r="A88" s="33" t="s">
        <v>379</v>
      </c>
      <c r="B88" s="34" t="s">
        <v>380</v>
      </c>
      <c r="C88" s="34" t="s">
        <v>191</v>
      </c>
      <c r="D88" s="35" t="s">
        <v>381</v>
      </c>
      <c r="E88" s="43"/>
      <c r="F88" s="43"/>
      <c r="G88" s="43"/>
      <c r="H88" s="43"/>
      <c r="I88" s="43"/>
      <c r="J88" s="43"/>
      <c r="K88" s="43"/>
      <c r="L88" s="43"/>
      <c r="M88" s="43"/>
      <c r="N88" s="43"/>
      <c r="O88" s="43"/>
      <c r="P88" s="43"/>
      <c r="Q88" s="43"/>
      <c r="R88" s="43"/>
      <c r="S88" s="43"/>
      <c r="T88" s="43"/>
      <c r="U88" s="43"/>
      <c r="V88" s="36">
        <f t="shared" si="31"/>
        <v>0</v>
      </c>
    </row>
    <row r="89" spans="1:22">
      <c r="A89" s="33" t="s">
        <v>382</v>
      </c>
      <c r="B89" s="34" t="s">
        <v>383</v>
      </c>
      <c r="C89" s="34"/>
      <c r="D89" s="35" t="s">
        <v>185</v>
      </c>
      <c r="E89" s="36">
        <f>E90+E91</f>
        <v>495600</v>
      </c>
      <c r="F89" s="36">
        <f t="shared" ref="F89:S89" si="46">F90+F91</f>
        <v>198240</v>
      </c>
      <c r="G89" s="36">
        <f t="shared" si="46"/>
        <v>259600</v>
      </c>
      <c r="H89" s="36">
        <f t="shared" si="46"/>
        <v>0</v>
      </c>
      <c r="I89" s="36">
        <f t="shared" si="46"/>
        <v>0</v>
      </c>
      <c r="J89" s="36">
        <f t="shared" si="46"/>
        <v>500320</v>
      </c>
      <c r="K89" s="36">
        <f t="shared" si="46"/>
        <v>118000</v>
      </c>
      <c r="L89" s="36">
        <f t="shared" si="46"/>
        <v>132160</v>
      </c>
      <c r="M89" s="36">
        <f t="shared" si="46"/>
        <v>70800</v>
      </c>
      <c r="N89" s="36">
        <f t="shared" si="46"/>
        <v>9440</v>
      </c>
      <c r="O89" s="36">
        <f t="shared" si="46"/>
        <v>207680</v>
      </c>
      <c r="P89" s="36">
        <f t="shared" si="46"/>
        <v>165200</v>
      </c>
      <c r="Q89" s="36">
        <f t="shared" si="46"/>
        <v>4720</v>
      </c>
      <c r="R89" s="36">
        <f t="shared" si="46"/>
        <v>0</v>
      </c>
      <c r="S89" s="36">
        <f t="shared" si="46"/>
        <v>108560</v>
      </c>
      <c r="T89" s="37">
        <f>T90+T91</f>
        <v>42480</v>
      </c>
      <c r="U89" s="37">
        <f>U90+U91</f>
        <v>0</v>
      </c>
      <c r="V89" s="36">
        <f t="shared" si="31"/>
        <v>2312800</v>
      </c>
    </row>
    <row r="90" spans="1:22" s="40" customFormat="1" ht="22.5">
      <c r="A90" s="33" t="s">
        <v>384</v>
      </c>
      <c r="B90" s="38" t="s">
        <v>385</v>
      </c>
      <c r="C90" s="38" t="s">
        <v>191</v>
      </c>
      <c r="D90" s="48" t="s">
        <v>386</v>
      </c>
      <c r="E90" s="36">
        <f>E107*400</f>
        <v>42000</v>
      </c>
      <c r="F90" s="36">
        <f t="shared" ref="F90:S90" si="47">F107*400</f>
        <v>16800</v>
      </c>
      <c r="G90" s="36">
        <f t="shared" si="47"/>
        <v>22000</v>
      </c>
      <c r="H90" s="36">
        <f t="shared" si="47"/>
        <v>0</v>
      </c>
      <c r="I90" s="36">
        <f t="shared" si="47"/>
        <v>0</v>
      </c>
      <c r="J90" s="36">
        <f t="shared" si="47"/>
        <v>42400</v>
      </c>
      <c r="K90" s="36">
        <f t="shared" si="47"/>
        <v>10000</v>
      </c>
      <c r="L90" s="36">
        <f t="shared" si="47"/>
        <v>11200</v>
      </c>
      <c r="M90" s="36">
        <f t="shared" si="47"/>
        <v>6000</v>
      </c>
      <c r="N90" s="36">
        <f t="shared" si="47"/>
        <v>800</v>
      </c>
      <c r="O90" s="36">
        <f t="shared" si="47"/>
        <v>17600</v>
      </c>
      <c r="P90" s="36">
        <f t="shared" si="47"/>
        <v>14000</v>
      </c>
      <c r="Q90" s="36">
        <f t="shared" si="47"/>
        <v>400</v>
      </c>
      <c r="R90" s="36">
        <f t="shared" si="47"/>
        <v>0</v>
      </c>
      <c r="S90" s="36">
        <f t="shared" si="47"/>
        <v>9200</v>
      </c>
      <c r="T90" s="37">
        <f>T107*400</f>
        <v>3600</v>
      </c>
      <c r="U90" s="37">
        <f>U107*400</f>
        <v>0</v>
      </c>
      <c r="V90" s="36">
        <f t="shared" si="31"/>
        <v>196000</v>
      </c>
    </row>
    <row r="91" spans="1:22" s="40" customFormat="1" ht="22.5">
      <c r="A91" s="33" t="s">
        <v>387</v>
      </c>
      <c r="B91" s="38" t="s">
        <v>388</v>
      </c>
      <c r="C91" s="38" t="s">
        <v>191</v>
      </c>
      <c r="D91" s="48" t="s">
        <v>389</v>
      </c>
      <c r="E91" s="36">
        <f>E107*4320</f>
        <v>453600</v>
      </c>
      <c r="F91" s="36">
        <f t="shared" ref="F91:S91" si="48">F107*4320</f>
        <v>181440</v>
      </c>
      <c r="G91" s="36">
        <f t="shared" si="48"/>
        <v>237600</v>
      </c>
      <c r="H91" s="36">
        <f t="shared" si="48"/>
        <v>0</v>
      </c>
      <c r="I91" s="36">
        <f t="shared" si="48"/>
        <v>0</v>
      </c>
      <c r="J91" s="36">
        <f t="shared" si="48"/>
        <v>457920</v>
      </c>
      <c r="K91" s="36">
        <f t="shared" si="48"/>
        <v>108000</v>
      </c>
      <c r="L91" s="36">
        <f t="shared" si="48"/>
        <v>120960</v>
      </c>
      <c r="M91" s="36">
        <f t="shared" si="48"/>
        <v>64800</v>
      </c>
      <c r="N91" s="36">
        <f t="shared" si="48"/>
        <v>8640</v>
      </c>
      <c r="O91" s="36">
        <f t="shared" si="48"/>
        <v>190080</v>
      </c>
      <c r="P91" s="36">
        <f t="shared" si="48"/>
        <v>151200</v>
      </c>
      <c r="Q91" s="36">
        <f t="shared" si="48"/>
        <v>4320</v>
      </c>
      <c r="R91" s="36">
        <f t="shared" si="48"/>
        <v>0</v>
      </c>
      <c r="S91" s="36">
        <f t="shared" si="48"/>
        <v>99360</v>
      </c>
      <c r="T91" s="37">
        <f>T107*4320</f>
        <v>38880</v>
      </c>
      <c r="U91" s="37">
        <f>U107*4320</f>
        <v>0</v>
      </c>
      <c r="V91" s="36">
        <f t="shared" si="31"/>
        <v>2116800</v>
      </c>
    </row>
    <row r="92" spans="1:22">
      <c r="A92" s="33" t="s">
        <v>390</v>
      </c>
      <c r="B92" s="34" t="s">
        <v>391</v>
      </c>
      <c r="C92" s="34" t="s">
        <v>191</v>
      </c>
      <c r="D92" s="47" t="s">
        <v>293</v>
      </c>
      <c r="E92" s="49"/>
      <c r="F92" s="49"/>
      <c r="G92" s="49"/>
      <c r="H92" s="49"/>
      <c r="I92" s="49"/>
      <c r="J92" s="49"/>
      <c r="K92" s="49"/>
      <c r="L92" s="49"/>
      <c r="M92" s="49"/>
      <c r="N92" s="49"/>
      <c r="O92" s="49"/>
      <c r="P92" s="49"/>
      <c r="Q92" s="49"/>
      <c r="R92" s="49"/>
      <c r="S92" s="49"/>
      <c r="T92" s="49"/>
      <c r="U92" s="49"/>
      <c r="V92" s="36">
        <f t="shared" si="31"/>
        <v>0</v>
      </c>
    </row>
    <row r="93" spans="1:22">
      <c r="A93" s="33" t="s">
        <v>392</v>
      </c>
      <c r="B93" s="34" t="s">
        <v>393</v>
      </c>
      <c r="C93" s="34"/>
      <c r="D93" s="35" t="s">
        <v>185</v>
      </c>
      <c r="E93" s="36">
        <f>E94</f>
        <v>0</v>
      </c>
      <c r="F93" s="36">
        <f t="shared" ref="F93:U93" si="49">F94</f>
        <v>0</v>
      </c>
      <c r="G93" s="36">
        <f t="shared" si="49"/>
        <v>0</v>
      </c>
      <c r="H93" s="36">
        <f t="shared" si="49"/>
        <v>0</v>
      </c>
      <c r="I93" s="36">
        <f t="shared" si="49"/>
        <v>0</v>
      </c>
      <c r="J93" s="36">
        <f t="shared" si="49"/>
        <v>10000</v>
      </c>
      <c r="K93" s="36">
        <f t="shared" si="49"/>
        <v>0</v>
      </c>
      <c r="L93" s="36">
        <f t="shared" si="49"/>
        <v>32000</v>
      </c>
      <c r="M93" s="36">
        <f t="shared" si="49"/>
        <v>0</v>
      </c>
      <c r="N93" s="36">
        <f t="shared" si="49"/>
        <v>0</v>
      </c>
      <c r="O93" s="36">
        <f t="shared" si="49"/>
        <v>25000</v>
      </c>
      <c r="P93" s="36">
        <f t="shared" si="49"/>
        <v>5000</v>
      </c>
      <c r="Q93" s="36">
        <f t="shared" si="49"/>
        <v>32000</v>
      </c>
      <c r="R93" s="36">
        <f t="shared" si="49"/>
        <v>0</v>
      </c>
      <c r="S93" s="36">
        <f t="shared" si="49"/>
        <v>32000</v>
      </c>
      <c r="T93" s="37">
        <f t="shared" si="49"/>
        <v>32000</v>
      </c>
      <c r="U93" s="37">
        <f t="shared" si="49"/>
        <v>32000</v>
      </c>
      <c r="V93" s="36">
        <f t="shared" si="31"/>
        <v>200000</v>
      </c>
    </row>
    <row r="94" spans="1:22" ht="57" thickBot="1">
      <c r="A94" s="33" t="s">
        <v>394</v>
      </c>
      <c r="B94" s="50" t="s">
        <v>395</v>
      </c>
      <c r="C94" s="34" t="s">
        <v>191</v>
      </c>
      <c r="D94" s="51" t="s">
        <v>396</v>
      </c>
      <c r="E94" s="52"/>
      <c r="F94" s="52"/>
      <c r="G94" s="52"/>
      <c r="H94" s="52"/>
      <c r="I94" s="52"/>
      <c r="J94" s="52">
        <v>10000</v>
      </c>
      <c r="K94" s="52"/>
      <c r="L94" s="52">
        <v>32000</v>
      </c>
      <c r="M94" s="52"/>
      <c r="N94" s="52"/>
      <c r="O94" s="52">
        <v>25000</v>
      </c>
      <c r="P94" s="52">
        <v>5000</v>
      </c>
      <c r="Q94" s="52">
        <v>32000</v>
      </c>
      <c r="R94" s="52"/>
      <c r="S94" s="52">
        <v>32000</v>
      </c>
      <c r="T94" s="52">
        <v>32000</v>
      </c>
      <c r="U94" s="52">
        <v>32000</v>
      </c>
      <c r="V94" s="36">
        <f t="shared" si="31"/>
        <v>200000</v>
      </c>
    </row>
    <row r="95" spans="1:22" ht="23.25" customHeight="1" thickTop="1">
      <c r="A95" s="33" t="s">
        <v>397</v>
      </c>
      <c r="B95" s="53" t="s">
        <v>398</v>
      </c>
      <c r="C95" s="53"/>
      <c r="D95" s="54"/>
      <c r="E95" s="55"/>
      <c r="F95" s="55"/>
      <c r="G95" s="55"/>
      <c r="H95" s="55"/>
      <c r="I95" s="55"/>
      <c r="J95" s="55"/>
      <c r="K95" s="55"/>
      <c r="L95" s="55"/>
      <c r="M95" s="55"/>
      <c r="N95" s="55"/>
      <c r="O95" s="55"/>
      <c r="P95" s="55"/>
      <c r="Q95" s="55"/>
      <c r="R95" s="55"/>
      <c r="S95" s="55"/>
      <c r="T95" s="55"/>
      <c r="U95" s="55"/>
      <c r="V95" s="36">
        <f t="shared" si="31"/>
        <v>0</v>
      </c>
    </row>
    <row r="96" spans="1:22" ht="22.5">
      <c r="A96" s="33" t="s">
        <v>399</v>
      </c>
      <c r="B96" s="34" t="s">
        <v>400</v>
      </c>
      <c r="C96" s="34"/>
      <c r="D96" s="35" t="s">
        <v>401</v>
      </c>
      <c r="E96" s="36">
        <f>E97+E98+E99+E100</f>
        <v>255</v>
      </c>
      <c r="F96" s="36">
        <f t="shared" ref="F96:S96" si="50">F97+F98+F99+F100</f>
        <v>86</v>
      </c>
      <c r="G96" s="36">
        <f t="shared" si="50"/>
        <v>83</v>
      </c>
      <c r="H96" s="36">
        <f t="shared" si="50"/>
        <v>0</v>
      </c>
      <c r="I96" s="36">
        <f t="shared" si="50"/>
        <v>90</v>
      </c>
      <c r="J96" s="36">
        <f t="shared" si="50"/>
        <v>288</v>
      </c>
      <c r="K96" s="36">
        <f t="shared" si="50"/>
        <v>63</v>
      </c>
      <c r="L96" s="36">
        <f t="shared" si="50"/>
        <v>116</v>
      </c>
      <c r="M96" s="36">
        <f t="shared" si="50"/>
        <v>62</v>
      </c>
      <c r="N96" s="36">
        <f t="shared" si="50"/>
        <v>109</v>
      </c>
      <c r="O96" s="36">
        <f t="shared" si="50"/>
        <v>167</v>
      </c>
      <c r="P96" s="36">
        <f t="shared" si="50"/>
        <v>46</v>
      </c>
      <c r="Q96" s="36">
        <f t="shared" si="50"/>
        <v>36</v>
      </c>
      <c r="R96" s="36">
        <f t="shared" si="50"/>
        <v>28</v>
      </c>
      <c r="S96" s="36">
        <f t="shared" si="50"/>
        <v>45</v>
      </c>
      <c r="T96" s="37">
        <f>T97+T98+T99+T100</f>
        <v>7</v>
      </c>
      <c r="U96" s="37">
        <v>4</v>
      </c>
      <c r="V96" s="36">
        <f t="shared" si="31"/>
        <v>1485</v>
      </c>
    </row>
    <row r="97" spans="1:22">
      <c r="A97" s="33" t="s">
        <v>402</v>
      </c>
      <c r="B97" s="56" t="s">
        <v>403</v>
      </c>
      <c r="C97" s="56"/>
      <c r="D97" s="42"/>
      <c r="E97" s="43">
        <v>255</v>
      </c>
      <c r="F97" s="43">
        <v>86</v>
      </c>
      <c r="G97" s="43">
        <v>83</v>
      </c>
      <c r="H97" s="43">
        <v>0</v>
      </c>
      <c r="I97" s="43">
        <v>90</v>
      </c>
      <c r="J97" s="43"/>
      <c r="K97" s="43"/>
      <c r="L97" s="43"/>
      <c r="M97" s="43"/>
      <c r="N97" s="43"/>
      <c r="O97" s="43"/>
      <c r="P97" s="43"/>
      <c r="Q97" s="43"/>
      <c r="R97" s="43"/>
      <c r="S97" s="43"/>
      <c r="T97" s="43"/>
      <c r="U97" s="43"/>
      <c r="V97" s="36">
        <f t="shared" si="31"/>
        <v>514</v>
      </c>
    </row>
    <row r="98" spans="1:22">
      <c r="A98" s="33" t="s">
        <v>404</v>
      </c>
      <c r="B98" s="56" t="s">
        <v>405</v>
      </c>
      <c r="C98" s="56"/>
      <c r="D98" s="35"/>
      <c r="E98" s="37"/>
      <c r="F98" s="37"/>
      <c r="G98" s="37"/>
      <c r="H98" s="37"/>
      <c r="I98" s="37"/>
      <c r="J98" s="37">
        <v>288</v>
      </c>
      <c r="K98" s="37">
        <v>63</v>
      </c>
      <c r="L98" s="37">
        <v>116</v>
      </c>
      <c r="M98" s="37">
        <v>62</v>
      </c>
      <c r="N98" s="37">
        <v>109</v>
      </c>
      <c r="O98" s="37"/>
      <c r="P98" s="37"/>
      <c r="Q98" s="37"/>
      <c r="R98" s="37"/>
      <c r="S98" s="37"/>
      <c r="T98" s="37"/>
      <c r="U98" s="37"/>
      <c r="V98" s="36">
        <f t="shared" si="31"/>
        <v>638</v>
      </c>
    </row>
    <row r="99" spans="1:22">
      <c r="A99" s="33" t="s">
        <v>406</v>
      </c>
      <c r="B99" s="56" t="s">
        <v>407</v>
      </c>
      <c r="C99" s="56"/>
      <c r="D99" s="42"/>
      <c r="E99" s="43"/>
      <c r="F99" s="43"/>
      <c r="G99" s="43"/>
      <c r="H99" s="43"/>
      <c r="I99" s="43"/>
      <c r="J99" s="43"/>
      <c r="K99" s="43"/>
      <c r="L99" s="43"/>
      <c r="M99" s="43"/>
      <c r="N99" s="43"/>
      <c r="O99" s="43">
        <v>167</v>
      </c>
      <c r="P99" s="43">
        <v>46</v>
      </c>
      <c r="Q99" s="43">
        <v>36</v>
      </c>
      <c r="R99" s="43">
        <v>28</v>
      </c>
      <c r="S99" s="43">
        <v>45</v>
      </c>
      <c r="T99" s="43"/>
      <c r="U99" s="43">
        <v>4</v>
      </c>
      <c r="V99" s="36">
        <f t="shared" si="31"/>
        <v>326</v>
      </c>
    </row>
    <row r="100" spans="1:22">
      <c r="A100" s="33" t="s">
        <v>408</v>
      </c>
      <c r="B100" s="56" t="s">
        <v>409</v>
      </c>
      <c r="C100" s="56"/>
      <c r="D100" s="42"/>
      <c r="E100" s="43"/>
      <c r="F100" s="43"/>
      <c r="G100" s="43"/>
      <c r="H100" s="43"/>
      <c r="I100" s="43"/>
      <c r="J100" s="43"/>
      <c r="K100" s="43"/>
      <c r="L100" s="43"/>
      <c r="M100" s="43"/>
      <c r="N100" s="43"/>
      <c r="O100" s="43"/>
      <c r="P100" s="43"/>
      <c r="Q100" s="43"/>
      <c r="R100" s="43"/>
      <c r="S100" s="43"/>
      <c r="T100" s="43">
        <v>7</v>
      </c>
      <c r="U100" s="43"/>
      <c r="V100" s="36">
        <f t="shared" si="31"/>
        <v>7</v>
      </c>
    </row>
    <row r="101" spans="1:22" ht="33.75">
      <c r="A101" s="33" t="s">
        <v>410</v>
      </c>
      <c r="B101" s="34" t="s">
        <v>411</v>
      </c>
      <c r="C101" s="34"/>
      <c r="D101" s="35" t="s">
        <v>412</v>
      </c>
      <c r="E101" s="36">
        <f>E102+E103+E104+E105</f>
        <v>2505</v>
      </c>
      <c r="F101" s="36">
        <f t="shared" ref="F101:S101" si="51">F102+F103+F104+F105</f>
        <v>839</v>
      </c>
      <c r="G101" s="36">
        <f t="shared" si="51"/>
        <v>732</v>
      </c>
      <c r="H101" s="36">
        <f t="shared" si="51"/>
        <v>397</v>
      </c>
      <c r="I101" s="36">
        <f t="shared" si="51"/>
        <v>1128</v>
      </c>
      <c r="J101" s="36">
        <f t="shared" si="51"/>
        <v>4873</v>
      </c>
      <c r="K101" s="36">
        <f t="shared" si="51"/>
        <v>748</v>
      </c>
      <c r="L101" s="36">
        <f t="shared" si="51"/>
        <v>2033</v>
      </c>
      <c r="M101" s="36">
        <f t="shared" si="51"/>
        <v>750</v>
      </c>
      <c r="N101" s="36">
        <f t="shared" si="51"/>
        <v>1819</v>
      </c>
      <c r="O101" s="36">
        <f t="shared" si="51"/>
        <v>2360</v>
      </c>
      <c r="P101" s="36">
        <f t="shared" si="51"/>
        <v>509</v>
      </c>
      <c r="Q101" s="36">
        <f t="shared" si="51"/>
        <v>456</v>
      </c>
      <c r="R101" s="36">
        <f t="shared" si="51"/>
        <v>411</v>
      </c>
      <c r="S101" s="36">
        <f t="shared" si="51"/>
        <v>472</v>
      </c>
      <c r="T101" s="37">
        <f>T102+T103+T104+T105</f>
        <v>0</v>
      </c>
      <c r="U101" s="37">
        <v>52</v>
      </c>
      <c r="V101" s="36">
        <f t="shared" si="31"/>
        <v>20084</v>
      </c>
    </row>
    <row r="102" spans="1:22">
      <c r="A102" s="33" t="s">
        <v>413</v>
      </c>
      <c r="B102" s="56" t="s">
        <v>403</v>
      </c>
      <c r="C102" s="56"/>
      <c r="D102" s="42"/>
      <c r="E102" s="43">
        <v>2505</v>
      </c>
      <c r="F102" s="43">
        <v>839</v>
      </c>
      <c r="G102" s="43">
        <v>732</v>
      </c>
      <c r="H102" s="43">
        <v>397</v>
      </c>
      <c r="I102" s="43">
        <v>1128</v>
      </c>
      <c r="J102" s="43"/>
      <c r="K102" s="43"/>
      <c r="L102" s="43"/>
      <c r="M102" s="43"/>
      <c r="N102" s="43"/>
      <c r="O102" s="43"/>
      <c r="P102" s="43"/>
      <c r="Q102" s="43"/>
      <c r="R102" s="43"/>
      <c r="S102" s="43"/>
      <c r="T102" s="43"/>
      <c r="U102" s="43"/>
      <c r="V102" s="36">
        <f t="shared" si="31"/>
        <v>5601</v>
      </c>
    </row>
    <row r="103" spans="1:22">
      <c r="A103" s="33" t="s">
        <v>414</v>
      </c>
      <c r="B103" s="56" t="s">
        <v>405</v>
      </c>
      <c r="C103" s="56"/>
      <c r="D103" s="35"/>
      <c r="E103" s="37"/>
      <c r="F103" s="37"/>
      <c r="G103" s="37"/>
      <c r="H103" s="37"/>
      <c r="I103" s="37"/>
      <c r="J103" s="37">
        <v>4873</v>
      </c>
      <c r="K103" s="37">
        <v>748</v>
      </c>
      <c r="L103" s="37">
        <v>2033</v>
      </c>
      <c r="M103" s="37">
        <v>677</v>
      </c>
      <c r="N103" s="37">
        <v>1819</v>
      </c>
      <c r="O103" s="37"/>
      <c r="P103" s="37"/>
      <c r="Q103" s="37"/>
      <c r="R103" s="37"/>
      <c r="S103" s="37"/>
      <c r="T103" s="37"/>
      <c r="U103" s="37"/>
      <c r="V103" s="36">
        <f t="shared" si="31"/>
        <v>10150</v>
      </c>
    </row>
    <row r="104" spans="1:22">
      <c r="A104" s="33" t="s">
        <v>415</v>
      </c>
      <c r="B104" s="56" t="s">
        <v>407</v>
      </c>
      <c r="C104" s="56"/>
      <c r="D104" s="42"/>
      <c r="E104" s="43"/>
      <c r="F104" s="43"/>
      <c r="G104" s="43"/>
      <c r="H104" s="43"/>
      <c r="I104" s="43"/>
      <c r="J104" s="43"/>
      <c r="K104" s="43"/>
      <c r="L104" s="43"/>
      <c r="M104" s="43"/>
      <c r="N104" s="43"/>
      <c r="O104" s="43">
        <v>2360</v>
      </c>
      <c r="P104" s="43">
        <v>509</v>
      </c>
      <c r="Q104" s="43">
        <v>456</v>
      </c>
      <c r="R104" s="43">
        <v>411</v>
      </c>
      <c r="S104" s="43">
        <v>472</v>
      </c>
      <c r="T104" s="43"/>
      <c r="U104" s="43">
        <v>52</v>
      </c>
      <c r="V104" s="36">
        <f t="shared" si="31"/>
        <v>4260</v>
      </c>
    </row>
    <row r="105" spans="1:22">
      <c r="A105" s="33" t="s">
        <v>416</v>
      </c>
      <c r="B105" s="56" t="s">
        <v>409</v>
      </c>
      <c r="C105" s="56"/>
      <c r="D105" s="42"/>
      <c r="E105" s="43"/>
      <c r="F105" s="43"/>
      <c r="G105" s="43"/>
      <c r="H105" s="43"/>
      <c r="I105" s="43"/>
      <c r="J105" s="43"/>
      <c r="K105" s="43"/>
      <c r="L105" s="43"/>
      <c r="M105" s="43">
        <v>73</v>
      </c>
      <c r="N105" s="43"/>
      <c r="O105" s="43"/>
      <c r="P105" s="43"/>
      <c r="Q105" s="43"/>
      <c r="R105" s="43"/>
      <c r="S105" s="43"/>
      <c r="T105" s="43"/>
      <c r="U105" s="43"/>
      <c r="V105" s="36">
        <f t="shared" si="31"/>
        <v>73</v>
      </c>
    </row>
    <row r="106" spans="1:22">
      <c r="A106" s="33" t="s">
        <v>417</v>
      </c>
      <c r="B106" s="34" t="s">
        <v>418</v>
      </c>
      <c r="C106" s="34"/>
      <c r="D106" s="47"/>
      <c r="E106" s="57"/>
      <c r="F106" s="57"/>
      <c r="G106" s="57"/>
      <c r="H106" s="57"/>
      <c r="I106" s="57"/>
      <c r="J106" s="57"/>
      <c r="K106" s="57"/>
      <c r="L106" s="57"/>
      <c r="M106" s="57"/>
      <c r="N106" s="57"/>
      <c r="O106" s="57"/>
      <c r="P106" s="57"/>
      <c r="Q106" s="57"/>
      <c r="R106" s="57"/>
      <c r="S106" s="57"/>
      <c r="T106" s="57"/>
      <c r="U106" s="57"/>
      <c r="V106" s="36">
        <f t="shared" si="31"/>
        <v>0</v>
      </c>
    </row>
    <row r="107" spans="1:22">
      <c r="A107" s="33" t="s">
        <v>419</v>
      </c>
      <c r="B107" s="34" t="s">
        <v>420</v>
      </c>
      <c r="C107" s="34"/>
      <c r="D107" s="35"/>
      <c r="E107" s="37">
        <v>105</v>
      </c>
      <c r="F107" s="37">
        <v>42</v>
      </c>
      <c r="G107" s="37">
        <v>55</v>
      </c>
      <c r="H107" s="37"/>
      <c r="I107" s="37"/>
      <c r="J107" s="37">
        <v>106</v>
      </c>
      <c r="K107" s="37">
        <v>25</v>
      </c>
      <c r="L107" s="37">
        <v>28</v>
      </c>
      <c r="M107" s="37">
        <v>15</v>
      </c>
      <c r="N107" s="37">
        <v>2</v>
      </c>
      <c r="O107" s="37">
        <v>44</v>
      </c>
      <c r="P107" s="37">
        <v>35</v>
      </c>
      <c r="Q107" s="37">
        <v>1</v>
      </c>
      <c r="R107" s="37"/>
      <c r="S107" s="37">
        <v>23</v>
      </c>
      <c r="T107" s="37">
        <v>9</v>
      </c>
      <c r="U107" s="37"/>
      <c r="V107" s="36">
        <f t="shared" si="31"/>
        <v>490</v>
      </c>
    </row>
    <row r="108" spans="1:22">
      <c r="A108" s="33" t="s">
        <v>421</v>
      </c>
      <c r="B108" s="56" t="s">
        <v>422</v>
      </c>
      <c r="C108" s="56"/>
      <c r="D108" s="47"/>
      <c r="E108" s="37">
        <v>21669.27</v>
      </c>
      <c r="F108" s="37">
        <v>13160</v>
      </c>
      <c r="G108" s="37">
        <v>8372.6200000000008</v>
      </c>
      <c r="H108" s="37">
        <v>12742.28</v>
      </c>
      <c r="I108" s="37">
        <v>11355.73</v>
      </c>
      <c r="J108" s="37">
        <v>28635.95</v>
      </c>
      <c r="K108" s="37">
        <v>4631.83</v>
      </c>
      <c r="L108" s="37">
        <v>12756.42</v>
      </c>
      <c r="M108" s="37">
        <v>5172.54</v>
      </c>
      <c r="N108" s="37">
        <v>14337.21</v>
      </c>
      <c r="O108" s="37">
        <v>23301</v>
      </c>
      <c r="P108" s="37">
        <v>4286</v>
      </c>
      <c r="Q108" s="37">
        <v>5391</v>
      </c>
      <c r="R108" s="37">
        <v>3731.92</v>
      </c>
      <c r="S108" s="37">
        <v>4612</v>
      </c>
      <c r="T108" s="37">
        <v>2800</v>
      </c>
      <c r="U108" s="37">
        <v>6500</v>
      </c>
      <c r="V108" s="36">
        <f t="shared" si="31"/>
        <v>183455.77000000002</v>
      </c>
    </row>
    <row r="109" spans="1:22">
      <c r="A109" s="33" t="s">
        <v>423</v>
      </c>
      <c r="B109" s="56" t="s">
        <v>424</v>
      </c>
      <c r="C109" s="56"/>
      <c r="D109" s="47"/>
      <c r="E109" s="37">
        <v>10518</v>
      </c>
      <c r="F109" s="37">
        <v>8691</v>
      </c>
      <c r="G109" s="37">
        <v>6496</v>
      </c>
      <c r="H109" s="37">
        <v>7142.4</v>
      </c>
      <c r="I109" s="37">
        <v>3000</v>
      </c>
      <c r="J109" s="37">
        <v>10739</v>
      </c>
      <c r="K109" s="37">
        <v>3226</v>
      </c>
      <c r="L109" s="37">
        <v>6620</v>
      </c>
      <c r="M109" s="37">
        <v>3585</v>
      </c>
      <c r="N109" s="37">
        <v>9336</v>
      </c>
      <c r="O109" s="37">
        <v>9430</v>
      </c>
      <c r="P109" s="37">
        <v>2350</v>
      </c>
      <c r="Q109" s="37">
        <v>2356</v>
      </c>
      <c r="R109" s="37">
        <v>1786</v>
      </c>
      <c r="S109" s="37">
        <v>1717</v>
      </c>
      <c r="T109" s="37"/>
      <c r="U109" s="37">
        <v>2312.1</v>
      </c>
      <c r="V109" s="36">
        <f t="shared" si="31"/>
        <v>89304.5</v>
      </c>
    </row>
  </sheetData>
  <protectedRanges>
    <protectedRange password="E9C1" sqref="B31:D109 A4:D12 A2:V3 B13:D28 A13:A109 V4:V109" name="区域1_1_2"/>
    <protectedRange password="E9C1" sqref="B29:C30" name="区域1_1_1_1"/>
    <protectedRange password="E9C1" sqref="D29" name="区域1_3"/>
    <protectedRange password="E9C1" sqref="D30" name="区域1_2_1"/>
  </protectedRanges>
  <mergeCells count="1">
    <mergeCell ref="A1:V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42</vt:i4>
      </vt:variant>
    </vt:vector>
  </HeadingPairs>
  <TitlesOfParts>
    <vt:vector size="90" baseType="lpstr">
      <vt:lpstr>七宝镇</vt:lpstr>
      <vt:lpstr>基本支出汇总</vt:lpstr>
      <vt:lpstr>社区教育</vt:lpstr>
      <vt:lpstr>志愿者联盟</vt:lpstr>
      <vt:lpstr>2021年绩效预估</vt:lpstr>
      <vt:lpstr>保安经费</vt:lpstr>
      <vt:lpstr>莘庄</vt:lpstr>
      <vt:lpstr>吴泾</vt:lpstr>
      <vt:lpstr>七宝</vt:lpstr>
      <vt:lpstr>浦江</vt:lpstr>
      <vt:lpstr>梅陇</vt:lpstr>
      <vt:lpstr>马桥</vt:lpstr>
      <vt:lpstr>华漕</vt:lpstr>
      <vt:lpstr>颛桥</vt:lpstr>
      <vt:lpstr>虹桥</vt:lpstr>
      <vt:lpstr>信息中心</vt:lpstr>
      <vt:lpstr>学前科</vt:lpstr>
      <vt:lpstr>普教一科</vt:lpstr>
      <vt:lpstr>普教二科</vt:lpstr>
      <vt:lpstr>考试中心</vt:lpstr>
      <vt:lpstr>教育学院</vt:lpstr>
      <vt:lpstr>莘庄维修</vt:lpstr>
      <vt:lpstr>吴泾维修</vt:lpstr>
      <vt:lpstr>七宝维修</vt:lpstr>
      <vt:lpstr>浦江维修</vt:lpstr>
      <vt:lpstr>梅陇维修</vt:lpstr>
      <vt:lpstr>马桥维修</vt:lpstr>
      <vt:lpstr>华漕维修</vt:lpstr>
      <vt:lpstr>颛桥维修</vt:lpstr>
      <vt:lpstr>虹桥维修</vt:lpstr>
      <vt:lpstr>空气检测</vt:lpstr>
      <vt:lpstr>尾款</vt:lpstr>
      <vt:lpstr>理化实验室信息化部分</vt:lpstr>
      <vt:lpstr>教育学院培训专项</vt:lpstr>
      <vt:lpstr>莘庄镇设备</vt:lpstr>
      <vt:lpstr>吴泾镇设备</vt:lpstr>
      <vt:lpstr>七宝镇设备</vt:lpstr>
      <vt:lpstr>浦江镇设备</vt:lpstr>
      <vt:lpstr>梅陇镇设备</vt:lpstr>
      <vt:lpstr>马桥镇设备</vt:lpstr>
      <vt:lpstr>华漕镇设备</vt:lpstr>
      <vt:lpstr>颛桥镇设备</vt:lpstr>
      <vt:lpstr>虹桥镇设备</vt:lpstr>
      <vt:lpstr>维修尾款</vt:lpstr>
      <vt:lpstr>维修新增</vt:lpstr>
      <vt:lpstr>扩班设备</vt:lpstr>
      <vt:lpstr>学前科补充项目</vt:lpstr>
      <vt:lpstr>2021年绩效清算</vt:lpstr>
      <vt:lpstr>虹桥维修!Print_Area</vt:lpstr>
      <vt:lpstr>虹桥镇设备!Print_Area</vt:lpstr>
      <vt:lpstr>华漕镇设备!Print_Area</vt:lpstr>
      <vt:lpstr>教育学院!Print_Area</vt:lpstr>
      <vt:lpstr>考试中心!Print_Area</vt:lpstr>
      <vt:lpstr>扩班设备!Print_Area</vt:lpstr>
      <vt:lpstr>马桥维修!Print_Area</vt:lpstr>
      <vt:lpstr>马桥镇设备!Print_Area</vt:lpstr>
      <vt:lpstr>梅陇维修!Print_Area</vt:lpstr>
      <vt:lpstr>梅陇镇设备!Print_Area</vt:lpstr>
      <vt:lpstr>浦江维修!Print_Area</vt:lpstr>
      <vt:lpstr>浦江镇设备!Print_Area</vt:lpstr>
      <vt:lpstr>普教二科!Print_Area</vt:lpstr>
      <vt:lpstr>普教一科!Print_Area</vt:lpstr>
      <vt:lpstr>七宝维修!Print_Area</vt:lpstr>
      <vt:lpstr>七宝镇设备!Print_Area</vt:lpstr>
      <vt:lpstr>莘庄维修!Print_Area</vt:lpstr>
      <vt:lpstr>莘庄镇设备!Print_Area</vt:lpstr>
      <vt:lpstr>维修新增!Print_Area</vt:lpstr>
      <vt:lpstr>吴泾维修!Print_Area</vt:lpstr>
      <vt:lpstr>吴泾镇设备!Print_Area</vt:lpstr>
      <vt:lpstr>学前科!Print_Area</vt:lpstr>
      <vt:lpstr>颛桥维修!Print_Area</vt:lpstr>
      <vt:lpstr>颛桥镇设备!Print_Area</vt:lpstr>
      <vt:lpstr>虹桥维修!Print_Titles</vt:lpstr>
      <vt:lpstr>考试中心!Print_Titles</vt:lpstr>
      <vt:lpstr>扩班设备!Print_Titles</vt:lpstr>
      <vt:lpstr>理化实验室信息化部分!Print_Titles</vt:lpstr>
      <vt:lpstr>马桥维修!Print_Titles</vt:lpstr>
      <vt:lpstr>梅陇镇设备!Print_Titles</vt:lpstr>
      <vt:lpstr>浦江维修!Print_Titles</vt:lpstr>
      <vt:lpstr>浦江镇设备!Print_Titles</vt:lpstr>
      <vt:lpstr>普教二科!Print_Titles</vt:lpstr>
      <vt:lpstr>普教一科!Print_Titles</vt:lpstr>
      <vt:lpstr>七宝维修!Print_Titles</vt:lpstr>
      <vt:lpstr>七宝镇设备!Print_Titles</vt:lpstr>
      <vt:lpstr>莘庄维修!Print_Titles</vt:lpstr>
      <vt:lpstr>维修新增!Print_Titles</vt:lpstr>
      <vt:lpstr>吴泾维修!Print_Titles</vt:lpstr>
      <vt:lpstr>学前科!Print_Titles</vt:lpstr>
      <vt:lpstr>颛桥维修!Print_Titles</vt:lpstr>
      <vt:lpstr>颛桥镇设备!Print_Titles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孟爱红</dc:creator>
  <cp:lastModifiedBy>顾红仙</cp:lastModifiedBy>
  <cp:lastPrinted>2022-06-01T07:53:09Z</cp:lastPrinted>
  <dcterms:created xsi:type="dcterms:W3CDTF">2019-11-08T06:57:41Z</dcterms:created>
  <dcterms:modified xsi:type="dcterms:W3CDTF">2022-06-01T07:53:15Z</dcterms:modified>
</cp:coreProperties>
</file>