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75" windowWidth="24120" windowHeight="12045" firstSheet="14" activeTab="14"/>
  </bookViews>
  <sheets>
    <sheet name="基本支出汇总" sheetId="30" state="hidden" r:id="rId1"/>
    <sheet name="社区教育" sheetId="2" state="hidden" r:id="rId2"/>
    <sheet name="志愿者联盟" sheetId="3" state="hidden" r:id="rId3"/>
    <sheet name="2021年绩效预估" sheetId="17" state="hidden" r:id="rId4"/>
    <sheet name="保安经费" sheetId="32" state="hidden" r:id="rId5"/>
    <sheet name="莘庄" sheetId="22" state="hidden" r:id="rId6"/>
    <sheet name="吴泾" sheetId="21" state="hidden" r:id="rId7"/>
    <sheet name="七宝" sheetId="20" state="hidden" r:id="rId8"/>
    <sheet name="浦江" sheetId="31" state="hidden" r:id="rId9"/>
    <sheet name="梅陇" sheetId="25" state="hidden" r:id="rId10"/>
    <sheet name="马桥" sheetId="19" state="hidden" r:id="rId11"/>
    <sheet name="华漕" sheetId="24" state="hidden" r:id="rId12"/>
    <sheet name="颛桥" sheetId="26" state="hidden" r:id="rId13"/>
    <sheet name="虹桥" sheetId="23" state="hidden" r:id="rId14"/>
    <sheet name="华漕镇" sheetId="50" r:id="rId15"/>
    <sheet name="设备更新及购置" sheetId="53" state="hidden" r:id="rId16"/>
  </sheets>
  <externalReferences>
    <externalReference r:id="rId17"/>
    <externalReference r:id="rId18"/>
  </externalReferences>
  <calcPr calcId="145621"/>
</workbook>
</file>

<file path=xl/calcChain.xml><?xml version="1.0" encoding="utf-8"?>
<calcChain xmlns="http://schemas.openxmlformats.org/spreadsheetml/2006/main">
  <c r="J7" i="53" l="1"/>
  <c r="J6" i="53"/>
  <c r="J5" i="53"/>
  <c r="J4" i="53"/>
  <c r="J3" i="53"/>
  <c r="J8" i="53" l="1"/>
  <c r="C4" i="50" s="1"/>
  <c r="E4" i="50" s="1"/>
  <c r="E5" i="50" s="1"/>
  <c r="W109" i="23"/>
  <c r="W108" i="23"/>
  <c r="W107" i="23"/>
  <c r="W106" i="23"/>
  <c r="W105" i="23"/>
  <c r="W104" i="23"/>
  <c r="W103" i="23"/>
  <c r="W102" i="23"/>
  <c r="V101" i="23"/>
  <c r="S101" i="23"/>
  <c r="R101" i="23"/>
  <c r="Q101" i="23"/>
  <c r="P101" i="23"/>
  <c r="O101" i="23"/>
  <c r="N101" i="23"/>
  <c r="M101" i="23"/>
  <c r="L101" i="23"/>
  <c r="K101" i="23"/>
  <c r="J101" i="23"/>
  <c r="I101" i="23"/>
  <c r="H101" i="23"/>
  <c r="G101" i="23"/>
  <c r="F101" i="23"/>
  <c r="E101" i="23"/>
  <c r="W100" i="23"/>
  <c r="W99" i="23"/>
  <c r="W98" i="23"/>
  <c r="W97" i="23"/>
  <c r="V96" i="23"/>
  <c r="S96" i="23"/>
  <c r="S80" i="23" s="1"/>
  <c r="S79" i="23" s="1"/>
  <c r="R96" i="23"/>
  <c r="Q96" i="23"/>
  <c r="P96" i="23"/>
  <c r="O96" i="23"/>
  <c r="O80" i="23" s="1"/>
  <c r="O79" i="23" s="1"/>
  <c r="N96" i="23"/>
  <c r="M96" i="23"/>
  <c r="L96" i="23"/>
  <c r="K96" i="23"/>
  <c r="K80" i="23" s="1"/>
  <c r="K79" i="23" s="1"/>
  <c r="J96" i="23"/>
  <c r="I96" i="23"/>
  <c r="H96" i="23"/>
  <c r="G96" i="23"/>
  <c r="G80" i="23" s="1"/>
  <c r="G79" i="23" s="1"/>
  <c r="F96" i="23"/>
  <c r="E96" i="23"/>
  <c r="W95" i="23"/>
  <c r="W94" i="23"/>
  <c r="V93" i="23"/>
  <c r="S93" i="23"/>
  <c r="R93" i="23"/>
  <c r="Q93" i="23"/>
  <c r="P93" i="23"/>
  <c r="O93" i="23"/>
  <c r="N93" i="23"/>
  <c r="M93" i="23"/>
  <c r="L93" i="23"/>
  <c r="K93" i="23"/>
  <c r="J93" i="23"/>
  <c r="I93" i="23"/>
  <c r="H93" i="23"/>
  <c r="G93" i="23"/>
  <c r="F93" i="23"/>
  <c r="E93" i="23"/>
  <c r="W93" i="23" s="1"/>
  <c r="W92" i="23"/>
  <c r="V91" i="23"/>
  <c r="S91" i="23"/>
  <c r="R91" i="23"/>
  <c r="Q91" i="23"/>
  <c r="P91" i="23"/>
  <c r="O91" i="23"/>
  <c r="N91" i="23"/>
  <c r="M91" i="23"/>
  <c r="L91" i="23"/>
  <c r="K91" i="23"/>
  <c r="J91" i="23"/>
  <c r="I91" i="23"/>
  <c r="H91" i="23"/>
  <c r="G91" i="23"/>
  <c r="F91" i="23"/>
  <c r="E91" i="23"/>
  <c r="V90" i="23"/>
  <c r="S90" i="23"/>
  <c r="S89" i="23" s="1"/>
  <c r="R90" i="23"/>
  <c r="Q90" i="23"/>
  <c r="Q89" i="23" s="1"/>
  <c r="P90" i="23"/>
  <c r="O90" i="23"/>
  <c r="O89" i="23" s="1"/>
  <c r="N90" i="23"/>
  <c r="M90" i="23"/>
  <c r="M89" i="23" s="1"/>
  <c r="L90" i="23"/>
  <c r="K90" i="23"/>
  <c r="K89" i="23" s="1"/>
  <c r="J90" i="23"/>
  <c r="I90" i="23"/>
  <c r="I89" i="23" s="1"/>
  <c r="H90" i="23"/>
  <c r="H89" i="23" s="1"/>
  <c r="G90" i="23"/>
  <c r="G89" i="23" s="1"/>
  <c r="F90" i="23"/>
  <c r="E90" i="23"/>
  <c r="V89" i="23"/>
  <c r="P89" i="23"/>
  <c r="L89" i="23"/>
  <c r="W88" i="23"/>
  <c r="W87" i="23"/>
  <c r="V86" i="23"/>
  <c r="S86" i="23"/>
  <c r="R86" i="23"/>
  <c r="Q86" i="23"/>
  <c r="P86" i="23"/>
  <c r="P85" i="23" s="1"/>
  <c r="O86" i="23"/>
  <c r="N86" i="23"/>
  <c r="M86" i="23"/>
  <c r="L86" i="23"/>
  <c r="L85" i="23" s="1"/>
  <c r="K86" i="23"/>
  <c r="J86" i="23"/>
  <c r="I86" i="23"/>
  <c r="H86" i="23"/>
  <c r="H85" i="23" s="1"/>
  <c r="G86" i="23"/>
  <c r="F86" i="23"/>
  <c r="E86" i="23"/>
  <c r="V85" i="23"/>
  <c r="W84" i="23"/>
  <c r="V83" i="23"/>
  <c r="S83" i="23"/>
  <c r="R83" i="23"/>
  <c r="Q83" i="23"/>
  <c r="P83" i="23"/>
  <c r="O83" i="23"/>
  <c r="N83" i="23"/>
  <c r="M83" i="23"/>
  <c r="L83" i="23"/>
  <c r="K83" i="23"/>
  <c r="J83" i="23"/>
  <c r="I83" i="23"/>
  <c r="H83" i="23"/>
  <c r="G83" i="23"/>
  <c r="F83" i="23"/>
  <c r="E83" i="23"/>
  <c r="W83" i="23" s="1"/>
  <c r="V82" i="23"/>
  <c r="S82" i="23"/>
  <c r="S81" i="23" s="1"/>
  <c r="R82" i="23"/>
  <c r="R81" i="23" s="1"/>
  <c r="Q82" i="23"/>
  <c r="Q81" i="23" s="1"/>
  <c r="P82" i="23"/>
  <c r="O82" i="23"/>
  <c r="O81" i="23" s="1"/>
  <c r="N82" i="23"/>
  <c r="M82" i="23"/>
  <c r="M81" i="23" s="1"/>
  <c r="L82" i="23"/>
  <c r="K82" i="23"/>
  <c r="K81" i="23" s="1"/>
  <c r="J82" i="23"/>
  <c r="J81" i="23" s="1"/>
  <c r="I82" i="23"/>
  <c r="I81" i="23" s="1"/>
  <c r="H82" i="23"/>
  <c r="G82" i="23"/>
  <c r="G81" i="23" s="1"/>
  <c r="F82" i="23"/>
  <c r="E82" i="23"/>
  <c r="W82" i="23" s="1"/>
  <c r="V81" i="23"/>
  <c r="P81" i="23"/>
  <c r="N81" i="23"/>
  <c r="L81" i="23"/>
  <c r="H81" i="23"/>
  <c r="F81" i="23"/>
  <c r="V80" i="23"/>
  <c r="R80" i="23"/>
  <c r="R79" i="23" s="1"/>
  <c r="Q80" i="23"/>
  <c r="Q79" i="23" s="1"/>
  <c r="P80" i="23"/>
  <c r="N80" i="23"/>
  <c r="M80" i="23"/>
  <c r="M79" i="23" s="1"/>
  <c r="L80" i="23"/>
  <c r="J80" i="23"/>
  <c r="J79" i="23" s="1"/>
  <c r="I80" i="23"/>
  <c r="I79" i="23" s="1"/>
  <c r="H80" i="23"/>
  <c r="F80" i="23"/>
  <c r="E80" i="23"/>
  <c r="E79" i="23" s="1"/>
  <c r="V79" i="23"/>
  <c r="P79" i="23"/>
  <c r="N79" i="23"/>
  <c r="L79" i="23"/>
  <c r="H79" i="23"/>
  <c r="F79" i="23"/>
  <c r="W78" i="23"/>
  <c r="V77" i="23"/>
  <c r="S77" i="23"/>
  <c r="R77" i="23"/>
  <c r="Q77" i="23"/>
  <c r="P77" i="23"/>
  <c r="O77" i="23"/>
  <c r="N77" i="23"/>
  <c r="M77" i="23"/>
  <c r="L77" i="23"/>
  <c r="K77" i="23"/>
  <c r="J77" i="23"/>
  <c r="I77" i="23"/>
  <c r="H77" i="23"/>
  <c r="G77" i="23"/>
  <c r="F77" i="23"/>
  <c r="E77" i="23"/>
  <c r="V76" i="23"/>
  <c r="S76" i="23"/>
  <c r="S75" i="23" s="1"/>
  <c r="R76" i="23"/>
  <c r="R75" i="23" s="1"/>
  <c r="Q76" i="23"/>
  <c r="Q75" i="23" s="1"/>
  <c r="P76" i="23"/>
  <c r="O76" i="23"/>
  <c r="O75" i="23" s="1"/>
  <c r="N76" i="23"/>
  <c r="N75" i="23" s="1"/>
  <c r="M76" i="23"/>
  <c r="M75" i="23" s="1"/>
  <c r="L76" i="23"/>
  <c r="K76" i="23"/>
  <c r="K75" i="23" s="1"/>
  <c r="J76" i="23"/>
  <c r="J75" i="23" s="1"/>
  <c r="I76" i="23"/>
  <c r="I75" i="23" s="1"/>
  <c r="H76" i="23"/>
  <c r="G76" i="23"/>
  <c r="G75" i="23" s="1"/>
  <c r="F76" i="23"/>
  <c r="F75" i="23" s="1"/>
  <c r="E76" i="23"/>
  <c r="E75" i="23" s="1"/>
  <c r="V75" i="23"/>
  <c r="P75" i="23"/>
  <c r="L75" i="23"/>
  <c r="H75" i="23"/>
  <c r="V74" i="23"/>
  <c r="S74" i="23"/>
  <c r="S73" i="23" s="1"/>
  <c r="R74" i="23"/>
  <c r="R73" i="23" s="1"/>
  <c r="Q74" i="23"/>
  <c r="Q73" i="23" s="1"/>
  <c r="P74" i="23"/>
  <c r="O74" i="23"/>
  <c r="O73" i="23" s="1"/>
  <c r="N74" i="23"/>
  <c r="N73" i="23" s="1"/>
  <c r="M74" i="23"/>
  <c r="M73" i="23" s="1"/>
  <c r="L74" i="23"/>
  <c r="K74" i="23"/>
  <c r="K73" i="23" s="1"/>
  <c r="J74" i="23"/>
  <c r="J73" i="23" s="1"/>
  <c r="I74" i="23"/>
  <c r="I73" i="23" s="1"/>
  <c r="H74" i="23"/>
  <c r="G74" i="23"/>
  <c r="G73" i="23" s="1"/>
  <c r="F74" i="23"/>
  <c r="F73" i="23" s="1"/>
  <c r="E74" i="23"/>
  <c r="V73" i="23"/>
  <c r="P73" i="23"/>
  <c r="L73" i="23"/>
  <c r="H73" i="23"/>
  <c r="V72" i="23"/>
  <c r="S72" i="23"/>
  <c r="S71" i="23" s="1"/>
  <c r="R72" i="23"/>
  <c r="R71" i="23" s="1"/>
  <c r="Q72" i="23"/>
  <c r="Q71" i="23" s="1"/>
  <c r="P72" i="23"/>
  <c r="O72" i="23"/>
  <c r="O71" i="23" s="1"/>
  <c r="N72" i="23"/>
  <c r="N71" i="23" s="1"/>
  <c r="M72" i="23"/>
  <c r="M71" i="23" s="1"/>
  <c r="L72" i="23"/>
  <c r="K72" i="23"/>
  <c r="K71" i="23" s="1"/>
  <c r="J72" i="23"/>
  <c r="J71" i="23" s="1"/>
  <c r="I72" i="23"/>
  <c r="I71" i="23" s="1"/>
  <c r="H72" i="23"/>
  <c r="G72" i="23"/>
  <c r="G71" i="23" s="1"/>
  <c r="F72" i="23"/>
  <c r="F71" i="23" s="1"/>
  <c r="E72" i="23"/>
  <c r="E71" i="23" s="1"/>
  <c r="V71" i="23"/>
  <c r="P71" i="23"/>
  <c r="L71" i="23"/>
  <c r="H71" i="23"/>
  <c r="W70" i="23"/>
  <c r="W69" i="23"/>
  <c r="W68" i="23"/>
  <c r="I68" i="23"/>
  <c r="H68" i="23"/>
  <c r="G68" i="23"/>
  <c r="W67" i="23"/>
  <c r="W66" i="23"/>
  <c r="W65" i="23"/>
  <c r="W64" i="23"/>
  <c r="W63" i="23"/>
  <c r="W62" i="23"/>
  <c r="W61" i="23"/>
  <c r="W60" i="23"/>
  <c r="W59" i="23"/>
  <c r="W58" i="23"/>
  <c r="W57" i="23"/>
  <c r="W56" i="23"/>
  <c r="W55" i="23"/>
  <c r="H54" i="23"/>
  <c r="G54" i="23"/>
  <c r="E54" i="23"/>
  <c r="W54" i="23" s="1"/>
  <c r="V53" i="23"/>
  <c r="V52" i="23" s="1"/>
  <c r="S53" i="23"/>
  <c r="R53" i="23"/>
  <c r="Q53" i="23"/>
  <c r="P53" i="23"/>
  <c r="O53" i="23"/>
  <c r="N53" i="23"/>
  <c r="M53" i="23"/>
  <c r="L53" i="23"/>
  <c r="K53" i="23"/>
  <c r="J53" i="23"/>
  <c r="I53" i="23"/>
  <c r="H53" i="23"/>
  <c r="G53" i="23"/>
  <c r="F53" i="23"/>
  <c r="W51" i="23"/>
  <c r="W50" i="23"/>
  <c r="W49" i="23"/>
  <c r="W48" i="23"/>
  <c r="V47" i="23"/>
  <c r="S47" i="23"/>
  <c r="R47" i="23"/>
  <c r="Q47" i="23"/>
  <c r="P47" i="23"/>
  <c r="O47" i="23"/>
  <c r="N47" i="23"/>
  <c r="M47" i="23"/>
  <c r="L47" i="23"/>
  <c r="K47" i="23"/>
  <c r="J47" i="23"/>
  <c r="I47" i="23"/>
  <c r="H47" i="23"/>
  <c r="G47" i="23"/>
  <c r="F47" i="23"/>
  <c r="E47" i="23"/>
  <c r="W46" i="23"/>
  <c r="V45" i="23"/>
  <c r="V31" i="23" s="1"/>
  <c r="S45" i="23"/>
  <c r="R45" i="23"/>
  <c r="Q45" i="23"/>
  <c r="P45" i="23"/>
  <c r="P31" i="23" s="1"/>
  <c r="O45" i="23"/>
  <c r="N45" i="23"/>
  <c r="M45" i="23"/>
  <c r="L45" i="23"/>
  <c r="L31" i="23" s="1"/>
  <c r="K45" i="23"/>
  <c r="J45" i="23"/>
  <c r="I45" i="23"/>
  <c r="H45" i="23"/>
  <c r="H31" i="23" s="1"/>
  <c r="G45" i="23"/>
  <c r="F45" i="23"/>
  <c r="E45" i="23"/>
  <c r="W44" i="23"/>
  <c r="W43" i="23"/>
  <c r="V42" i="23"/>
  <c r="S42" i="23"/>
  <c r="R42" i="23"/>
  <c r="Q42" i="23"/>
  <c r="P42" i="23"/>
  <c r="O42" i="23"/>
  <c r="N42" i="23"/>
  <c r="M42" i="23"/>
  <c r="L42" i="23"/>
  <c r="K42" i="23"/>
  <c r="J42" i="23"/>
  <c r="I42" i="23"/>
  <c r="H42" i="23"/>
  <c r="G42" i="23"/>
  <c r="F42" i="23"/>
  <c r="E42" i="23"/>
  <c r="W41" i="23"/>
  <c r="V40" i="23"/>
  <c r="S40" i="23"/>
  <c r="S31" i="23" s="1"/>
  <c r="R40" i="23"/>
  <c r="Q40" i="23"/>
  <c r="P40" i="23"/>
  <c r="O40" i="23"/>
  <c r="O31" i="23" s="1"/>
  <c r="N40" i="23"/>
  <c r="M40" i="23"/>
  <c r="L40" i="23"/>
  <c r="K40" i="23"/>
  <c r="K31" i="23" s="1"/>
  <c r="J40" i="23"/>
  <c r="I40" i="23"/>
  <c r="H40" i="23"/>
  <c r="G40" i="23"/>
  <c r="G31" i="23" s="1"/>
  <c r="F40" i="23"/>
  <c r="E40" i="23"/>
  <c r="W39" i="23"/>
  <c r="W38" i="23"/>
  <c r="W37" i="23"/>
  <c r="W36" i="23"/>
  <c r="W35" i="23"/>
  <c r="W34" i="23"/>
  <c r="W33" i="23"/>
  <c r="V32" i="23"/>
  <c r="S32" i="23"/>
  <c r="R32" i="23"/>
  <c r="Q32" i="23"/>
  <c r="P32" i="23"/>
  <c r="O32" i="23"/>
  <c r="N32" i="23"/>
  <c r="M32" i="23"/>
  <c r="L32" i="23"/>
  <c r="K32" i="23"/>
  <c r="J32" i="23"/>
  <c r="I32" i="23"/>
  <c r="H32" i="23"/>
  <c r="G32" i="23"/>
  <c r="F32" i="23"/>
  <c r="E32" i="23"/>
  <c r="R31" i="23"/>
  <c r="Q31" i="23"/>
  <c r="N31" i="23"/>
  <c r="M31" i="23"/>
  <c r="J31" i="23"/>
  <c r="I31" i="23"/>
  <c r="F31" i="23"/>
  <c r="E31" i="23"/>
  <c r="V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V29" i="23"/>
  <c r="S29" i="23"/>
  <c r="R29" i="23"/>
  <c r="Q29" i="23"/>
  <c r="P29" i="23"/>
  <c r="O29" i="23"/>
  <c r="N29" i="23"/>
  <c r="M29" i="23"/>
  <c r="L29" i="23"/>
  <c r="K29" i="23"/>
  <c r="J29" i="23"/>
  <c r="I29" i="23"/>
  <c r="H29" i="23"/>
  <c r="G29" i="23"/>
  <c r="F29" i="23"/>
  <c r="E29" i="23"/>
  <c r="V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V27" i="23"/>
  <c r="S27" i="23"/>
  <c r="R27" i="23"/>
  <c r="Q27" i="23"/>
  <c r="P27" i="23"/>
  <c r="O27" i="23"/>
  <c r="N27" i="23"/>
  <c r="M27" i="23"/>
  <c r="L27" i="23"/>
  <c r="K27" i="23"/>
  <c r="J27" i="23"/>
  <c r="I27" i="23"/>
  <c r="H27" i="23"/>
  <c r="G27" i="23"/>
  <c r="F27" i="23"/>
  <c r="E27" i="23"/>
  <c r="V26" i="23"/>
  <c r="S26" i="23"/>
  <c r="R26" i="23"/>
  <c r="Q26" i="23"/>
  <c r="P26" i="23"/>
  <c r="O26" i="23"/>
  <c r="N26" i="23"/>
  <c r="M26" i="23"/>
  <c r="L26" i="23"/>
  <c r="K26" i="23"/>
  <c r="J26" i="23"/>
  <c r="I26" i="23"/>
  <c r="H26" i="23"/>
  <c r="G26" i="23"/>
  <c r="F26" i="23"/>
  <c r="E26" i="23"/>
  <c r="V25" i="23"/>
  <c r="S25" i="23"/>
  <c r="R25" i="23"/>
  <c r="Q25" i="23"/>
  <c r="P25" i="23"/>
  <c r="O25" i="23"/>
  <c r="N25" i="23"/>
  <c r="M25" i="23"/>
  <c r="L25" i="23"/>
  <c r="K25" i="23"/>
  <c r="J25" i="23"/>
  <c r="I25" i="23"/>
  <c r="H25" i="23"/>
  <c r="G25" i="23"/>
  <c r="F25" i="23"/>
  <c r="E25" i="23"/>
  <c r="V24" i="23"/>
  <c r="S24" i="23"/>
  <c r="R24" i="23"/>
  <c r="Q24" i="23"/>
  <c r="P24" i="23"/>
  <c r="O24" i="23"/>
  <c r="N24" i="23"/>
  <c r="M24" i="23"/>
  <c r="L24" i="23"/>
  <c r="K24" i="23"/>
  <c r="J24" i="23"/>
  <c r="I24" i="23"/>
  <c r="H24" i="23"/>
  <c r="G24" i="23"/>
  <c r="F24" i="23"/>
  <c r="E24" i="23"/>
  <c r="V23" i="23"/>
  <c r="S23" i="23"/>
  <c r="R23" i="23"/>
  <c r="Q23" i="23"/>
  <c r="P23" i="23"/>
  <c r="O23" i="23"/>
  <c r="N23" i="23"/>
  <c r="M23" i="23"/>
  <c r="L23" i="23"/>
  <c r="K23" i="23"/>
  <c r="J23" i="23"/>
  <c r="I23" i="23"/>
  <c r="H23" i="23"/>
  <c r="G23" i="23"/>
  <c r="F23" i="23"/>
  <c r="E23" i="23"/>
  <c r="V22" i="23"/>
  <c r="S22" i="23"/>
  <c r="R22" i="23"/>
  <c r="Q22" i="23"/>
  <c r="P22" i="23"/>
  <c r="O22" i="23"/>
  <c r="N22" i="23"/>
  <c r="M22" i="23"/>
  <c r="L22" i="23"/>
  <c r="K22" i="23"/>
  <c r="J22" i="23"/>
  <c r="I22" i="23"/>
  <c r="H22" i="23"/>
  <c r="G22" i="23"/>
  <c r="F22" i="23"/>
  <c r="E22" i="23"/>
  <c r="V21" i="23"/>
  <c r="S21" i="23"/>
  <c r="R21" i="23"/>
  <c r="Q21" i="23"/>
  <c r="P21" i="23"/>
  <c r="O21" i="23"/>
  <c r="N21" i="23"/>
  <c r="M21" i="23"/>
  <c r="L21" i="23"/>
  <c r="K21" i="23"/>
  <c r="J21" i="23"/>
  <c r="I21" i="23"/>
  <c r="H21" i="23"/>
  <c r="G21" i="23"/>
  <c r="F21" i="23"/>
  <c r="E21" i="23"/>
  <c r="V20" i="23"/>
  <c r="S20" i="23"/>
  <c r="R20" i="23"/>
  <c r="Q20" i="23"/>
  <c r="P20" i="23"/>
  <c r="O20" i="23"/>
  <c r="N20" i="23"/>
  <c r="M20" i="23"/>
  <c r="L20" i="23"/>
  <c r="K20" i="23"/>
  <c r="J20" i="23"/>
  <c r="I20" i="23"/>
  <c r="H20" i="23"/>
  <c r="G20" i="23"/>
  <c r="F20" i="23"/>
  <c r="E20" i="23"/>
  <c r="W19" i="23"/>
  <c r="W18" i="23"/>
  <c r="V17" i="23"/>
  <c r="S17" i="23"/>
  <c r="R17" i="23"/>
  <c r="Q17" i="23"/>
  <c r="P17" i="23"/>
  <c r="O17" i="23"/>
  <c r="N17" i="23"/>
  <c r="M17" i="23"/>
  <c r="L17" i="23"/>
  <c r="K17" i="23"/>
  <c r="J17" i="23"/>
  <c r="I17" i="23"/>
  <c r="H17" i="23"/>
  <c r="G17" i="23"/>
  <c r="F17" i="23"/>
  <c r="E17" i="23"/>
  <c r="W16" i="23"/>
  <c r="V15" i="23"/>
  <c r="S15" i="23"/>
  <c r="R15" i="23"/>
  <c r="Q15" i="23"/>
  <c r="P15" i="23"/>
  <c r="O15" i="23"/>
  <c r="N15" i="23"/>
  <c r="M15" i="23"/>
  <c r="L15" i="23"/>
  <c r="K15" i="23"/>
  <c r="J15" i="23"/>
  <c r="I15" i="23"/>
  <c r="H15" i="23"/>
  <c r="G15" i="23"/>
  <c r="F15" i="23"/>
  <c r="E15" i="23"/>
  <c r="W15" i="23" s="1"/>
  <c r="V14" i="23"/>
  <c r="S14" i="23"/>
  <c r="R14" i="23"/>
  <c r="Q14" i="23"/>
  <c r="P14" i="23"/>
  <c r="O14" i="23"/>
  <c r="N14" i="23"/>
  <c r="M14" i="23"/>
  <c r="L14" i="23"/>
  <c r="K14" i="23"/>
  <c r="J14" i="23"/>
  <c r="I14" i="23"/>
  <c r="H14" i="23"/>
  <c r="G14" i="23"/>
  <c r="F14" i="23"/>
  <c r="E14" i="23"/>
  <c r="W14" i="23" s="1"/>
  <c r="V13" i="23"/>
  <c r="S13" i="23"/>
  <c r="R13" i="23"/>
  <c r="Q13" i="23"/>
  <c r="P13" i="23"/>
  <c r="O13" i="23"/>
  <c r="N13" i="23"/>
  <c r="M13" i="23"/>
  <c r="L13" i="23"/>
  <c r="K13" i="23"/>
  <c r="J13" i="23"/>
  <c r="I13" i="23"/>
  <c r="H13" i="23"/>
  <c r="G13" i="23"/>
  <c r="F13" i="23"/>
  <c r="E13" i="23"/>
  <c r="W13" i="23" s="1"/>
  <c r="V12" i="23"/>
  <c r="S12" i="23"/>
  <c r="R12" i="23"/>
  <c r="Q12" i="23"/>
  <c r="P12" i="23"/>
  <c r="O12" i="23"/>
  <c r="N12" i="23"/>
  <c r="M12" i="23"/>
  <c r="L12" i="23"/>
  <c r="K12" i="23"/>
  <c r="J12" i="23"/>
  <c r="I12" i="23"/>
  <c r="H12" i="23"/>
  <c r="G12" i="23"/>
  <c r="F12" i="23"/>
  <c r="E12" i="23"/>
  <c r="W12" i="23" s="1"/>
  <c r="V11" i="23"/>
  <c r="S11" i="23"/>
  <c r="R11" i="23"/>
  <c r="Q11" i="23"/>
  <c r="P11" i="23"/>
  <c r="O11" i="23"/>
  <c r="N11" i="23"/>
  <c r="M11" i="23"/>
  <c r="L11" i="23"/>
  <c r="K11" i="23"/>
  <c r="J11" i="23"/>
  <c r="I11" i="23"/>
  <c r="H11" i="23"/>
  <c r="G11" i="23"/>
  <c r="F11" i="23"/>
  <c r="E11" i="23"/>
  <c r="W11" i="23" s="1"/>
  <c r="V10" i="23"/>
  <c r="V8" i="23" s="1"/>
  <c r="V4" i="23" s="1"/>
  <c r="S10" i="23"/>
  <c r="S8" i="23" s="1"/>
  <c r="S4" i="23" s="1"/>
  <c r="R10" i="23"/>
  <c r="Q10" i="23"/>
  <c r="Q8" i="23" s="1"/>
  <c r="Q4" i="23" s="1"/>
  <c r="P10" i="23"/>
  <c r="P8" i="23" s="1"/>
  <c r="P4" i="23" s="1"/>
  <c r="O10" i="23"/>
  <c r="O8" i="23" s="1"/>
  <c r="O4" i="23" s="1"/>
  <c r="N10" i="23"/>
  <c r="M10" i="23"/>
  <c r="M8" i="23" s="1"/>
  <c r="M4" i="23" s="1"/>
  <c r="L10" i="23"/>
  <c r="L8" i="23" s="1"/>
  <c r="L4" i="23" s="1"/>
  <c r="K10" i="23"/>
  <c r="K8" i="23" s="1"/>
  <c r="K4" i="23" s="1"/>
  <c r="J10" i="23"/>
  <c r="I10" i="23"/>
  <c r="I8" i="23" s="1"/>
  <c r="I4" i="23" s="1"/>
  <c r="H10" i="23"/>
  <c r="H8" i="23" s="1"/>
  <c r="H4" i="23" s="1"/>
  <c r="G10" i="23"/>
  <c r="G8" i="23" s="1"/>
  <c r="G4" i="23" s="1"/>
  <c r="F10" i="23"/>
  <c r="E10" i="23"/>
  <c r="W10" i="23" s="1"/>
  <c r="W9" i="23"/>
  <c r="R8" i="23"/>
  <c r="R4" i="23" s="1"/>
  <c r="N8" i="23"/>
  <c r="N4" i="23" s="1"/>
  <c r="J8" i="23"/>
  <c r="J4" i="23" s="1"/>
  <c r="F8" i="23"/>
  <c r="F4" i="23" s="1"/>
  <c r="W7" i="23"/>
  <c r="W6" i="23"/>
  <c r="V5" i="23"/>
  <c r="S5" i="23"/>
  <c r="R5" i="23"/>
  <c r="Q5" i="23"/>
  <c r="P5" i="23"/>
  <c r="O5" i="23"/>
  <c r="N5" i="23"/>
  <c r="M5" i="23"/>
  <c r="L5" i="23"/>
  <c r="K5" i="23"/>
  <c r="J5" i="23"/>
  <c r="I5" i="23"/>
  <c r="H5" i="23"/>
  <c r="G5" i="23"/>
  <c r="F5" i="23"/>
  <c r="E5" i="23"/>
  <c r="Q109" i="19"/>
  <c r="Q108" i="19"/>
  <c r="Q107" i="19"/>
  <c r="Q106" i="19"/>
  <c r="Q105" i="19"/>
  <c r="Q104" i="19"/>
  <c r="N104" i="19"/>
  <c r="N101" i="19" s="1"/>
  <c r="Q103" i="19"/>
  <c r="Q102" i="19"/>
  <c r="P101" i="19"/>
  <c r="O101" i="19"/>
  <c r="M101" i="19"/>
  <c r="L101" i="19"/>
  <c r="K101" i="19"/>
  <c r="J101" i="19"/>
  <c r="I101" i="19"/>
  <c r="H101" i="19"/>
  <c r="G101" i="19"/>
  <c r="F101" i="19"/>
  <c r="E101" i="19"/>
  <c r="Q100" i="19"/>
  <c r="Q99" i="19"/>
  <c r="Q98" i="19"/>
  <c r="Q97" i="19"/>
  <c r="P96" i="19"/>
  <c r="O96" i="19"/>
  <c r="N96" i="19"/>
  <c r="M96" i="19"/>
  <c r="L96" i="19"/>
  <c r="K96" i="19"/>
  <c r="J96" i="19"/>
  <c r="I96" i="19"/>
  <c r="H96" i="19"/>
  <c r="G96" i="19"/>
  <c r="F96" i="19"/>
  <c r="E96" i="19"/>
  <c r="Q96" i="19" s="1"/>
  <c r="Q95" i="19"/>
  <c r="Q94" i="19"/>
  <c r="P93" i="19"/>
  <c r="O93" i="19"/>
  <c r="N93" i="19"/>
  <c r="M93" i="19"/>
  <c r="L93" i="19"/>
  <c r="K93" i="19"/>
  <c r="J93" i="19"/>
  <c r="I93" i="19"/>
  <c r="H93" i="19"/>
  <c r="G93" i="19"/>
  <c r="F93" i="19"/>
  <c r="E93" i="19"/>
  <c r="Q92" i="19"/>
  <c r="P91" i="19"/>
  <c r="O91" i="19"/>
  <c r="N91" i="19"/>
  <c r="M91" i="19"/>
  <c r="L91" i="19"/>
  <c r="K91" i="19"/>
  <c r="J91" i="19"/>
  <c r="I91" i="19"/>
  <c r="H91" i="19"/>
  <c r="G91" i="19"/>
  <c r="F91" i="19"/>
  <c r="E91" i="19"/>
  <c r="P90" i="19"/>
  <c r="O90" i="19"/>
  <c r="N90" i="19"/>
  <c r="M90" i="19"/>
  <c r="L90" i="19"/>
  <c r="K90" i="19"/>
  <c r="J90" i="19"/>
  <c r="I90" i="19"/>
  <c r="H90" i="19"/>
  <c r="G90" i="19"/>
  <c r="F90" i="19"/>
  <c r="E90" i="19"/>
  <c r="P89" i="19"/>
  <c r="P85" i="19" s="1"/>
  <c r="P52" i="19" s="1"/>
  <c r="O89" i="19"/>
  <c r="O85" i="19" s="1"/>
  <c r="N89" i="19"/>
  <c r="M89" i="19"/>
  <c r="L89" i="19"/>
  <c r="L85" i="19" s="1"/>
  <c r="L52" i="19" s="1"/>
  <c r="K89" i="19"/>
  <c r="K85" i="19" s="1"/>
  <c r="J89" i="19"/>
  <c r="I89" i="19"/>
  <c r="H89" i="19"/>
  <c r="H85" i="19" s="1"/>
  <c r="H52" i="19" s="1"/>
  <c r="G89" i="19"/>
  <c r="G85" i="19" s="1"/>
  <c r="F89" i="19"/>
  <c r="E89" i="19"/>
  <c r="Q88" i="19"/>
  <c r="Q87" i="19"/>
  <c r="P86" i="19"/>
  <c r="O86" i="19"/>
  <c r="N86" i="19"/>
  <c r="M86" i="19"/>
  <c r="L86" i="19"/>
  <c r="K86" i="19"/>
  <c r="J86" i="19"/>
  <c r="I86" i="19"/>
  <c r="H86" i="19"/>
  <c r="G86" i="19"/>
  <c r="F86" i="19"/>
  <c r="E86" i="19"/>
  <c r="N85" i="19"/>
  <c r="M85" i="19"/>
  <c r="J85" i="19"/>
  <c r="I85" i="19"/>
  <c r="F85" i="19"/>
  <c r="E85" i="19"/>
  <c r="Q84" i="19"/>
  <c r="P83" i="19"/>
  <c r="O83" i="19"/>
  <c r="N83" i="19"/>
  <c r="M83" i="19"/>
  <c r="L83" i="19"/>
  <c r="K83" i="19"/>
  <c r="J83" i="19"/>
  <c r="I83" i="19"/>
  <c r="H83" i="19"/>
  <c r="G83" i="19"/>
  <c r="F83" i="19"/>
  <c r="E83" i="19"/>
  <c r="P82" i="19"/>
  <c r="O82" i="19"/>
  <c r="O81" i="19" s="1"/>
  <c r="N82" i="19"/>
  <c r="M82" i="19"/>
  <c r="L82" i="19"/>
  <c r="K82" i="19"/>
  <c r="K81" i="19" s="1"/>
  <c r="J82" i="19"/>
  <c r="I82" i="19"/>
  <c r="H82" i="19"/>
  <c r="G82" i="19"/>
  <c r="G81" i="19" s="1"/>
  <c r="E82" i="19"/>
  <c r="P81" i="19"/>
  <c r="N81" i="19"/>
  <c r="M81" i="19"/>
  <c r="L81" i="19"/>
  <c r="J81" i="19"/>
  <c r="I81" i="19"/>
  <c r="H81" i="19"/>
  <c r="E81" i="19"/>
  <c r="P80" i="19"/>
  <c r="O80" i="19"/>
  <c r="N80" i="19"/>
  <c r="M80" i="19"/>
  <c r="L80" i="19"/>
  <c r="K80" i="19"/>
  <c r="J80" i="19"/>
  <c r="I80" i="19"/>
  <c r="H80" i="19"/>
  <c r="G80" i="19"/>
  <c r="F80" i="19"/>
  <c r="E80" i="19"/>
  <c r="Q80" i="19" s="1"/>
  <c r="P79" i="19"/>
  <c r="O79" i="19"/>
  <c r="N79" i="19"/>
  <c r="M79" i="19"/>
  <c r="L79" i="19"/>
  <c r="K79" i="19"/>
  <c r="J79" i="19"/>
  <c r="I79" i="19"/>
  <c r="H79" i="19"/>
  <c r="G79" i="19"/>
  <c r="F79" i="19"/>
  <c r="E79" i="19"/>
  <c r="Q79" i="19" s="1"/>
  <c r="Q78" i="19"/>
  <c r="P77" i="19"/>
  <c r="O77" i="19"/>
  <c r="N77" i="19"/>
  <c r="M77" i="19"/>
  <c r="L77" i="19"/>
  <c r="K77" i="19"/>
  <c r="J77" i="19"/>
  <c r="I77" i="19"/>
  <c r="H77" i="19"/>
  <c r="G77" i="19"/>
  <c r="F77" i="19"/>
  <c r="E77" i="19"/>
  <c r="P76" i="19"/>
  <c r="O76" i="19"/>
  <c r="N76" i="19"/>
  <c r="M76" i="19"/>
  <c r="L76" i="19"/>
  <c r="K76" i="19"/>
  <c r="J76" i="19"/>
  <c r="I76" i="19"/>
  <c r="H76" i="19"/>
  <c r="G76" i="19"/>
  <c r="F76" i="19"/>
  <c r="E76" i="19"/>
  <c r="P75" i="19"/>
  <c r="O75" i="19"/>
  <c r="N75" i="19"/>
  <c r="M75" i="19"/>
  <c r="L75" i="19"/>
  <c r="K75" i="19"/>
  <c r="J75" i="19"/>
  <c r="I75" i="19"/>
  <c r="H75" i="19"/>
  <c r="G75" i="19"/>
  <c r="F75" i="19"/>
  <c r="E75" i="19"/>
  <c r="P74" i="19"/>
  <c r="O74" i="19"/>
  <c r="N74" i="19"/>
  <c r="M74" i="19"/>
  <c r="L74" i="19"/>
  <c r="K74" i="19"/>
  <c r="J74" i="19"/>
  <c r="I74" i="19"/>
  <c r="H74" i="19"/>
  <c r="G74" i="19"/>
  <c r="F74" i="19"/>
  <c r="E74" i="19"/>
  <c r="P73" i="19"/>
  <c r="O73" i="19"/>
  <c r="N73" i="19"/>
  <c r="M73" i="19"/>
  <c r="L73" i="19"/>
  <c r="K73" i="19"/>
  <c r="J73" i="19"/>
  <c r="I73" i="19"/>
  <c r="H73" i="19"/>
  <c r="G73" i="19"/>
  <c r="F73" i="19"/>
  <c r="E73" i="19"/>
  <c r="P72" i="19"/>
  <c r="O72" i="19"/>
  <c r="N72" i="19"/>
  <c r="M72" i="19"/>
  <c r="L72" i="19"/>
  <c r="K72" i="19"/>
  <c r="J72" i="19"/>
  <c r="I72" i="19"/>
  <c r="H72" i="19"/>
  <c r="G72" i="19"/>
  <c r="F72" i="19"/>
  <c r="E72" i="19"/>
  <c r="P71" i="19"/>
  <c r="O71" i="19"/>
  <c r="N71" i="19"/>
  <c r="M71" i="19"/>
  <c r="L71" i="19"/>
  <c r="K71" i="19"/>
  <c r="J71" i="19"/>
  <c r="I71" i="19"/>
  <c r="I52" i="19" s="1"/>
  <c r="H71" i="19"/>
  <c r="G71" i="19"/>
  <c r="F71" i="19"/>
  <c r="E71" i="19"/>
  <c r="Q70" i="19"/>
  <c r="Q69" i="19"/>
  <c r="Q68" i="19"/>
  <c r="Q67" i="19"/>
  <c r="Q66" i="19"/>
  <c r="Q65" i="19"/>
  <c r="Q64" i="19"/>
  <c r="N63" i="19"/>
  <c r="E63" i="19"/>
  <c r="Q62" i="19"/>
  <c r="Q61" i="19"/>
  <c r="Q60" i="19"/>
  <c r="Q59" i="19"/>
  <c r="Q58" i="19"/>
  <c r="Q57" i="19"/>
  <c r="Q56" i="19"/>
  <c r="Q55" i="19"/>
  <c r="P54" i="19"/>
  <c r="O54" i="19"/>
  <c r="N54" i="19"/>
  <c r="M54" i="19"/>
  <c r="L54" i="19"/>
  <c r="K54" i="19"/>
  <c r="J54" i="19"/>
  <c r="I54" i="19"/>
  <c r="H54" i="19"/>
  <c r="G54" i="19"/>
  <c r="G53" i="19" s="1"/>
  <c r="G52" i="19" s="1"/>
  <c r="F54" i="19"/>
  <c r="E54" i="19"/>
  <c r="P53" i="19"/>
  <c r="O53" i="19"/>
  <c r="O52" i="19" s="1"/>
  <c r="N53" i="19"/>
  <c r="N52" i="19" s="1"/>
  <c r="M53" i="19"/>
  <c r="M52" i="19" s="1"/>
  <c r="L53" i="19"/>
  <c r="K53" i="19"/>
  <c r="K52" i="19" s="1"/>
  <c r="J53" i="19"/>
  <c r="J52" i="19" s="1"/>
  <c r="Q51" i="19"/>
  <c r="Q50" i="19"/>
  <c r="Q49" i="19"/>
  <c r="Q48" i="19"/>
  <c r="P47" i="19"/>
  <c r="O47" i="19"/>
  <c r="N47" i="19"/>
  <c r="M47" i="19"/>
  <c r="L47" i="19"/>
  <c r="K47" i="19"/>
  <c r="J47" i="19"/>
  <c r="I47" i="19"/>
  <c r="H47" i="19"/>
  <c r="G47" i="19"/>
  <c r="F47" i="19"/>
  <c r="E47" i="19"/>
  <c r="F46" i="19"/>
  <c r="Q46" i="19" s="1"/>
  <c r="P45" i="19"/>
  <c r="O45" i="19"/>
  <c r="N45" i="19"/>
  <c r="M45" i="19"/>
  <c r="M31" i="19" s="1"/>
  <c r="L45" i="19"/>
  <c r="K45" i="19"/>
  <c r="J45" i="19"/>
  <c r="I45" i="19"/>
  <c r="I31" i="19" s="1"/>
  <c r="H45" i="19"/>
  <c r="G45" i="19"/>
  <c r="E45" i="19"/>
  <c r="E31" i="19" s="1"/>
  <c r="Q44" i="19"/>
  <c r="Q43" i="19"/>
  <c r="P42" i="19"/>
  <c r="O42" i="19"/>
  <c r="N42" i="19"/>
  <c r="M42" i="19"/>
  <c r="L42" i="19"/>
  <c r="K42" i="19"/>
  <c r="J42" i="19"/>
  <c r="I42" i="19"/>
  <c r="H42" i="19"/>
  <c r="G42" i="19"/>
  <c r="F42" i="19"/>
  <c r="E42" i="19"/>
  <c r="Q41" i="19"/>
  <c r="P40" i="19"/>
  <c r="P31" i="19" s="1"/>
  <c r="O40" i="19"/>
  <c r="N40" i="19"/>
  <c r="M40" i="19"/>
  <c r="L40" i="19"/>
  <c r="L31" i="19" s="1"/>
  <c r="K40" i="19"/>
  <c r="J40" i="19"/>
  <c r="I40" i="19"/>
  <c r="H40" i="19"/>
  <c r="H31" i="19" s="1"/>
  <c r="G40" i="19"/>
  <c r="F40" i="19"/>
  <c r="E40" i="19"/>
  <c r="Q39" i="19"/>
  <c r="Q38" i="19"/>
  <c r="Q37" i="19"/>
  <c r="Q36" i="19"/>
  <c r="Q35" i="19"/>
  <c r="Q34" i="19"/>
  <c r="Q33" i="19"/>
  <c r="P32" i="19"/>
  <c r="O32" i="19"/>
  <c r="N32" i="19"/>
  <c r="M32" i="19"/>
  <c r="L32" i="19"/>
  <c r="K32" i="19"/>
  <c r="J32" i="19"/>
  <c r="I32" i="19"/>
  <c r="H32" i="19"/>
  <c r="G32" i="19"/>
  <c r="F32" i="19"/>
  <c r="E32" i="19"/>
  <c r="O31" i="19"/>
  <c r="N31" i="19"/>
  <c r="K31" i="19"/>
  <c r="J31" i="19"/>
  <c r="G31" i="19"/>
  <c r="P30" i="19"/>
  <c r="O30" i="19"/>
  <c r="N30" i="19"/>
  <c r="M30" i="19"/>
  <c r="L30" i="19"/>
  <c r="K30" i="19"/>
  <c r="J30" i="19"/>
  <c r="I30" i="19"/>
  <c r="H30" i="19"/>
  <c r="G30" i="19"/>
  <c r="E30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P28" i="19"/>
  <c r="O28" i="19"/>
  <c r="N28" i="19"/>
  <c r="N27" i="19" s="1"/>
  <c r="M28" i="19"/>
  <c r="L28" i="19"/>
  <c r="K28" i="19"/>
  <c r="J28" i="19"/>
  <c r="J27" i="19" s="1"/>
  <c r="I28" i="19"/>
  <c r="H28" i="19"/>
  <c r="G28" i="19"/>
  <c r="E28" i="19"/>
  <c r="E27" i="19" s="1"/>
  <c r="P27" i="19"/>
  <c r="O27" i="19"/>
  <c r="M27" i="19"/>
  <c r="L27" i="19"/>
  <c r="K27" i="19"/>
  <c r="I27" i="19"/>
  <c r="H27" i="19"/>
  <c r="G27" i="19"/>
  <c r="P26" i="19"/>
  <c r="P25" i="19" s="1"/>
  <c r="O26" i="19"/>
  <c r="O25" i="19" s="1"/>
  <c r="N26" i="19"/>
  <c r="M26" i="19"/>
  <c r="L26" i="19"/>
  <c r="L25" i="19" s="1"/>
  <c r="K26" i="19"/>
  <c r="K25" i="19" s="1"/>
  <c r="J26" i="19"/>
  <c r="I26" i="19"/>
  <c r="H26" i="19"/>
  <c r="H25" i="19" s="1"/>
  <c r="G26" i="19"/>
  <c r="G25" i="19" s="1"/>
  <c r="E26" i="19"/>
  <c r="N25" i="19"/>
  <c r="M25" i="19"/>
  <c r="J25" i="19"/>
  <c r="I25" i="19"/>
  <c r="E25" i="19"/>
  <c r="P24" i="19"/>
  <c r="O24" i="19"/>
  <c r="N24" i="19"/>
  <c r="N22" i="19" s="1"/>
  <c r="M24" i="19"/>
  <c r="L24" i="19"/>
  <c r="K24" i="19"/>
  <c r="J24" i="19"/>
  <c r="J22" i="19" s="1"/>
  <c r="I24" i="19"/>
  <c r="H24" i="19"/>
  <c r="G24" i="19"/>
  <c r="E24" i="19"/>
  <c r="E22" i="19" s="1"/>
  <c r="P23" i="19"/>
  <c r="P22" i="19" s="1"/>
  <c r="O23" i="19"/>
  <c r="N23" i="19"/>
  <c r="M23" i="19"/>
  <c r="M22" i="19" s="1"/>
  <c r="L23" i="19"/>
  <c r="L22" i="19" s="1"/>
  <c r="K23" i="19"/>
  <c r="J23" i="19"/>
  <c r="I23" i="19"/>
  <c r="I22" i="19" s="1"/>
  <c r="H23" i="19"/>
  <c r="H22" i="19" s="1"/>
  <c r="G23" i="19"/>
  <c r="E23" i="19"/>
  <c r="O22" i="19"/>
  <c r="K22" i="19"/>
  <c r="G22" i="19"/>
  <c r="P21" i="19"/>
  <c r="O21" i="19"/>
  <c r="O20" i="19" s="1"/>
  <c r="N21" i="19"/>
  <c r="N20" i="19" s="1"/>
  <c r="M21" i="19"/>
  <c r="L21" i="19"/>
  <c r="K21" i="19"/>
  <c r="K20" i="19" s="1"/>
  <c r="J21" i="19"/>
  <c r="J20" i="19" s="1"/>
  <c r="I21" i="19"/>
  <c r="H21" i="19"/>
  <c r="G21" i="19"/>
  <c r="G20" i="19" s="1"/>
  <c r="E21" i="19"/>
  <c r="E20" i="19" s="1"/>
  <c r="P20" i="19"/>
  <c r="M20" i="19"/>
  <c r="L20" i="19"/>
  <c r="I20" i="19"/>
  <c r="H20" i="19"/>
  <c r="Q19" i="19"/>
  <c r="P18" i="19"/>
  <c r="O18" i="19"/>
  <c r="N18" i="19"/>
  <c r="M18" i="19"/>
  <c r="L18" i="19"/>
  <c r="K18" i="19"/>
  <c r="J18" i="19"/>
  <c r="I18" i="19"/>
  <c r="H18" i="19"/>
  <c r="G18" i="19"/>
  <c r="F18" i="19"/>
  <c r="E18" i="19"/>
  <c r="Q18" i="19" s="1"/>
  <c r="Q17" i="19"/>
  <c r="F16" i="19"/>
  <c r="F82" i="19" s="1"/>
  <c r="F81" i="19" s="1"/>
  <c r="P15" i="19"/>
  <c r="O15" i="19"/>
  <c r="N15" i="19"/>
  <c r="M15" i="19"/>
  <c r="L15" i="19"/>
  <c r="K15" i="19"/>
  <c r="J15" i="19"/>
  <c r="I15" i="19"/>
  <c r="H15" i="19"/>
  <c r="G15" i="19"/>
  <c r="F15" i="19"/>
  <c r="E15" i="19"/>
  <c r="P14" i="19"/>
  <c r="O14" i="19"/>
  <c r="N14" i="19"/>
  <c r="M14" i="19"/>
  <c r="L14" i="19"/>
  <c r="K14" i="19"/>
  <c r="J14" i="19"/>
  <c r="I14" i="19"/>
  <c r="H14" i="19"/>
  <c r="G14" i="19"/>
  <c r="F14" i="19"/>
  <c r="E14" i="19"/>
  <c r="P13" i="19"/>
  <c r="O13" i="19"/>
  <c r="N13" i="19"/>
  <c r="M13" i="19"/>
  <c r="L13" i="19"/>
  <c r="K13" i="19"/>
  <c r="J13" i="19"/>
  <c r="I13" i="19"/>
  <c r="H13" i="19"/>
  <c r="G13" i="19"/>
  <c r="F13" i="19"/>
  <c r="E13" i="19"/>
  <c r="P12" i="19"/>
  <c r="O12" i="19"/>
  <c r="N12" i="19"/>
  <c r="M12" i="19"/>
  <c r="L12" i="19"/>
  <c r="K12" i="19"/>
  <c r="J12" i="19"/>
  <c r="I12" i="19"/>
  <c r="H12" i="19"/>
  <c r="G12" i="19"/>
  <c r="F12" i="19"/>
  <c r="E12" i="19"/>
  <c r="P11" i="19"/>
  <c r="O11" i="19"/>
  <c r="N11" i="19"/>
  <c r="M11" i="19"/>
  <c r="L11" i="19"/>
  <c r="K11" i="19"/>
  <c r="J11" i="19"/>
  <c r="I11" i="19"/>
  <c r="H11" i="19"/>
  <c r="G11" i="19"/>
  <c r="F11" i="19"/>
  <c r="E11" i="19"/>
  <c r="P10" i="19"/>
  <c r="P8" i="19" s="1"/>
  <c r="O10" i="19"/>
  <c r="O8" i="19" s="1"/>
  <c r="N10" i="19"/>
  <c r="M10" i="19"/>
  <c r="L10" i="19"/>
  <c r="L8" i="19" s="1"/>
  <c r="K10" i="19"/>
  <c r="K8" i="19" s="1"/>
  <c r="J10" i="19"/>
  <c r="I10" i="19"/>
  <c r="H10" i="19"/>
  <c r="H8" i="19" s="1"/>
  <c r="G10" i="19"/>
  <c r="G8" i="19" s="1"/>
  <c r="F10" i="19"/>
  <c r="E10" i="19"/>
  <c r="F9" i="19"/>
  <c r="N8" i="19"/>
  <c r="M8" i="19"/>
  <c r="M4" i="19" s="1"/>
  <c r="M3" i="19" s="1"/>
  <c r="J8" i="19"/>
  <c r="I8" i="19"/>
  <c r="E8" i="19"/>
  <c r="Q7" i="19"/>
  <c r="F7" i="19"/>
  <c r="F6" i="19"/>
  <c r="Q6" i="19" s="1"/>
  <c r="P5" i="19"/>
  <c r="P4" i="19" s="1"/>
  <c r="P3" i="19" s="1"/>
  <c r="O5" i="19"/>
  <c r="N5" i="19"/>
  <c r="M5" i="19"/>
  <c r="L5" i="19"/>
  <c r="K5" i="19"/>
  <c r="J5" i="19"/>
  <c r="I5" i="19"/>
  <c r="H5" i="19"/>
  <c r="G5" i="19"/>
  <c r="E5" i="19"/>
  <c r="L4" i="19"/>
  <c r="L3" i="19" s="1"/>
  <c r="H4" i="19"/>
  <c r="H3" i="19" s="1"/>
  <c r="Q8" i="19" l="1"/>
  <c r="O4" i="19"/>
  <c r="O3" i="19" s="1"/>
  <c r="I4" i="19"/>
  <c r="I3" i="19" s="1"/>
  <c r="F8" i="19"/>
  <c r="Q9" i="19"/>
  <c r="N4" i="19"/>
  <c r="N3" i="19" s="1"/>
  <c r="K4" i="19"/>
  <c r="K3" i="19" s="1"/>
  <c r="J4" i="19"/>
  <c r="J3" i="19" s="1"/>
  <c r="G4" i="19"/>
  <c r="G3" i="19" s="1"/>
  <c r="Q32" i="19"/>
  <c r="Q42" i="19"/>
  <c r="Q47" i="19"/>
  <c r="Q54" i="19"/>
  <c r="Q63" i="19"/>
  <c r="Q83" i="19"/>
  <c r="Q93" i="19"/>
  <c r="W40" i="23"/>
  <c r="W47" i="23"/>
  <c r="W96" i="23"/>
  <c r="W101" i="23"/>
  <c r="Q29" i="19"/>
  <c r="Q71" i="19"/>
  <c r="Q72" i="19"/>
  <c r="Q73" i="19"/>
  <c r="Q74" i="19"/>
  <c r="Q75" i="19"/>
  <c r="Q76" i="19"/>
  <c r="Q77" i="19"/>
  <c r="Q85" i="19"/>
  <c r="Q86" i="19"/>
  <c r="E8" i="23"/>
  <c r="W20" i="23"/>
  <c r="W21" i="23"/>
  <c r="W22" i="23"/>
  <c r="W23" i="23"/>
  <c r="W24" i="23"/>
  <c r="W25" i="23"/>
  <c r="W26" i="23"/>
  <c r="W27" i="23"/>
  <c r="W28" i="23"/>
  <c r="W29" i="23"/>
  <c r="W30" i="23"/>
  <c r="W31" i="23"/>
  <c r="W32" i="23"/>
  <c r="W42" i="23"/>
  <c r="W74" i="23"/>
  <c r="W75" i="23"/>
  <c r="W77" i="23"/>
  <c r="G85" i="23"/>
  <c r="K85" i="23"/>
  <c r="O85" i="23"/>
  <c r="O52" i="23" s="1"/>
  <c r="O3" i="23" s="1"/>
  <c r="S85" i="23"/>
  <c r="S52" i="23" s="1"/>
  <c r="S3" i="23" s="1"/>
  <c r="W90" i="23"/>
  <c r="W91" i="23"/>
  <c r="Q101" i="19"/>
  <c r="H52" i="23"/>
  <c r="H3" i="23" s="1"/>
  <c r="L52" i="23"/>
  <c r="L3" i="23" s="1"/>
  <c r="P52" i="23"/>
  <c r="P3" i="23" s="1"/>
  <c r="V3" i="23"/>
  <c r="W79" i="23"/>
  <c r="F89" i="23"/>
  <c r="F85" i="23" s="1"/>
  <c r="J89" i="23"/>
  <c r="J85" i="23" s="1"/>
  <c r="N89" i="23"/>
  <c r="N85" i="23" s="1"/>
  <c r="N52" i="23" s="1"/>
  <c r="N3" i="23" s="1"/>
  <c r="R89" i="23"/>
  <c r="R85" i="23" s="1"/>
  <c r="R52" i="23" s="1"/>
  <c r="R3" i="23" s="1"/>
  <c r="E4" i="19"/>
  <c r="F5" i="19"/>
  <c r="Q5" i="19" s="1"/>
  <c r="Q10" i="19"/>
  <c r="Q11" i="19"/>
  <c r="Q12" i="19"/>
  <c r="Q13" i="19"/>
  <c r="Q14" i="19"/>
  <c r="Q15" i="19"/>
  <c r="F52" i="19"/>
  <c r="Q40" i="19"/>
  <c r="F45" i="19"/>
  <c r="F31" i="19" s="1"/>
  <c r="Q31" i="19" s="1"/>
  <c r="E53" i="19"/>
  <c r="Q89" i="19"/>
  <c r="Q90" i="19"/>
  <c r="Q91" i="19"/>
  <c r="W5" i="23"/>
  <c r="W17" i="23"/>
  <c r="W45" i="23"/>
  <c r="W86" i="23"/>
  <c r="W71" i="23"/>
  <c r="M52" i="23"/>
  <c r="M3" i="23" s="1"/>
  <c r="G52" i="23"/>
  <c r="G3" i="23" s="1"/>
  <c r="K52" i="23"/>
  <c r="K3" i="23" s="1"/>
  <c r="I85" i="23"/>
  <c r="I52" i="23" s="1"/>
  <c r="I3" i="23" s="1"/>
  <c r="M85" i="23"/>
  <c r="Q85" i="23"/>
  <c r="Q52" i="23" s="1"/>
  <c r="Q3" i="23" s="1"/>
  <c r="F52" i="23"/>
  <c r="F3" i="23" s="1"/>
  <c r="J52" i="23"/>
  <c r="J3" i="23" s="1"/>
  <c r="E73" i="23"/>
  <c r="W73" i="23" s="1"/>
  <c r="E81" i="23"/>
  <c r="W81" i="23" s="1"/>
  <c r="E85" i="23"/>
  <c r="E89" i="23"/>
  <c r="W72" i="23"/>
  <c r="W76" i="23"/>
  <c r="W80" i="23"/>
  <c r="E53" i="23"/>
  <c r="Q81" i="19"/>
  <c r="Q82" i="19"/>
  <c r="F21" i="19"/>
  <c r="F20" i="19" s="1"/>
  <c r="F24" i="19"/>
  <c r="Q24" i="19" s="1"/>
  <c r="F28" i="19"/>
  <c r="F27" i="19" s="1"/>
  <c r="Q27" i="19" s="1"/>
  <c r="Q16" i="19"/>
  <c r="F23" i="19"/>
  <c r="F26" i="19"/>
  <c r="F25" i="19" s="1"/>
  <c r="Q25" i="19" s="1"/>
  <c r="F30" i="19"/>
  <c r="Q30" i="19" s="1"/>
  <c r="F22" i="19" l="1"/>
  <c r="Q22" i="19" s="1"/>
  <c r="Q45" i="19"/>
  <c r="W8" i="23"/>
  <c r="E4" i="23"/>
  <c r="W4" i="23" s="1"/>
  <c r="W89" i="23"/>
  <c r="Q26" i="19"/>
  <c r="W85" i="23"/>
  <c r="Q53" i="19"/>
  <c r="E52" i="19"/>
  <c r="Q52" i="19" s="1"/>
  <c r="E52" i="23"/>
  <c r="W53" i="23"/>
  <c r="F4" i="19"/>
  <c r="Q28" i="19"/>
  <c r="Q23" i="19"/>
  <c r="Q21" i="19"/>
  <c r="Q20" i="19"/>
  <c r="E3" i="19" l="1"/>
  <c r="W52" i="23"/>
  <c r="E3" i="23"/>
  <c r="W3" i="23" s="1"/>
  <c r="F3" i="19"/>
  <c r="Q4" i="19"/>
  <c r="M109" i="24"/>
  <c r="M108" i="24"/>
  <c r="M107" i="24"/>
  <c r="M106" i="24"/>
  <c r="M105" i="24"/>
  <c r="M104" i="24"/>
  <c r="M103" i="24"/>
  <c r="M102" i="24"/>
  <c r="L101" i="24"/>
  <c r="K101" i="24"/>
  <c r="J101" i="24"/>
  <c r="I101" i="24"/>
  <c r="H101" i="24"/>
  <c r="G101" i="24"/>
  <c r="F101" i="24"/>
  <c r="E101" i="24"/>
  <c r="M100" i="24"/>
  <c r="M99" i="24"/>
  <c r="M98" i="24"/>
  <c r="M97" i="24"/>
  <c r="L96" i="24"/>
  <c r="K96" i="24"/>
  <c r="K72" i="24" s="1"/>
  <c r="K71" i="24" s="1"/>
  <c r="J96" i="24"/>
  <c r="I96" i="24"/>
  <c r="I72" i="24" s="1"/>
  <c r="I71" i="24" s="1"/>
  <c r="H96" i="24"/>
  <c r="G96" i="24"/>
  <c r="G72" i="24" s="1"/>
  <c r="G71" i="24" s="1"/>
  <c r="F96" i="24"/>
  <c r="E96" i="24"/>
  <c r="E72" i="24" s="1"/>
  <c r="M95" i="24"/>
  <c r="M94" i="24"/>
  <c r="L93" i="24"/>
  <c r="K93" i="24"/>
  <c r="J93" i="24"/>
  <c r="I93" i="24"/>
  <c r="H93" i="24"/>
  <c r="G93" i="24"/>
  <c r="F93" i="24"/>
  <c r="E93" i="24"/>
  <c r="M93" i="24" s="1"/>
  <c r="M92" i="24"/>
  <c r="L91" i="24"/>
  <c r="K91" i="24"/>
  <c r="J91" i="24"/>
  <c r="I91" i="24"/>
  <c r="H91" i="24"/>
  <c r="G91" i="24"/>
  <c r="F91" i="24"/>
  <c r="E91" i="24"/>
  <c r="L90" i="24"/>
  <c r="K90" i="24"/>
  <c r="J90" i="24"/>
  <c r="J89" i="24" s="1"/>
  <c r="I90" i="24"/>
  <c r="I89" i="24" s="1"/>
  <c r="H90" i="24"/>
  <c r="G90" i="24"/>
  <c r="F90" i="24"/>
  <c r="F89" i="24" s="1"/>
  <c r="E90" i="24"/>
  <c r="K89" i="24"/>
  <c r="G89" i="24"/>
  <c r="G85" i="24" s="1"/>
  <c r="M88" i="24"/>
  <c r="M87" i="24"/>
  <c r="L86" i="24"/>
  <c r="K86" i="24"/>
  <c r="J86" i="24"/>
  <c r="J85" i="24" s="1"/>
  <c r="I86" i="24"/>
  <c r="H86" i="24"/>
  <c r="G86" i="24"/>
  <c r="F86" i="24"/>
  <c r="F85" i="24" s="1"/>
  <c r="E86" i="24"/>
  <c r="K85" i="24"/>
  <c r="M84" i="24"/>
  <c r="L83" i="24"/>
  <c r="K83" i="24"/>
  <c r="J83" i="24"/>
  <c r="I83" i="24"/>
  <c r="H83" i="24"/>
  <c r="G83" i="24"/>
  <c r="F83" i="24"/>
  <c r="E83" i="24"/>
  <c r="M83" i="24" s="1"/>
  <c r="L82" i="24"/>
  <c r="K82" i="24"/>
  <c r="J82" i="24"/>
  <c r="I82" i="24"/>
  <c r="I81" i="24" s="1"/>
  <c r="H82" i="24"/>
  <c r="G82" i="24"/>
  <c r="G81" i="24" s="1"/>
  <c r="F82" i="24"/>
  <c r="E82" i="24"/>
  <c r="M82" i="24" s="1"/>
  <c r="L81" i="24"/>
  <c r="K81" i="24"/>
  <c r="J81" i="24"/>
  <c r="H81" i="24"/>
  <c r="F81" i="24"/>
  <c r="L80" i="24"/>
  <c r="K80" i="24"/>
  <c r="K79" i="24" s="1"/>
  <c r="J80" i="24"/>
  <c r="I80" i="24"/>
  <c r="I79" i="24" s="1"/>
  <c r="H80" i="24"/>
  <c r="G80" i="24"/>
  <c r="G79" i="24" s="1"/>
  <c r="F80" i="24"/>
  <c r="E80" i="24"/>
  <c r="L79" i="24"/>
  <c r="J79" i="24"/>
  <c r="H79" i="24"/>
  <c r="F79" i="24"/>
  <c r="E79" i="24"/>
  <c r="M78" i="24"/>
  <c r="L77" i="24"/>
  <c r="K77" i="24"/>
  <c r="J77" i="24"/>
  <c r="I77" i="24"/>
  <c r="H77" i="24"/>
  <c r="G77" i="24"/>
  <c r="F77" i="24"/>
  <c r="E77" i="24"/>
  <c r="L76" i="24"/>
  <c r="K76" i="24"/>
  <c r="K75" i="24" s="1"/>
  <c r="J76" i="24"/>
  <c r="J75" i="24" s="1"/>
  <c r="I76" i="24"/>
  <c r="H76" i="24"/>
  <c r="H75" i="24" s="1"/>
  <c r="G76" i="24"/>
  <c r="G75" i="24" s="1"/>
  <c r="F76" i="24"/>
  <c r="F75" i="24" s="1"/>
  <c r="E76" i="24"/>
  <c r="L75" i="24"/>
  <c r="I75" i="24"/>
  <c r="E75" i="24"/>
  <c r="L74" i="24"/>
  <c r="K74" i="24"/>
  <c r="J74" i="24"/>
  <c r="I74" i="24"/>
  <c r="I73" i="24" s="1"/>
  <c r="H74" i="24"/>
  <c r="H73" i="24" s="1"/>
  <c r="G74" i="24"/>
  <c r="F74" i="24"/>
  <c r="F73" i="24" s="1"/>
  <c r="E74" i="24"/>
  <c r="L73" i="24"/>
  <c r="K73" i="24"/>
  <c r="J73" i="24"/>
  <c r="G73" i="24"/>
  <c r="L72" i="24"/>
  <c r="J72" i="24"/>
  <c r="J71" i="24" s="1"/>
  <c r="J52" i="24" s="1"/>
  <c r="H72" i="24"/>
  <c r="H71" i="24" s="1"/>
  <c r="F72" i="24"/>
  <c r="F71" i="24" s="1"/>
  <c r="L71" i="24"/>
  <c r="M70" i="24"/>
  <c r="H69" i="24"/>
  <c r="G69" i="24"/>
  <c r="E69" i="24"/>
  <c r="H68" i="24"/>
  <c r="G68" i="24"/>
  <c r="E68" i="24"/>
  <c r="H67" i="24"/>
  <c r="M67" i="24" s="1"/>
  <c r="G67" i="24"/>
  <c r="H66" i="24"/>
  <c r="G66" i="24"/>
  <c r="M66" i="24" s="1"/>
  <c r="E66" i="24"/>
  <c r="H65" i="24"/>
  <c r="G65" i="24"/>
  <c r="M65" i="24" s="1"/>
  <c r="E65" i="24"/>
  <c r="H64" i="24"/>
  <c r="G64" i="24"/>
  <c r="M64" i="24" s="1"/>
  <c r="E64" i="24"/>
  <c r="G63" i="24"/>
  <c r="E63" i="24"/>
  <c r="M63" i="24" s="1"/>
  <c r="M62" i="24"/>
  <c r="H61" i="24"/>
  <c r="G61" i="24"/>
  <c r="M61" i="24" s="1"/>
  <c r="E61" i="24"/>
  <c r="H60" i="24"/>
  <c r="G60" i="24"/>
  <c r="M60" i="24" s="1"/>
  <c r="E60" i="24"/>
  <c r="H59" i="24"/>
  <c r="G59" i="24"/>
  <c r="M59" i="24" s="1"/>
  <c r="E59" i="24"/>
  <c r="H58" i="24"/>
  <c r="G58" i="24"/>
  <c r="M58" i="24" s="1"/>
  <c r="E58" i="24"/>
  <c r="H57" i="24"/>
  <c r="G57" i="24"/>
  <c r="M57" i="24" s="1"/>
  <c r="E57" i="24"/>
  <c r="M56" i="24"/>
  <c r="E56" i="24"/>
  <c r="H55" i="24"/>
  <c r="H53" i="24" s="1"/>
  <c r="G55" i="24"/>
  <c r="E55" i="24"/>
  <c r="E54" i="24"/>
  <c r="M54" i="24" s="1"/>
  <c r="L53" i="24"/>
  <c r="K53" i="24"/>
  <c r="J53" i="24"/>
  <c r="I53" i="24"/>
  <c r="F53" i="24"/>
  <c r="F52" i="24" s="1"/>
  <c r="M51" i="24"/>
  <c r="M50" i="24"/>
  <c r="M49" i="24"/>
  <c r="E48" i="24"/>
  <c r="M48" i="24" s="1"/>
  <c r="L47" i="24"/>
  <c r="K47" i="24"/>
  <c r="J47" i="24"/>
  <c r="I47" i="24"/>
  <c r="H47" i="24"/>
  <c r="G47" i="24"/>
  <c r="F47" i="24"/>
  <c r="E47" i="24"/>
  <c r="G46" i="24"/>
  <c r="E46" i="24"/>
  <c r="M46" i="24" s="1"/>
  <c r="L45" i="24"/>
  <c r="K45" i="24"/>
  <c r="J45" i="24"/>
  <c r="I45" i="24"/>
  <c r="H45" i="24"/>
  <c r="G45" i="24"/>
  <c r="F45" i="24"/>
  <c r="E45" i="24"/>
  <c r="M45" i="24" s="1"/>
  <c r="M44" i="24"/>
  <c r="M43" i="24"/>
  <c r="L42" i="24"/>
  <c r="K42" i="24"/>
  <c r="J42" i="24"/>
  <c r="I42" i="24"/>
  <c r="H42" i="24"/>
  <c r="G42" i="24"/>
  <c r="F42" i="24"/>
  <c r="E42" i="24"/>
  <c r="M41" i="24"/>
  <c r="L40" i="24"/>
  <c r="L31" i="24" s="1"/>
  <c r="K40" i="24"/>
  <c r="J40" i="24"/>
  <c r="J31" i="24" s="1"/>
  <c r="I40" i="24"/>
  <c r="H40" i="24"/>
  <c r="H31" i="24" s="1"/>
  <c r="G40" i="24"/>
  <c r="F40" i="24"/>
  <c r="E40" i="24"/>
  <c r="M39" i="24"/>
  <c r="M38" i="24"/>
  <c r="M37" i="24"/>
  <c r="M36" i="24"/>
  <c r="M35" i="24"/>
  <c r="M34" i="24"/>
  <c r="M33" i="24"/>
  <c r="L32" i="24"/>
  <c r="K32" i="24"/>
  <c r="J32" i="24"/>
  <c r="I32" i="24"/>
  <c r="H32" i="24"/>
  <c r="G32" i="24"/>
  <c r="G31" i="24" s="1"/>
  <c r="F32" i="24"/>
  <c r="E32" i="24"/>
  <c r="K31" i="24"/>
  <c r="F31" i="24"/>
  <c r="L30" i="24"/>
  <c r="K30" i="24"/>
  <c r="J30" i="24"/>
  <c r="I30" i="24"/>
  <c r="H30" i="24"/>
  <c r="G30" i="24"/>
  <c r="F30" i="24"/>
  <c r="E30" i="24"/>
  <c r="M30" i="24" s="1"/>
  <c r="L29" i="24"/>
  <c r="K29" i="24"/>
  <c r="J29" i="24"/>
  <c r="I29" i="24"/>
  <c r="H29" i="24"/>
  <c r="G29" i="24"/>
  <c r="F29" i="24"/>
  <c r="E29" i="24"/>
  <c r="M29" i="24" s="1"/>
  <c r="L28" i="24"/>
  <c r="K28" i="24"/>
  <c r="J28" i="24"/>
  <c r="I28" i="24"/>
  <c r="I27" i="24" s="1"/>
  <c r="H28" i="24"/>
  <c r="G28" i="24"/>
  <c r="G27" i="24" s="1"/>
  <c r="F28" i="24"/>
  <c r="E28" i="24"/>
  <c r="M28" i="24" s="1"/>
  <c r="L27" i="24"/>
  <c r="K27" i="24"/>
  <c r="J27" i="24"/>
  <c r="H27" i="24"/>
  <c r="F27" i="24"/>
  <c r="L26" i="24"/>
  <c r="K26" i="24"/>
  <c r="J26" i="24"/>
  <c r="I26" i="24"/>
  <c r="H26" i="24"/>
  <c r="G26" i="24"/>
  <c r="F26" i="24"/>
  <c r="E26" i="24"/>
  <c r="L25" i="24"/>
  <c r="K25" i="24"/>
  <c r="J25" i="24"/>
  <c r="I25" i="24"/>
  <c r="H25" i="24"/>
  <c r="G25" i="24"/>
  <c r="F25" i="24"/>
  <c r="E25" i="24"/>
  <c r="L24" i="24"/>
  <c r="K24" i="24"/>
  <c r="J24" i="24"/>
  <c r="I24" i="24"/>
  <c r="H24" i="24"/>
  <c r="G24" i="24"/>
  <c r="F24" i="24"/>
  <c r="E24" i="24"/>
  <c r="L23" i="24"/>
  <c r="K23" i="24"/>
  <c r="J23" i="24"/>
  <c r="I23" i="24"/>
  <c r="H23" i="24"/>
  <c r="G23" i="24"/>
  <c r="F23" i="24"/>
  <c r="E23" i="24"/>
  <c r="L22" i="24"/>
  <c r="K22" i="24"/>
  <c r="J22" i="24"/>
  <c r="I22" i="24"/>
  <c r="H22" i="24"/>
  <c r="G22" i="24"/>
  <c r="F22" i="24"/>
  <c r="E22" i="24"/>
  <c r="L21" i="24"/>
  <c r="K21" i="24"/>
  <c r="J21" i="24"/>
  <c r="I21" i="24"/>
  <c r="H21" i="24"/>
  <c r="G21" i="24"/>
  <c r="F21" i="24"/>
  <c r="E21" i="24"/>
  <c r="L20" i="24"/>
  <c r="K20" i="24"/>
  <c r="J20" i="24"/>
  <c r="I20" i="24"/>
  <c r="H20" i="24"/>
  <c r="G20" i="24"/>
  <c r="F20" i="24"/>
  <c r="E20" i="24"/>
  <c r="K19" i="24"/>
  <c r="K18" i="24" s="1"/>
  <c r="L18" i="24"/>
  <c r="J18" i="24"/>
  <c r="I18" i="24"/>
  <c r="H18" i="24"/>
  <c r="G18" i="24"/>
  <c r="F18" i="24"/>
  <c r="E18" i="24"/>
  <c r="M17" i="24"/>
  <c r="M16" i="24"/>
  <c r="L15" i="24"/>
  <c r="K15" i="24"/>
  <c r="J15" i="24"/>
  <c r="I15" i="24"/>
  <c r="H15" i="24"/>
  <c r="G15" i="24"/>
  <c r="F15" i="24"/>
  <c r="E15" i="24"/>
  <c r="L14" i="24"/>
  <c r="K14" i="24"/>
  <c r="J14" i="24"/>
  <c r="I14" i="24"/>
  <c r="H14" i="24"/>
  <c r="G14" i="24"/>
  <c r="F14" i="24"/>
  <c r="E14" i="24"/>
  <c r="L13" i="24"/>
  <c r="K13" i="24"/>
  <c r="J13" i="24"/>
  <c r="I13" i="24"/>
  <c r="H13" i="24"/>
  <c r="G13" i="24"/>
  <c r="F13" i="24"/>
  <c r="E13" i="24"/>
  <c r="L12" i="24"/>
  <c r="K12" i="24"/>
  <c r="J12" i="24"/>
  <c r="I12" i="24"/>
  <c r="H12" i="24"/>
  <c r="G12" i="24"/>
  <c r="F12" i="24"/>
  <c r="E12" i="24"/>
  <c r="L11" i="24"/>
  <c r="K11" i="24"/>
  <c r="J11" i="24"/>
  <c r="I11" i="24"/>
  <c r="H11" i="24"/>
  <c r="G11" i="24"/>
  <c r="F11" i="24"/>
  <c r="E11" i="24"/>
  <c r="L10" i="24"/>
  <c r="L8" i="24" s="1"/>
  <c r="L4" i="24" s="1"/>
  <c r="K10" i="24"/>
  <c r="K8" i="24" s="1"/>
  <c r="K4" i="24" s="1"/>
  <c r="J10" i="24"/>
  <c r="I10" i="24"/>
  <c r="H10" i="24"/>
  <c r="H8" i="24" s="1"/>
  <c r="H4" i="24" s="1"/>
  <c r="G10" i="24"/>
  <c r="G8" i="24" s="1"/>
  <c r="F10" i="24"/>
  <c r="E10" i="24"/>
  <c r="E9" i="24"/>
  <c r="M9" i="24" s="1"/>
  <c r="J8" i="24"/>
  <c r="J4" i="24" s="1"/>
  <c r="I8" i="24"/>
  <c r="F8" i="24"/>
  <c r="E8" i="24"/>
  <c r="H7" i="24"/>
  <c r="G7" i="24"/>
  <c r="E7" i="24"/>
  <c r="M6" i="24"/>
  <c r="H6" i="24"/>
  <c r="E6" i="24"/>
  <c r="L5" i="24"/>
  <c r="K5" i="24"/>
  <c r="J5" i="24"/>
  <c r="I5" i="24"/>
  <c r="H5" i="24"/>
  <c r="G5" i="24"/>
  <c r="G4" i="24" s="1"/>
  <c r="F5" i="24"/>
  <c r="E5" i="24"/>
  <c r="F4" i="24"/>
  <c r="F3" i="24" s="1"/>
  <c r="J109" i="22"/>
  <c r="J108" i="22"/>
  <c r="J107" i="22"/>
  <c r="J106" i="22"/>
  <c r="J105" i="22"/>
  <c r="J104" i="22"/>
  <c r="J103" i="22"/>
  <c r="J102" i="22"/>
  <c r="I101" i="22"/>
  <c r="H101" i="22"/>
  <c r="G101" i="22"/>
  <c r="F101" i="22"/>
  <c r="E101" i="22"/>
  <c r="J100" i="22"/>
  <c r="J99" i="22"/>
  <c r="J98" i="22"/>
  <c r="J97" i="22"/>
  <c r="I96" i="22"/>
  <c r="I29" i="22" s="1"/>
  <c r="H96" i="22"/>
  <c r="G96" i="22"/>
  <c r="G80" i="22" s="1"/>
  <c r="G79" i="22" s="1"/>
  <c r="F96" i="22"/>
  <c r="E96" i="22"/>
  <c r="J96" i="22" s="1"/>
  <c r="J95" i="22"/>
  <c r="J94" i="22"/>
  <c r="I93" i="22"/>
  <c r="H93" i="22"/>
  <c r="G93" i="22"/>
  <c r="F93" i="22"/>
  <c r="E93" i="22"/>
  <c r="J92" i="22"/>
  <c r="I91" i="22"/>
  <c r="H91" i="22"/>
  <c r="G91" i="22"/>
  <c r="F91" i="22"/>
  <c r="J91" i="22" s="1"/>
  <c r="E91" i="22"/>
  <c r="I90" i="22"/>
  <c r="I89" i="22" s="1"/>
  <c r="I85" i="22" s="1"/>
  <c r="H90" i="22"/>
  <c r="G90" i="22"/>
  <c r="G89" i="22" s="1"/>
  <c r="F90" i="22"/>
  <c r="E90" i="22"/>
  <c r="F89" i="22"/>
  <c r="J88" i="22"/>
  <c r="J87" i="22"/>
  <c r="I86" i="22"/>
  <c r="H86" i="22"/>
  <c r="G86" i="22"/>
  <c r="F86" i="22"/>
  <c r="E86" i="22"/>
  <c r="J84" i="22"/>
  <c r="I83" i="22"/>
  <c r="H83" i="22"/>
  <c r="G83" i="22"/>
  <c r="F83" i="22"/>
  <c r="E83" i="22"/>
  <c r="I82" i="22"/>
  <c r="I81" i="22" s="1"/>
  <c r="H82" i="22"/>
  <c r="G82" i="22"/>
  <c r="F82" i="22"/>
  <c r="F81" i="22" s="1"/>
  <c r="E82" i="22"/>
  <c r="E81" i="22" s="1"/>
  <c r="H81" i="22"/>
  <c r="G81" i="22"/>
  <c r="H80" i="22"/>
  <c r="F80" i="22"/>
  <c r="F79" i="22" s="1"/>
  <c r="H79" i="22"/>
  <c r="J78" i="22"/>
  <c r="I77" i="22"/>
  <c r="H77" i="22"/>
  <c r="G77" i="22"/>
  <c r="F77" i="22"/>
  <c r="J77" i="22" s="1"/>
  <c r="E77" i="22"/>
  <c r="I76" i="22"/>
  <c r="I75" i="22" s="1"/>
  <c r="H76" i="22"/>
  <c r="H75" i="22" s="1"/>
  <c r="G76" i="22"/>
  <c r="G75" i="22" s="1"/>
  <c r="F76" i="22"/>
  <c r="E76" i="22"/>
  <c r="F75" i="22"/>
  <c r="I74" i="22"/>
  <c r="I73" i="22" s="1"/>
  <c r="H74" i="22"/>
  <c r="H73" i="22" s="1"/>
  <c r="G74" i="22"/>
  <c r="F74" i="22"/>
  <c r="F73" i="22" s="1"/>
  <c r="E74" i="22"/>
  <c r="G73" i="22"/>
  <c r="I72" i="22"/>
  <c r="I71" i="22" s="1"/>
  <c r="H72" i="22"/>
  <c r="H71" i="22" s="1"/>
  <c r="G72" i="22"/>
  <c r="G71" i="22" s="1"/>
  <c r="F72" i="22"/>
  <c r="E72" i="22"/>
  <c r="J72" i="22" s="1"/>
  <c r="F71" i="22"/>
  <c r="J70" i="22"/>
  <c r="J69" i="22"/>
  <c r="J68" i="22"/>
  <c r="J67" i="22"/>
  <c r="J66" i="22"/>
  <c r="J65" i="22"/>
  <c r="J64" i="22"/>
  <c r="J63" i="22"/>
  <c r="J62" i="22"/>
  <c r="J61" i="22"/>
  <c r="J60" i="22"/>
  <c r="J59" i="22"/>
  <c r="J58" i="22"/>
  <c r="J57" i="22"/>
  <c r="J56" i="22"/>
  <c r="J55" i="22"/>
  <c r="J54" i="22"/>
  <c r="I53" i="22"/>
  <c r="H53" i="22"/>
  <c r="G53" i="22"/>
  <c r="F53" i="22"/>
  <c r="E53" i="22"/>
  <c r="J51" i="22"/>
  <c r="J50" i="22"/>
  <c r="J49" i="22"/>
  <c r="J48" i="22"/>
  <c r="I47" i="22"/>
  <c r="H47" i="22"/>
  <c r="G47" i="22"/>
  <c r="F47" i="22"/>
  <c r="F31" i="22" s="1"/>
  <c r="E47" i="22"/>
  <c r="J46" i="22"/>
  <c r="I45" i="22"/>
  <c r="H45" i="22"/>
  <c r="H31" i="22" s="1"/>
  <c r="G45" i="22"/>
  <c r="F45" i="22"/>
  <c r="E45" i="22"/>
  <c r="J44" i="22"/>
  <c r="J43" i="22"/>
  <c r="I42" i="22"/>
  <c r="H42" i="22"/>
  <c r="G42" i="22"/>
  <c r="F42" i="22"/>
  <c r="E42" i="22"/>
  <c r="J41" i="22"/>
  <c r="I40" i="22"/>
  <c r="H40" i="22"/>
  <c r="G40" i="22"/>
  <c r="F40" i="22"/>
  <c r="E40" i="22"/>
  <c r="J40" i="22" s="1"/>
  <c r="J39" i="22"/>
  <c r="J38" i="22"/>
  <c r="J37" i="22"/>
  <c r="J36" i="22"/>
  <c r="J35" i="22"/>
  <c r="J34" i="22"/>
  <c r="J33" i="22"/>
  <c r="I32" i="22"/>
  <c r="I31" i="22" s="1"/>
  <c r="H32" i="22"/>
  <c r="G32" i="22"/>
  <c r="G31" i="22" s="1"/>
  <c r="F32" i="22"/>
  <c r="E32" i="22"/>
  <c r="I30" i="22"/>
  <c r="H30" i="22"/>
  <c r="G30" i="22"/>
  <c r="F30" i="22"/>
  <c r="E30" i="22"/>
  <c r="H29" i="22"/>
  <c r="F29" i="22"/>
  <c r="I28" i="22"/>
  <c r="I27" i="22" s="1"/>
  <c r="H28" i="22"/>
  <c r="G28" i="22"/>
  <c r="G27" i="22" s="1"/>
  <c r="F28" i="22"/>
  <c r="E28" i="22"/>
  <c r="H27" i="22"/>
  <c r="F27" i="22"/>
  <c r="I26" i="22"/>
  <c r="I25" i="22" s="1"/>
  <c r="H26" i="22"/>
  <c r="G26" i="22"/>
  <c r="G25" i="22" s="1"/>
  <c r="F26" i="22"/>
  <c r="E26" i="22"/>
  <c r="E25" i="22" s="1"/>
  <c r="H25" i="22"/>
  <c r="F25" i="22"/>
  <c r="I24" i="22"/>
  <c r="I22" i="22" s="1"/>
  <c r="H24" i="22"/>
  <c r="G24" i="22"/>
  <c r="F24" i="22"/>
  <c r="E24" i="22"/>
  <c r="I23" i="22"/>
  <c r="H23" i="22"/>
  <c r="H22" i="22" s="1"/>
  <c r="G23" i="22"/>
  <c r="F23" i="22"/>
  <c r="E23" i="22"/>
  <c r="G22" i="22"/>
  <c r="I21" i="22"/>
  <c r="H21" i="22"/>
  <c r="H20" i="22" s="1"/>
  <c r="G21" i="22"/>
  <c r="F21" i="22"/>
  <c r="F20" i="22" s="1"/>
  <c r="E21" i="22"/>
  <c r="I20" i="22"/>
  <c r="G20" i="22"/>
  <c r="E20" i="22"/>
  <c r="J19" i="22"/>
  <c r="I18" i="22"/>
  <c r="H18" i="22"/>
  <c r="G18" i="22"/>
  <c r="F18" i="22"/>
  <c r="E18" i="22"/>
  <c r="J17" i="22"/>
  <c r="J16" i="22"/>
  <c r="I15" i="22"/>
  <c r="H15" i="22"/>
  <c r="G15" i="22"/>
  <c r="F15" i="22"/>
  <c r="F13" i="22" s="1"/>
  <c r="E15" i="22"/>
  <c r="I14" i="22"/>
  <c r="I13" i="22" s="1"/>
  <c r="H14" i="22"/>
  <c r="G14" i="22"/>
  <c r="G13" i="22" s="1"/>
  <c r="F14" i="22"/>
  <c r="E14" i="22"/>
  <c r="E13" i="22" s="1"/>
  <c r="J13" i="22" s="1"/>
  <c r="H13" i="22"/>
  <c r="I12" i="22"/>
  <c r="H12" i="22"/>
  <c r="G12" i="22"/>
  <c r="F12" i="22"/>
  <c r="E12" i="22"/>
  <c r="J12" i="22" s="1"/>
  <c r="H11" i="22"/>
  <c r="H10" i="22" s="1"/>
  <c r="H8" i="22" s="1"/>
  <c r="F11" i="22"/>
  <c r="F10" i="22" s="1"/>
  <c r="F8" i="22" s="1"/>
  <c r="J9" i="22"/>
  <c r="J7" i="22"/>
  <c r="J6" i="22"/>
  <c r="I5" i="22"/>
  <c r="H5" i="22"/>
  <c r="H4" i="22" s="1"/>
  <c r="G5" i="22"/>
  <c r="F5" i="22"/>
  <c r="E5" i="22"/>
  <c r="V109" i="20"/>
  <c r="V108" i="20"/>
  <c r="V107" i="20"/>
  <c r="V106" i="20"/>
  <c r="V105" i="20"/>
  <c r="V104" i="20"/>
  <c r="V103" i="20"/>
  <c r="V102" i="20"/>
  <c r="T101" i="20"/>
  <c r="S101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F101" i="20"/>
  <c r="E101" i="20"/>
  <c r="V101" i="20" s="1"/>
  <c r="V100" i="20"/>
  <c r="V99" i="20"/>
  <c r="V98" i="20"/>
  <c r="V97" i="20"/>
  <c r="T96" i="20"/>
  <c r="S96" i="20"/>
  <c r="S72" i="20" s="1"/>
  <c r="R96" i="20"/>
  <c r="Q96" i="20"/>
  <c r="P96" i="20"/>
  <c r="O96" i="20"/>
  <c r="O72" i="20" s="1"/>
  <c r="O71" i="20" s="1"/>
  <c r="N96" i="20"/>
  <c r="M96" i="20"/>
  <c r="L96" i="20"/>
  <c r="K96" i="20"/>
  <c r="K72" i="20" s="1"/>
  <c r="J96" i="20"/>
  <c r="I96" i="20"/>
  <c r="H96" i="20"/>
  <c r="G96" i="20"/>
  <c r="G72" i="20" s="1"/>
  <c r="F96" i="20"/>
  <c r="E96" i="20"/>
  <c r="V95" i="20"/>
  <c r="V94" i="20"/>
  <c r="U93" i="20"/>
  <c r="T93" i="20"/>
  <c r="S93" i="20"/>
  <c r="R93" i="20"/>
  <c r="Q93" i="20"/>
  <c r="P93" i="20"/>
  <c r="O93" i="20"/>
  <c r="N93" i="20"/>
  <c r="M93" i="20"/>
  <c r="L93" i="20"/>
  <c r="K93" i="20"/>
  <c r="J93" i="20"/>
  <c r="I93" i="20"/>
  <c r="H93" i="20"/>
  <c r="G93" i="20"/>
  <c r="F93" i="20"/>
  <c r="E93" i="20"/>
  <c r="V92" i="20"/>
  <c r="U91" i="20"/>
  <c r="T91" i="20"/>
  <c r="S91" i="20"/>
  <c r="R91" i="20"/>
  <c r="Q91" i="20"/>
  <c r="P91" i="20"/>
  <c r="O91" i="20"/>
  <c r="N91" i="20"/>
  <c r="N89" i="20" s="1"/>
  <c r="M91" i="20"/>
  <c r="L91" i="20"/>
  <c r="K91" i="20"/>
  <c r="J91" i="20"/>
  <c r="I91" i="20"/>
  <c r="H91" i="20"/>
  <c r="G91" i="20"/>
  <c r="F91" i="20"/>
  <c r="E91" i="20"/>
  <c r="U90" i="20"/>
  <c r="U89" i="20" s="1"/>
  <c r="U85" i="20" s="1"/>
  <c r="T90" i="20"/>
  <c r="S90" i="20"/>
  <c r="S89" i="20" s="1"/>
  <c r="R90" i="20"/>
  <c r="Q90" i="20"/>
  <c r="Q89" i="20" s="1"/>
  <c r="Q85" i="20" s="1"/>
  <c r="P90" i="20"/>
  <c r="O90" i="20"/>
  <c r="O89" i="20" s="1"/>
  <c r="N90" i="20"/>
  <c r="M90" i="20"/>
  <c r="M89" i="20" s="1"/>
  <c r="M85" i="20" s="1"/>
  <c r="L90" i="20"/>
  <c r="K90" i="20"/>
  <c r="K89" i="20" s="1"/>
  <c r="J90" i="20"/>
  <c r="I90" i="20"/>
  <c r="I89" i="20" s="1"/>
  <c r="I85" i="20" s="1"/>
  <c r="H90" i="20"/>
  <c r="G90" i="20"/>
  <c r="G89" i="20" s="1"/>
  <c r="F90" i="20"/>
  <c r="E90" i="20"/>
  <c r="R89" i="20"/>
  <c r="J89" i="20"/>
  <c r="V88" i="20"/>
  <c r="V87" i="20"/>
  <c r="U86" i="20"/>
  <c r="T86" i="20"/>
  <c r="S86" i="20"/>
  <c r="R86" i="20"/>
  <c r="Q86" i="20"/>
  <c r="P86" i="20"/>
  <c r="O86" i="20"/>
  <c r="N86" i="20"/>
  <c r="N85" i="20" s="1"/>
  <c r="M86" i="20"/>
  <c r="L86" i="20"/>
  <c r="K86" i="20"/>
  <c r="J86" i="20"/>
  <c r="J85" i="20" s="1"/>
  <c r="I86" i="20"/>
  <c r="H86" i="20"/>
  <c r="G86" i="20"/>
  <c r="F86" i="20"/>
  <c r="V86" i="20" s="1"/>
  <c r="E86" i="20"/>
  <c r="V84" i="20"/>
  <c r="U83" i="20"/>
  <c r="T83" i="20"/>
  <c r="S83" i="20"/>
  <c r="R83" i="20"/>
  <c r="Q83" i="20"/>
  <c r="P83" i="20"/>
  <c r="O83" i="20"/>
  <c r="N83" i="20"/>
  <c r="M83" i="20"/>
  <c r="L83" i="20"/>
  <c r="K83" i="20"/>
  <c r="J83" i="20"/>
  <c r="I83" i="20"/>
  <c r="H83" i="20"/>
  <c r="G83" i="20"/>
  <c r="F83" i="20"/>
  <c r="E83" i="20"/>
  <c r="T82" i="20"/>
  <c r="T81" i="20" s="1"/>
  <c r="P82" i="20"/>
  <c r="H82" i="20"/>
  <c r="H81" i="20" s="1"/>
  <c r="P81" i="20"/>
  <c r="U80" i="20"/>
  <c r="U79" i="20" s="1"/>
  <c r="T80" i="20"/>
  <c r="S80" i="20"/>
  <c r="R80" i="20"/>
  <c r="R79" i="20" s="1"/>
  <c r="P80" i="20"/>
  <c r="P79" i="20" s="1"/>
  <c r="O80" i="20"/>
  <c r="O79" i="20" s="1"/>
  <c r="N80" i="20"/>
  <c r="N79" i="20" s="1"/>
  <c r="L80" i="20"/>
  <c r="K80" i="20"/>
  <c r="J80" i="20"/>
  <c r="J79" i="20" s="1"/>
  <c r="H80" i="20"/>
  <c r="H79" i="20" s="1"/>
  <c r="G80" i="20"/>
  <c r="G79" i="20" s="1"/>
  <c r="F80" i="20"/>
  <c r="T79" i="20"/>
  <c r="S79" i="20"/>
  <c r="L79" i="20"/>
  <c r="K79" i="20"/>
  <c r="V78" i="20"/>
  <c r="U77" i="20"/>
  <c r="T77" i="20"/>
  <c r="S77" i="20"/>
  <c r="R77" i="20"/>
  <c r="Q77" i="20"/>
  <c r="P77" i="20"/>
  <c r="O77" i="20"/>
  <c r="N77" i="20"/>
  <c r="M77" i="20"/>
  <c r="L77" i="20"/>
  <c r="K77" i="20"/>
  <c r="J77" i="20"/>
  <c r="I77" i="20"/>
  <c r="H77" i="20"/>
  <c r="G77" i="20"/>
  <c r="F77" i="20"/>
  <c r="E77" i="20"/>
  <c r="U76" i="20"/>
  <c r="U75" i="20" s="1"/>
  <c r="T76" i="20"/>
  <c r="T75" i="20" s="1"/>
  <c r="S76" i="20"/>
  <c r="R76" i="20"/>
  <c r="R75" i="20" s="1"/>
  <c r="Q76" i="20"/>
  <c r="Q75" i="20" s="1"/>
  <c r="P76" i="20"/>
  <c r="P75" i="20" s="1"/>
  <c r="O76" i="20"/>
  <c r="N76" i="20"/>
  <c r="N75" i="20" s="1"/>
  <c r="M76" i="20"/>
  <c r="M75" i="20" s="1"/>
  <c r="L76" i="20"/>
  <c r="L75" i="20" s="1"/>
  <c r="K76" i="20"/>
  <c r="J76" i="20"/>
  <c r="J75" i="20" s="1"/>
  <c r="I76" i="20"/>
  <c r="I75" i="20" s="1"/>
  <c r="H76" i="20"/>
  <c r="H75" i="20" s="1"/>
  <c r="G76" i="20"/>
  <c r="F76" i="20"/>
  <c r="F75" i="20" s="1"/>
  <c r="E76" i="20"/>
  <c r="S75" i="20"/>
  <c r="O75" i="20"/>
  <c r="K75" i="20"/>
  <c r="G75" i="20"/>
  <c r="U74" i="20"/>
  <c r="U73" i="20" s="1"/>
  <c r="T74" i="20"/>
  <c r="T73" i="20" s="1"/>
  <c r="S74" i="20"/>
  <c r="S73" i="20" s="1"/>
  <c r="R74" i="20"/>
  <c r="Q74" i="20"/>
  <c r="Q73" i="20" s="1"/>
  <c r="P74" i="20"/>
  <c r="P73" i="20" s="1"/>
  <c r="O74" i="20"/>
  <c r="O73" i="20" s="1"/>
  <c r="N74" i="20"/>
  <c r="M74" i="20"/>
  <c r="M73" i="20" s="1"/>
  <c r="L74" i="20"/>
  <c r="L73" i="20" s="1"/>
  <c r="K74" i="20"/>
  <c r="K73" i="20" s="1"/>
  <c r="J74" i="20"/>
  <c r="I74" i="20"/>
  <c r="I73" i="20" s="1"/>
  <c r="H74" i="20"/>
  <c r="H73" i="20" s="1"/>
  <c r="G74" i="20"/>
  <c r="G73" i="20" s="1"/>
  <c r="F74" i="20"/>
  <c r="E74" i="20"/>
  <c r="V74" i="20" s="1"/>
  <c r="R73" i="20"/>
  <c r="N73" i="20"/>
  <c r="J73" i="20"/>
  <c r="F73" i="20"/>
  <c r="U72" i="20"/>
  <c r="U71" i="20" s="1"/>
  <c r="T72" i="20"/>
  <c r="T71" i="20" s="1"/>
  <c r="R72" i="20"/>
  <c r="R71" i="20" s="1"/>
  <c r="P72" i="20"/>
  <c r="P71" i="20" s="1"/>
  <c r="N72" i="20"/>
  <c r="N71" i="20" s="1"/>
  <c r="L72" i="20"/>
  <c r="L71" i="20" s="1"/>
  <c r="J72" i="20"/>
  <c r="J71" i="20" s="1"/>
  <c r="H72" i="20"/>
  <c r="H71" i="20" s="1"/>
  <c r="F72" i="20"/>
  <c r="F71" i="20" s="1"/>
  <c r="S71" i="20"/>
  <c r="K71" i="20"/>
  <c r="G71" i="20"/>
  <c r="V70" i="20"/>
  <c r="M69" i="20"/>
  <c r="V69" i="20" s="1"/>
  <c r="R68" i="20"/>
  <c r="O68" i="20"/>
  <c r="N68" i="20"/>
  <c r="M68" i="20"/>
  <c r="L68" i="20"/>
  <c r="J68" i="20"/>
  <c r="I68" i="20"/>
  <c r="H68" i="20"/>
  <c r="H53" i="20" s="1"/>
  <c r="F68" i="20"/>
  <c r="E68" i="20"/>
  <c r="V68" i="20" s="1"/>
  <c r="V67" i="20"/>
  <c r="V66" i="20"/>
  <c r="V65" i="20"/>
  <c r="V64" i="20"/>
  <c r="M63" i="20"/>
  <c r="L63" i="20"/>
  <c r="K63" i="20"/>
  <c r="J63" i="20"/>
  <c r="V62" i="20"/>
  <c r="V61" i="20"/>
  <c r="V60" i="20"/>
  <c r="V59" i="20"/>
  <c r="V58" i="20"/>
  <c r="V57" i="20"/>
  <c r="V56" i="20"/>
  <c r="V55" i="20"/>
  <c r="N54" i="20"/>
  <c r="M54" i="20"/>
  <c r="M53" i="20" s="1"/>
  <c r="L54" i="20"/>
  <c r="K54" i="20"/>
  <c r="J54" i="20"/>
  <c r="U53" i="20"/>
  <c r="T53" i="20"/>
  <c r="S53" i="20"/>
  <c r="R53" i="20"/>
  <c r="Q53" i="20"/>
  <c r="P53" i="20"/>
  <c r="O53" i="20"/>
  <c r="N53" i="20"/>
  <c r="L53" i="20"/>
  <c r="I53" i="20"/>
  <c r="G53" i="20"/>
  <c r="F53" i="20"/>
  <c r="V51" i="20"/>
  <c r="V50" i="20"/>
  <c r="V49" i="20"/>
  <c r="U48" i="20"/>
  <c r="V48" i="20" s="1"/>
  <c r="T47" i="20"/>
  <c r="S47" i="20"/>
  <c r="R47" i="20"/>
  <c r="Q47" i="20"/>
  <c r="P47" i="20"/>
  <c r="O47" i="20"/>
  <c r="N47" i="20"/>
  <c r="M47" i="20"/>
  <c r="L47" i="20"/>
  <c r="K47" i="20"/>
  <c r="J47" i="20"/>
  <c r="I47" i="20"/>
  <c r="H47" i="20"/>
  <c r="G47" i="20"/>
  <c r="F47" i="20"/>
  <c r="E47" i="20"/>
  <c r="U46" i="20"/>
  <c r="U45" i="20" s="1"/>
  <c r="T46" i="20"/>
  <c r="T45" i="20" s="1"/>
  <c r="T31" i="20" s="1"/>
  <c r="S46" i="20"/>
  <c r="R46" i="20"/>
  <c r="R45" i="20" s="1"/>
  <c r="R31" i="20" s="1"/>
  <c r="Q46" i="20"/>
  <c r="Q45" i="20" s="1"/>
  <c r="P46" i="20"/>
  <c r="O46" i="20"/>
  <c r="N46" i="20"/>
  <c r="M46" i="20"/>
  <c r="M45" i="20" s="1"/>
  <c r="L46" i="20"/>
  <c r="L45" i="20" s="1"/>
  <c r="L31" i="20" s="1"/>
  <c r="K46" i="20"/>
  <c r="J46" i="20"/>
  <c r="J45" i="20" s="1"/>
  <c r="J31" i="20" s="1"/>
  <c r="I46" i="20"/>
  <c r="I45" i="20" s="1"/>
  <c r="G46" i="20"/>
  <c r="G45" i="20" s="1"/>
  <c r="F46" i="20"/>
  <c r="E46" i="20"/>
  <c r="S45" i="20"/>
  <c r="P45" i="20"/>
  <c r="O45" i="20"/>
  <c r="N45" i="20"/>
  <c r="K45" i="20"/>
  <c r="H45" i="20"/>
  <c r="H31" i="20" s="1"/>
  <c r="F45" i="20"/>
  <c r="V44" i="20"/>
  <c r="V43" i="20"/>
  <c r="U42" i="20"/>
  <c r="T42" i="20"/>
  <c r="S42" i="20"/>
  <c r="R42" i="20"/>
  <c r="Q42" i="20"/>
  <c r="P42" i="20"/>
  <c r="O42" i="20"/>
  <c r="N42" i="20"/>
  <c r="M42" i="20"/>
  <c r="L42" i="20"/>
  <c r="K42" i="20"/>
  <c r="J42" i="20"/>
  <c r="I42" i="20"/>
  <c r="H42" i="20"/>
  <c r="G42" i="20"/>
  <c r="F42" i="20"/>
  <c r="E42" i="20"/>
  <c r="V42" i="20" s="1"/>
  <c r="V41" i="20"/>
  <c r="U40" i="20"/>
  <c r="T40" i="20"/>
  <c r="S40" i="20"/>
  <c r="R40" i="20"/>
  <c r="Q40" i="20"/>
  <c r="P40" i="20"/>
  <c r="O40" i="20"/>
  <c r="N40" i="20"/>
  <c r="M40" i="20"/>
  <c r="L40" i="20"/>
  <c r="K40" i="20"/>
  <c r="J40" i="20"/>
  <c r="I40" i="20"/>
  <c r="H40" i="20"/>
  <c r="G40" i="20"/>
  <c r="F40" i="20"/>
  <c r="E40" i="20"/>
  <c r="V39" i="20"/>
  <c r="V38" i="20"/>
  <c r="V37" i="20"/>
  <c r="V36" i="20"/>
  <c r="V35" i="20"/>
  <c r="V34" i="20"/>
  <c r="V33" i="20"/>
  <c r="U32" i="20"/>
  <c r="T32" i="20"/>
  <c r="S32" i="20"/>
  <c r="S31" i="20" s="1"/>
  <c r="R32" i="20"/>
  <c r="Q32" i="20"/>
  <c r="P32" i="20"/>
  <c r="O32" i="20"/>
  <c r="O31" i="20" s="1"/>
  <c r="N32" i="20"/>
  <c r="M32" i="20"/>
  <c r="L32" i="20"/>
  <c r="K32" i="20"/>
  <c r="K31" i="20" s="1"/>
  <c r="J32" i="20"/>
  <c r="I32" i="20"/>
  <c r="H32" i="20"/>
  <c r="G32" i="20"/>
  <c r="G31" i="20" s="1"/>
  <c r="F32" i="20"/>
  <c r="E32" i="20"/>
  <c r="P31" i="20"/>
  <c r="N31" i="20"/>
  <c r="F31" i="20"/>
  <c r="T30" i="20"/>
  <c r="P30" i="20"/>
  <c r="H30" i="20"/>
  <c r="U29" i="20"/>
  <c r="T29" i="20"/>
  <c r="S29" i="20"/>
  <c r="R29" i="20"/>
  <c r="P29" i="20"/>
  <c r="O29" i="20"/>
  <c r="N29" i="20"/>
  <c r="L29" i="20"/>
  <c r="K29" i="20"/>
  <c r="J29" i="20"/>
  <c r="H29" i="20"/>
  <c r="G29" i="20"/>
  <c r="F29" i="20"/>
  <c r="T28" i="20"/>
  <c r="T27" i="20" s="1"/>
  <c r="P28" i="20"/>
  <c r="H28" i="20"/>
  <c r="H27" i="20" s="1"/>
  <c r="P27" i="20"/>
  <c r="T26" i="20"/>
  <c r="T25" i="20" s="1"/>
  <c r="P26" i="20"/>
  <c r="H26" i="20"/>
  <c r="H25" i="20" s="1"/>
  <c r="P25" i="20"/>
  <c r="T24" i="20"/>
  <c r="P24" i="20"/>
  <c r="H24" i="20"/>
  <c r="T23" i="20"/>
  <c r="P23" i="20"/>
  <c r="P22" i="20" s="1"/>
  <c r="H23" i="20"/>
  <c r="T22" i="20"/>
  <c r="H22" i="20"/>
  <c r="T21" i="20"/>
  <c r="P21" i="20"/>
  <c r="H21" i="20"/>
  <c r="H20" i="20" s="1"/>
  <c r="T20" i="20"/>
  <c r="P20" i="20"/>
  <c r="E19" i="20"/>
  <c r="V19" i="20" s="1"/>
  <c r="U18" i="20"/>
  <c r="T18" i="20"/>
  <c r="S18" i="20"/>
  <c r="R18" i="20"/>
  <c r="Q18" i="20"/>
  <c r="P18" i="20"/>
  <c r="O18" i="20"/>
  <c r="N18" i="20"/>
  <c r="M18" i="20"/>
  <c r="L18" i="20"/>
  <c r="K18" i="20"/>
  <c r="J18" i="20"/>
  <c r="I18" i="20"/>
  <c r="G18" i="20"/>
  <c r="F18" i="20"/>
  <c r="E18" i="20"/>
  <c r="V18" i="20" s="1"/>
  <c r="V17" i="20"/>
  <c r="U16" i="20"/>
  <c r="U82" i="20" s="1"/>
  <c r="U81" i="20" s="1"/>
  <c r="S16" i="20"/>
  <c r="S23" i="20" s="1"/>
  <c r="R16" i="20"/>
  <c r="R82" i="20" s="1"/>
  <c r="R81" i="20" s="1"/>
  <c r="Q16" i="20"/>
  <c r="Q82" i="20" s="1"/>
  <c r="Q81" i="20" s="1"/>
  <c r="O16" i="20"/>
  <c r="O23" i="20" s="1"/>
  <c r="N16" i="20"/>
  <c r="N82" i="20" s="1"/>
  <c r="N81" i="20" s="1"/>
  <c r="M16" i="20"/>
  <c r="M82" i="20" s="1"/>
  <c r="M81" i="20" s="1"/>
  <c r="L16" i="20"/>
  <c r="L23" i="20" s="1"/>
  <c r="K16" i="20"/>
  <c r="K23" i="20" s="1"/>
  <c r="J16" i="20"/>
  <c r="J82" i="20" s="1"/>
  <c r="J81" i="20" s="1"/>
  <c r="I16" i="20"/>
  <c r="I82" i="20" s="1"/>
  <c r="I81" i="20" s="1"/>
  <c r="G16" i="20"/>
  <c r="G23" i="20" s="1"/>
  <c r="F16" i="20"/>
  <c r="F82" i="20" s="1"/>
  <c r="F81" i="20" s="1"/>
  <c r="E16" i="20"/>
  <c r="E82" i="20" s="1"/>
  <c r="U15" i="20"/>
  <c r="T15" i="20"/>
  <c r="Q15" i="20"/>
  <c r="P15" i="20"/>
  <c r="O15" i="20"/>
  <c r="N15" i="20"/>
  <c r="M15" i="20"/>
  <c r="L15" i="20"/>
  <c r="K15" i="20"/>
  <c r="J15" i="20"/>
  <c r="I15" i="20"/>
  <c r="H15" i="20"/>
  <c r="F15" i="20"/>
  <c r="E15" i="20"/>
  <c r="U14" i="20"/>
  <c r="U13" i="20" s="1"/>
  <c r="T14" i="20"/>
  <c r="S14" i="20"/>
  <c r="R14" i="20"/>
  <c r="Q14" i="20"/>
  <c r="Q13" i="20" s="1"/>
  <c r="P14" i="20"/>
  <c r="O14" i="20"/>
  <c r="N14" i="20"/>
  <c r="N13" i="20" s="1"/>
  <c r="K14" i="20"/>
  <c r="J14" i="20"/>
  <c r="J13" i="20" s="1"/>
  <c r="H14" i="20"/>
  <c r="G14" i="20"/>
  <c r="F14" i="20"/>
  <c r="F13" i="20" s="1"/>
  <c r="T13" i="20"/>
  <c r="P13" i="20"/>
  <c r="O13" i="20"/>
  <c r="K13" i="20"/>
  <c r="H13" i="20"/>
  <c r="U12" i="20"/>
  <c r="T12" i="20"/>
  <c r="S12" i="20"/>
  <c r="R12" i="20"/>
  <c r="Q12" i="20"/>
  <c r="P12" i="20"/>
  <c r="O12" i="20"/>
  <c r="N12" i="20"/>
  <c r="M12" i="20"/>
  <c r="L12" i="20"/>
  <c r="K12" i="20"/>
  <c r="J12" i="20"/>
  <c r="I12" i="20"/>
  <c r="H12" i="20"/>
  <c r="G12" i="20"/>
  <c r="F12" i="20"/>
  <c r="E12" i="20"/>
  <c r="U11" i="20"/>
  <c r="U10" i="20" s="1"/>
  <c r="U8" i="20" s="1"/>
  <c r="T11" i="20"/>
  <c r="T10" i="20" s="1"/>
  <c r="T8" i="20" s="1"/>
  <c r="S11" i="20"/>
  <c r="R11" i="20"/>
  <c r="Q11" i="20"/>
  <c r="Q10" i="20" s="1"/>
  <c r="Q8" i="20" s="1"/>
  <c r="P11" i="20"/>
  <c r="P10" i="20" s="1"/>
  <c r="P8" i="20" s="1"/>
  <c r="O11" i="20"/>
  <c r="N11" i="20"/>
  <c r="M11" i="20"/>
  <c r="M10" i="20" s="1"/>
  <c r="M8" i="20" s="1"/>
  <c r="L11" i="20"/>
  <c r="L10" i="20" s="1"/>
  <c r="L8" i="20" s="1"/>
  <c r="K11" i="20"/>
  <c r="J11" i="20"/>
  <c r="I11" i="20"/>
  <c r="I10" i="20" s="1"/>
  <c r="I8" i="20" s="1"/>
  <c r="H11" i="20"/>
  <c r="H10" i="20" s="1"/>
  <c r="H8" i="20" s="1"/>
  <c r="H4" i="20" s="1"/>
  <c r="G11" i="20"/>
  <c r="F11" i="20"/>
  <c r="E11" i="20"/>
  <c r="V11" i="20" s="1"/>
  <c r="S10" i="20"/>
  <c r="R10" i="20"/>
  <c r="O10" i="20"/>
  <c r="N10" i="20"/>
  <c r="K10" i="20"/>
  <c r="J10" i="20"/>
  <c r="F10" i="20"/>
  <c r="F8" i="20" s="1"/>
  <c r="E10" i="20"/>
  <c r="U9" i="20"/>
  <c r="T9" i="20"/>
  <c r="S9" i="20"/>
  <c r="S8" i="20" s="1"/>
  <c r="R9" i="20"/>
  <c r="R8" i="20" s="1"/>
  <c r="Q9" i="20"/>
  <c r="P9" i="20"/>
  <c r="O9" i="20"/>
  <c r="O8" i="20" s="1"/>
  <c r="N9" i="20"/>
  <c r="N8" i="20" s="1"/>
  <c r="M9" i="20"/>
  <c r="L9" i="20"/>
  <c r="K9" i="20"/>
  <c r="K8" i="20" s="1"/>
  <c r="J9" i="20"/>
  <c r="J8" i="20" s="1"/>
  <c r="I9" i="20"/>
  <c r="F9" i="20"/>
  <c r="E9" i="20"/>
  <c r="U7" i="20"/>
  <c r="T7" i="20"/>
  <c r="S7" i="20"/>
  <c r="R7" i="20"/>
  <c r="Q7" i="20"/>
  <c r="P7" i="20"/>
  <c r="O7" i="20"/>
  <c r="N7" i="20"/>
  <c r="M7" i="20"/>
  <c r="L7" i="20"/>
  <c r="K7" i="20"/>
  <c r="J7" i="20"/>
  <c r="I7" i="20"/>
  <c r="G7" i="20"/>
  <c r="F7" i="20"/>
  <c r="E7" i="20"/>
  <c r="U6" i="20"/>
  <c r="U5" i="20" s="1"/>
  <c r="T6" i="20"/>
  <c r="T5" i="20" s="1"/>
  <c r="T4" i="20" s="1"/>
  <c r="S6" i="20"/>
  <c r="R6" i="20"/>
  <c r="Q6" i="20"/>
  <c r="Q5" i="20" s="1"/>
  <c r="P6" i="20"/>
  <c r="P5" i="20" s="1"/>
  <c r="P4" i="20" s="1"/>
  <c r="O6" i="20"/>
  <c r="N6" i="20"/>
  <c r="M6" i="20"/>
  <c r="M5" i="20" s="1"/>
  <c r="L6" i="20"/>
  <c r="L5" i="20" s="1"/>
  <c r="K6" i="20"/>
  <c r="J6" i="20"/>
  <c r="I6" i="20"/>
  <c r="I5" i="20" s="1"/>
  <c r="G6" i="20"/>
  <c r="G5" i="20" s="1"/>
  <c r="F6" i="20"/>
  <c r="E6" i="20"/>
  <c r="S5" i="20"/>
  <c r="R5" i="20"/>
  <c r="O5" i="20"/>
  <c r="N5" i="20"/>
  <c r="K5" i="20"/>
  <c r="J5" i="20"/>
  <c r="H5" i="20"/>
  <c r="F5" i="20"/>
  <c r="E5" i="20"/>
  <c r="W109" i="25"/>
  <c r="W108" i="25"/>
  <c r="W107" i="25"/>
  <c r="W106" i="25"/>
  <c r="W105" i="25"/>
  <c r="W104" i="25"/>
  <c r="W103" i="25"/>
  <c r="W102" i="25"/>
  <c r="V101" i="25"/>
  <c r="U101" i="25"/>
  <c r="T101" i="25"/>
  <c r="S101" i="25"/>
  <c r="R101" i="25"/>
  <c r="Q101" i="25"/>
  <c r="P101" i="25"/>
  <c r="O101" i="25"/>
  <c r="N101" i="25"/>
  <c r="M101" i="25"/>
  <c r="L101" i="25"/>
  <c r="K101" i="25"/>
  <c r="J101" i="25"/>
  <c r="I101" i="25"/>
  <c r="H101" i="25"/>
  <c r="G101" i="25"/>
  <c r="F101" i="25"/>
  <c r="E101" i="25"/>
  <c r="W100" i="25"/>
  <c r="W99" i="25"/>
  <c r="W98" i="25"/>
  <c r="W97" i="25"/>
  <c r="V96" i="25"/>
  <c r="U96" i="25"/>
  <c r="U72" i="25" s="1"/>
  <c r="U71" i="25" s="1"/>
  <c r="T96" i="25"/>
  <c r="S96" i="25"/>
  <c r="R96" i="25"/>
  <c r="Q96" i="25"/>
  <c r="Q72" i="25" s="1"/>
  <c r="Q71" i="25" s="1"/>
  <c r="P96" i="25"/>
  <c r="O96" i="25"/>
  <c r="N96" i="25"/>
  <c r="M96" i="25"/>
  <c r="M72" i="25" s="1"/>
  <c r="M71" i="25" s="1"/>
  <c r="L96" i="25"/>
  <c r="K96" i="25"/>
  <c r="J96" i="25"/>
  <c r="I96" i="25"/>
  <c r="I72" i="25" s="1"/>
  <c r="I71" i="25" s="1"/>
  <c r="H96" i="25"/>
  <c r="G96" i="25"/>
  <c r="F96" i="25"/>
  <c r="E96" i="25"/>
  <c r="E72" i="25" s="1"/>
  <c r="W95" i="25"/>
  <c r="W94" i="25"/>
  <c r="V93" i="25"/>
  <c r="U93" i="25"/>
  <c r="T93" i="25"/>
  <c r="S93" i="25"/>
  <c r="R93" i="25"/>
  <c r="Q93" i="25"/>
  <c r="P93" i="25"/>
  <c r="O93" i="25"/>
  <c r="N93" i="25"/>
  <c r="M93" i="25"/>
  <c r="L93" i="25"/>
  <c r="K93" i="25"/>
  <c r="J93" i="25"/>
  <c r="I93" i="25"/>
  <c r="H93" i="25"/>
  <c r="G93" i="25"/>
  <c r="F93" i="25"/>
  <c r="E93" i="25"/>
  <c r="W92" i="25"/>
  <c r="V91" i="25"/>
  <c r="S91" i="25"/>
  <c r="R91" i="25"/>
  <c r="Q91" i="25"/>
  <c r="P91" i="25"/>
  <c r="O91" i="25"/>
  <c r="N91" i="25"/>
  <c r="M91" i="25"/>
  <c r="L91" i="25"/>
  <c r="K91" i="25"/>
  <c r="J91" i="25"/>
  <c r="I91" i="25"/>
  <c r="H91" i="25"/>
  <c r="G91" i="25"/>
  <c r="F91" i="25"/>
  <c r="E91" i="25"/>
  <c r="V90" i="25"/>
  <c r="S90" i="25"/>
  <c r="R90" i="25"/>
  <c r="R89" i="25" s="1"/>
  <c r="R85" i="25" s="1"/>
  <c r="Q90" i="25"/>
  <c r="P90" i="25"/>
  <c r="P89" i="25" s="1"/>
  <c r="O90" i="25"/>
  <c r="N90" i="25"/>
  <c r="N89" i="25" s="1"/>
  <c r="N85" i="25" s="1"/>
  <c r="M90" i="25"/>
  <c r="L90" i="25"/>
  <c r="L89" i="25" s="1"/>
  <c r="K90" i="25"/>
  <c r="J90" i="25"/>
  <c r="J89" i="25" s="1"/>
  <c r="J85" i="25" s="1"/>
  <c r="I90" i="25"/>
  <c r="H90" i="25"/>
  <c r="H89" i="25" s="1"/>
  <c r="G90" i="25"/>
  <c r="F90" i="25"/>
  <c r="F89" i="25" s="1"/>
  <c r="F85" i="25" s="1"/>
  <c r="E90" i="25"/>
  <c r="V89" i="25"/>
  <c r="U89" i="25"/>
  <c r="T89" i="25"/>
  <c r="S89" i="25"/>
  <c r="Q89" i="25"/>
  <c r="O89" i="25"/>
  <c r="M89" i="25"/>
  <c r="M85" i="25" s="1"/>
  <c r="K89" i="25"/>
  <c r="I89" i="25"/>
  <c r="G89" i="25"/>
  <c r="E89" i="25"/>
  <c r="E85" i="25" s="1"/>
  <c r="W88" i="25"/>
  <c r="W87" i="25"/>
  <c r="V86" i="25"/>
  <c r="V85" i="25" s="1"/>
  <c r="S86" i="25"/>
  <c r="S85" i="25" s="1"/>
  <c r="R86" i="25"/>
  <c r="Q86" i="25"/>
  <c r="P86" i="25"/>
  <c r="O86" i="25"/>
  <c r="O85" i="25" s="1"/>
  <c r="N86" i="25"/>
  <c r="M86" i="25"/>
  <c r="L86" i="25"/>
  <c r="K86" i="25"/>
  <c r="K85" i="25" s="1"/>
  <c r="J86" i="25"/>
  <c r="I86" i="25"/>
  <c r="H86" i="25"/>
  <c r="G86" i="25"/>
  <c r="G85" i="25" s="1"/>
  <c r="F86" i="25"/>
  <c r="E86" i="25"/>
  <c r="Q85" i="25"/>
  <c r="I85" i="25"/>
  <c r="W84" i="25"/>
  <c r="V83" i="25"/>
  <c r="S83" i="25"/>
  <c r="R83" i="25"/>
  <c r="Q83" i="25"/>
  <c r="P83" i="25"/>
  <c r="O83" i="25"/>
  <c r="N83" i="25"/>
  <c r="M83" i="25"/>
  <c r="L83" i="25"/>
  <c r="K83" i="25"/>
  <c r="J83" i="25"/>
  <c r="I83" i="25"/>
  <c r="H83" i="25"/>
  <c r="G83" i="25"/>
  <c r="F83" i="25"/>
  <c r="E83" i="25"/>
  <c r="V82" i="25"/>
  <c r="V81" i="25" s="1"/>
  <c r="U82" i="25"/>
  <c r="T82" i="25"/>
  <c r="T81" i="25" s="1"/>
  <c r="S82" i="25"/>
  <c r="R82" i="25"/>
  <c r="R81" i="25" s="1"/>
  <c r="Q82" i="25"/>
  <c r="P82" i="25"/>
  <c r="P81" i="25" s="1"/>
  <c r="O82" i="25"/>
  <c r="N82" i="25"/>
  <c r="N81" i="25" s="1"/>
  <c r="M82" i="25"/>
  <c r="L82" i="25"/>
  <c r="L81" i="25" s="1"/>
  <c r="K82" i="25"/>
  <c r="J82" i="25"/>
  <c r="J81" i="25" s="1"/>
  <c r="I82" i="25"/>
  <c r="H82" i="25"/>
  <c r="H81" i="25" s="1"/>
  <c r="G82" i="25"/>
  <c r="F82" i="25"/>
  <c r="W82" i="25" s="1"/>
  <c r="E82" i="25"/>
  <c r="U81" i="25"/>
  <c r="S81" i="25"/>
  <c r="Q81" i="25"/>
  <c r="O81" i="25"/>
  <c r="M81" i="25"/>
  <c r="K81" i="25"/>
  <c r="I81" i="25"/>
  <c r="G81" i="25"/>
  <c r="E81" i="25"/>
  <c r="V80" i="25"/>
  <c r="V79" i="25" s="1"/>
  <c r="U80" i="25"/>
  <c r="U79" i="25" s="1"/>
  <c r="T80" i="25"/>
  <c r="T79" i="25" s="1"/>
  <c r="S80" i="25"/>
  <c r="R80" i="25"/>
  <c r="R79" i="25" s="1"/>
  <c r="Q80" i="25"/>
  <c r="Q79" i="25" s="1"/>
  <c r="P80" i="25"/>
  <c r="P79" i="25" s="1"/>
  <c r="O80" i="25"/>
  <c r="N80" i="25"/>
  <c r="N79" i="25" s="1"/>
  <c r="M80" i="25"/>
  <c r="M79" i="25" s="1"/>
  <c r="L80" i="25"/>
  <c r="L79" i="25" s="1"/>
  <c r="K80" i="25"/>
  <c r="J80" i="25"/>
  <c r="J79" i="25" s="1"/>
  <c r="I80" i="25"/>
  <c r="I79" i="25" s="1"/>
  <c r="H80" i="25"/>
  <c r="H79" i="25" s="1"/>
  <c r="G80" i="25"/>
  <c r="F80" i="25"/>
  <c r="F79" i="25" s="1"/>
  <c r="E80" i="25"/>
  <c r="W80" i="25" s="1"/>
  <c r="S79" i="25"/>
  <c r="O79" i="25"/>
  <c r="K79" i="25"/>
  <c r="G79" i="25"/>
  <c r="W78" i="25"/>
  <c r="V77" i="25"/>
  <c r="S77" i="25"/>
  <c r="R77" i="25"/>
  <c r="Q77" i="25"/>
  <c r="P77" i="25"/>
  <c r="O77" i="25"/>
  <c r="N77" i="25"/>
  <c r="M77" i="25"/>
  <c r="L77" i="25"/>
  <c r="K77" i="25"/>
  <c r="J77" i="25"/>
  <c r="I77" i="25"/>
  <c r="H77" i="25"/>
  <c r="G77" i="25"/>
  <c r="F77" i="25"/>
  <c r="E77" i="25"/>
  <c r="V76" i="25"/>
  <c r="V75" i="25" s="1"/>
  <c r="U76" i="25"/>
  <c r="U75" i="25" s="1"/>
  <c r="T76" i="25"/>
  <c r="T75" i="25" s="1"/>
  <c r="S76" i="25"/>
  <c r="R76" i="25"/>
  <c r="R75" i="25" s="1"/>
  <c r="Q76" i="25"/>
  <c r="Q75" i="25" s="1"/>
  <c r="P76" i="25"/>
  <c r="P75" i="25" s="1"/>
  <c r="O76" i="25"/>
  <c r="N76" i="25"/>
  <c r="N75" i="25" s="1"/>
  <c r="M76" i="25"/>
  <c r="M75" i="25" s="1"/>
  <c r="L76" i="25"/>
  <c r="L75" i="25" s="1"/>
  <c r="K76" i="25"/>
  <c r="J76" i="25"/>
  <c r="J75" i="25" s="1"/>
  <c r="I76" i="25"/>
  <c r="I75" i="25" s="1"/>
  <c r="H76" i="25"/>
  <c r="H75" i="25" s="1"/>
  <c r="G76" i="25"/>
  <c r="F76" i="25"/>
  <c r="F75" i="25" s="1"/>
  <c r="E76" i="25"/>
  <c r="W76" i="25" s="1"/>
  <c r="S75" i="25"/>
  <c r="O75" i="25"/>
  <c r="K75" i="25"/>
  <c r="G75" i="25"/>
  <c r="V74" i="25"/>
  <c r="V73" i="25" s="1"/>
  <c r="U74" i="25"/>
  <c r="T74" i="25"/>
  <c r="T73" i="25" s="1"/>
  <c r="S74" i="25"/>
  <c r="R74" i="25"/>
  <c r="R73" i="25" s="1"/>
  <c r="Q74" i="25"/>
  <c r="P74" i="25"/>
  <c r="P73" i="25" s="1"/>
  <c r="O74" i="25"/>
  <c r="O73" i="25" s="1"/>
  <c r="N74" i="25"/>
  <c r="N73" i="25" s="1"/>
  <c r="M74" i="25"/>
  <c r="L74" i="25"/>
  <c r="L73" i="25" s="1"/>
  <c r="K74" i="25"/>
  <c r="J74" i="25"/>
  <c r="J73" i="25" s="1"/>
  <c r="I74" i="25"/>
  <c r="H74" i="25"/>
  <c r="H73" i="25" s="1"/>
  <c r="G74" i="25"/>
  <c r="G73" i="25" s="1"/>
  <c r="F74" i="25"/>
  <c r="E74" i="25"/>
  <c r="U73" i="25"/>
  <c r="S73" i="25"/>
  <c r="Q73" i="25"/>
  <c r="M73" i="25"/>
  <c r="K73" i="25"/>
  <c r="I73" i="25"/>
  <c r="E73" i="25"/>
  <c r="V72" i="25"/>
  <c r="V71" i="25" s="1"/>
  <c r="T72" i="25"/>
  <c r="T71" i="25" s="1"/>
  <c r="S72" i="25"/>
  <c r="R72" i="25"/>
  <c r="R71" i="25" s="1"/>
  <c r="P72" i="25"/>
  <c r="P71" i="25" s="1"/>
  <c r="O72" i="25"/>
  <c r="O71" i="25" s="1"/>
  <c r="N72" i="25"/>
  <c r="N71" i="25" s="1"/>
  <c r="L72" i="25"/>
  <c r="L71" i="25" s="1"/>
  <c r="K72" i="25"/>
  <c r="J72" i="25"/>
  <c r="J71" i="25" s="1"/>
  <c r="H72" i="25"/>
  <c r="H71" i="25" s="1"/>
  <c r="G72" i="25"/>
  <c r="G71" i="25" s="1"/>
  <c r="F72" i="25"/>
  <c r="F71" i="25" s="1"/>
  <c r="S71" i="25"/>
  <c r="K71" i="25"/>
  <c r="W70" i="25"/>
  <c r="W69" i="25"/>
  <c r="W68" i="25"/>
  <c r="W67" i="25"/>
  <c r="W66" i="25"/>
  <c r="W65" i="25"/>
  <c r="W64" i="25"/>
  <c r="W63" i="25"/>
  <c r="W62" i="25"/>
  <c r="W61" i="25"/>
  <c r="W60" i="25"/>
  <c r="W59" i="25"/>
  <c r="W58" i="25"/>
  <c r="W57" i="25"/>
  <c r="W56" i="25"/>
  <c r="W55" i="25"/>
  <c r="W54" i="25"/>
  <c r="V53" i="25"/>
  <c r="U53" i="25"/>
  <c r="U52" i="25" s="1"/>
  <c r="T53" i="25"/>
  <c r="S53" i="25"/>
  <c r="R53" i="25"/>
  <c r="Q53" i="25"/>
  <c r="P53" i="25"/>
  <c r="O53" i="25"/>
  <c r="N53" i="25"/>
  <c r="M53" i="25"/>
  <c r="L53" i="25"/>
  <c r="K53" i="25"/>
  <c r="J53" i="25"/>
  <c r="I53" i="25"/>
  <c r="H53" i="25"/>
  <c r="G53" i="25"/>
  <c r="F53" i="25"/>
  <c r="E53" i="25"/>
  <c r="W51" i="25"/>
  <c r="W50" i="25"/>
  <c r="W49" i="25"/>
  <c r="W48" i="25"/>
  <c r="V47" i="25"/>
  <c r="U47" i="25"/>
  <c r="T47" i="25"/>
  <c r="S47" i="25"/>
  <c r="R47" i="25"/>
  <c r="Q47" i="25"/>
  <c r="P47" i="25"/>
  <c r="O47" i="25"/>
  <c r="N47" i="25"/>
  <c r="M47" i="25"/>
  <c r="L47" i="25"/>
  <c r="K47" i="25"/>
  <c r="J47" i="25"/>
  <c r="I47" i="25"/>
  <c r="H47" i="25"/>
  <c r="G47" i="25"/>
  <c r="F47" i="25"/>
  <c r="E47" i="25"/>
  <c r="W46" i="25"/>
  <c r="V45" i="25"/>
  <c r="U45" i="25"/>
  <c r="T45" i="25"/>
  <c r="S45" i="25"/>
  <c r="R45" i="25"/>
  <c r="Q45" i="25"/>
  <c r="P45" i="25"/>
  <c r="O45" i="25"/>
  <c r="N45" i="25"/>
  <c r="M45" i="25"/>
  <c r="L45" i="25"/>
  <c r="K45" i="25"/>
  <c r="J45" i="25"/>
  <c r="I45" i="25"/>
  <c r="H45" i="25"/>
  <c r="G45" i="25"/>
  <c r="F45" i="25"/>
  <c r="E45" i="25"/>
  <c r="W45" i="25" s="1"/>
  <c r="W44" i="25"/>
  <c r="W43" i="25"/>
  <c r="V42" i="25"/>
  <c r="S42" i="25"/>
  <c r="R42" i="25"/>
  <c r="Q42" i="25"/>
  <c r="P42" i="25"/>
  <c r="O42" i="25"/>
  <c r="N42" i="25"/>
  <c r="M42" i="25"/>
  <c r="L42" i="25"/>
  <c r="K42" i="25"/>
  <c r="J42" i="25"/>
  <c r="I42" i="25"/>
  <c r="H42" i="25"/>
  <c r="G42" i="25"/>
  <c r="F42" i="25"/>
  <c r="E42" i="25"/>
  <c r="W41" i="25"/>
  <c r="V40" i="25"/>
  <c r="V31" i="25" s="1"/>
  <c r="S40" i="25"/>
  <c r="R40" i="25"/>
  <c r="Q40" i="25"/>
  <c r="P40" i="25"/>
  <c r="P31" i="25" s="1"/>
  <c r="O40" i="25"/>
  <c r="N40" i="25"/>
  <c r="M40" i="25"/>
  <c r="L40" i="25"/>
  <c r="L31" i="25" s="1"/>
  <c r="K40" i="25"/>
  <c r="J40" i="25"/>
  <c r="I40" i="25"/>
  <c r="H40" i="25"/>
  <c r="H31" i="25" s="1"/>
  <c r="G40" i="25"/>
  <c r="F40" i="25"/>
  <c r="E40" i="25"/>
  <c r="W39" i="25"/>
  <c r="W38" i="25"/>
  <c r="W37" i="25"/>
  <c r="W36" i="25"/>
  <c r="W35" i="25"/>
  <c r="W34" i="25"/>
  <c r="W33" i="25"/>
  <c r="V32" i="25"/>
  <c r="S32" i="25"/>
  <c r="S31" i="25" s="1"/>
  <c r="R32" i="25"/>
  <c r="R31" i="25" s="1"/>
  <c r="Q32" i="25"/>
  <c r="P32" i="25"/>
  <c r="O32" i="25"/>
  <c r="O31" i="25" s="1"/>
  <c r="N32" i="25"/>
  <c r="N31" i="25" s="1"/>
  <c r="M32" i="25"/>
  <c r="L32" i="25"/>
  <c r="K32" i="25"/>
  <c r="K31" i="25" s="1"/>
  <c r="J32" i="25"/>
  <c r="J31" i="25" s="1"/>
  <c r="I32" i="25"/>
  <c r="H32" i="25"/>
  <c r="G32" i="25"/>
  <c r="G31" i="25" s="1"/>
  <c r="F32" i="25"/>
  <c r="F31" i="25" s="1"/>
  <c r="E32" i="25"/>
  <c r="U31" i="25"/>
  <c r="T31" i="25"/>
  <c r="Q31" i="25"/>
  <c r="M31" i="25"/>
  <c r="I31" i="25"/>
  <c r="E31" i="25"/>
  <c r="W31" i="25" s="1"/>
  <c r="V30" i="25"/>
  <c r="U30" i="25"/>
  <c r="T30" i="25"/>
  <c r="S30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F30" i="25"/>
  <c r="E30" i="25"/>
  <c r="V29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E29" i="25"/>
  <c r="V28" i="25"/>
  <c r="V27" i="25" s="1"/>
  <c r="U28" i="25"/>
  <c r="T28" i="25"/>
  <c r="S28" i="25"/>
  <c r="S27" i="25" s="1"/>
  <c r="R28" i="25"/>
  <c r="R27" i="25" s="1"/>
  <c r="Q28" i="25"/>
  <c r="P28" i="25"/>
  <c r="O28" i="25"/>
  <c r="O27" i="25" s="1"/>
  <c r="N28" i="25"/>
  <c r="N27" i="25" s="1"/>
  <c r="M28" i="25"/>
  <c r="L28" i="25"/>
  <c r="K28" i="25"/>
  <c r="K27" i="25" s="1"/>
  <c r="J28" i="25"/>
  <c r="J27" i="25" s="1"/>
  <c r="I28" i="25"/>
  <c r="H28" i="25"/>
  <c r="G28" i="25"/>
  <c r="G27" i="25" s="1"/>
  <c r="F28" i="25"/>
  <c r="F27" i="25" s="1"/>
  <c r="E28" i="25"/>
  <c r="U27" i="25"/>
  <c r="T27" i="25"/>
  <c r="Q27" i="25"/>
  <c r="P27" i="25"/>
  <c r="M27" i="25"/>
  <c r="L27" i="25"/>
  <c r="I27" i="25"/>
  <c r="H27" i="25"/>
  <c r="E27" i="25"/>
  <c r="V26" i="25"/>
  <c r="V25" i="25" s="1"/>
  <c r="U26" i="25"/>
  <c r="T26" i="25"/>
  <c r="S26" i="25"/>
  <c r="S25" i="25" s="1"/>
  <c r="R26" i="25"/>
  <c r="R25" i="25" s="1"/>
  <c r="Q26" i="25"/>
  <c r="P26" i="25"/>
  <c r="O26" i="25"/>
  <c r="O25" i="25" s="1"/>
  <c r="N26" i="25"/>
  <c r="N25" i="25" s="1"/>
  <c r="M26" i="25"/>
  <c r="L26" i="25"/>
  <c r="K26" i="25"/>
  <c r="K25" i="25" s="1"/>
  <c r="J26" i="25"/>
  <c r="J25" i="25" s="1"/>
  <c r="I26" i="25"/>
  <c r="H26" i="25"/>
  <c r="G26" i="25"/>
  <c r="G25" i="25" s="1"/>
  <c r="F26" i="25"/>
  <c r="F25" i="25" s="1"/>
  <c r="E26" i="25"/>
  <c r="U25" i="25"/>
  <c r="T25" i="25"/>
  <c r="Q25" i="25"/>
  <c r="P25" i="25"/>
  <c r="M25" i="25"/>
  <c r="L25" i="25"/>
  <c r="I25" i="25"/>
  <c r="H25" i="25"/>
  <c r="E25" i="25"/>
  <c r="V24" i="25"/>
  <c r="U24" i="25"/>
  <c r="T24" i="25"/>
  <c r="S24" i="25"/>
  <c r="R24" i="25"/>
  <c r="Q24" i="25"/>
  <c r="P24" i="25"/>
  <c r="O24" i="25"/>
  <c r="N24" i="25"/>
  <c r="M24" i="25"/>
  <c r="L24" i="25"/>
  <c r="K24" i="25"/>
  <c r="J24" i="25"/>
  <c r="I24" i="25"/>
  <c r="H24" i="25"/>
  <c r="G24" i="25"/>
  <c r="F24" i="25"/>
  <c r="E24" i="25"/>
  <c r="V23" i="25"/>
  <c r="U23" i="25"/>
  <c r="U22" i="25" s="1"/>
  <c r="T23" i="25"/>
  <c r="T22" i="25" s="1"/>
  <c r="S23" i="25"/>
  <c r="R23" i="25"/>
  <c r="Q23" i="25"/>
  <c r="Q22" i="25" s="1"/>
  <c r="P23" i="25"/>
  <c r="P22" i="25" s="1"/>
  <c r="O23" i="25"/>
  <c r="N23" i="25"/>
  <c r="M23" i="25"/>
  <c r="M22" i="25" s="1"/>
  <c r="L23" i="25"/>
  <c r="L22" i="25" s="1"/>
  <c r="K23" i="25"/>
  <c r="J23" i="25"/>
  <c r="I23" i="25"/>
  <c r="I22" i="25" s="1"/>
  <c r="H23" i="25"/>
  <c r="H22" i="25" s="1"/>
  <c r="G23" i="25"/>
  <c r="F23" i="25"/>
  <c r="E23" i="25"/>
  <c r="V22" i="25"/>
  <c r="S22" i="25"/>
  <c r="R22" i="25"/>
  <c r="O22" i="25"/>
  <c r="N22" i="25"/>
  <c r="K22" i="25"/>
  <c r="J22" i="25"/>
  <c r="G22" i="25"/>
  <c r="F22" i="25"/>
  <c r="V21" i="25"/>
  <c r="U21" i="25"/>
  <c r="U20" i="25" s="1"/>
  <c r="T21" i="25"/>
  <c r="T20" i="25" s="1"/>
  <c r="S21" i="25"/>
  <c r="R21" i="25"/>
  <c r="Q21" i="25"/>
  <c r="Q20" i="25" s="1"/>
  <c r="P21" i="25"/>
  <c r="P20" i="25" s="1"/>
  <c r="O21" i="25"/>
  <c r="N21" i="25"/>
  <c r="M21" i="25"/>
  <c r="M20" i="25" s="1"/>
  <c r="L21" i="25"/>
  <c r="L20" i="25" s="1"/>
  <c r="K21" i="25"/>
  <c r="J21" i="25"/>
  <c r="I21" i="25"/>
  <c r="I20" i="25" s="1"/>
  <c r="H21" i="25"/>
  <c r="H20" i="25" s="1"/>
  <c r="G21" i="25"/>
  <c r="F21" i="25"/>
  <c r="E21" i="25"/>
  <c r="V20" i="25"/>
  <c r="S20" i="25"/>
  <c r="R20" i="25"/>
  <c r="O20" i="25"/>
  <c r="N20" i="25"/>
  <c r="K20" i="25"/>
  <c r="J20" i="25"/>
  <c r="G20" i="25"/>
  <c r="F20" i="25"/>
  <c r="W19" i="25"/>
  <c r="V18" i="25"/>
  <c r="U18" i="25"/>
  <c r="T18" i="25"/>
  <c r="S18" i="25"/>
  <c r="R18" i="25"/>
  <c r="Q18" i="25"/>
  <c r="P18" i="25"/>
  <c r="O18" i="25"/>
  <c r="N18" i="25"/>
  <c r="M18" i="25"/>
  <c r="L18" i="25"/>
  <c r="K18" i="25"/>
  <c r="J18" i="25"/>
  <c r="I18" i="25"/>
  <c r="H18" i="25"/>
  <c r="G18" i="25"/>
  <c r="F18" i="25"/>
  <c r="E18" i="25"/>
  <c r="W17" i="25"/>
  <c r="W16" i="25"/>
  <c r="V15" i="25"/>
  <c r="U15" i="25"/>
  <c r="T15" i="25"/>
  <c r="S15" i="25"/>
  <c r="R15" i="25"/>
  <c r="R13" i="25" s="1"/>
  <c r="R4" i="25" s="1"/>
  <c r="Q15" i="25"/>
  <c r="P15" i="25"/>
  <c r="O15" i="25"/>
  <c r="N15" i="25"/>
  <c r="M15" i="25"/>
  <c r="L15" i="25"/>
  <c r="K15" i="25"/>
  <c r="J15" i="25"/>
  <c r="J13" i="25" s="1"/>
  <c r="I15" i="25"/>
  <c r="H15" i="25"/>
  <c r="G15" i="25"/>
  <c r="F15" i="25"/>
  <c r="E15" i="25"/>
  <c r="V14" i="25"/>
  <c r="U14" i="25"/>
  <c r="T14" i="25"/>
  <c r="T13" i="25" s="1"/>
  <c r="S14" i="25"/>
  <c r="S13" i="25" s="1"/>
  <c r="R14" i="25"/>
  <c r="Q14" i="25"/>
  <c r="P14" i="25"/>
  <c r="P13" i="25" s="1"/>
  <c r="O14" i="25"/>
  <c r="O13" i="25" s="1"/>
  <c r="N14" i="25"/>
  <c r="M14" i="25"/>
  <c r="L14" i="25"/>
  <c r="L13" i="25" s="1"/>
  <c r="K14" i="25"/>
  <c r="K13" i="25" s="1"/>
  <c r="J14" i="25"/>
  <c r="I14" i="25"/>
  <c r="H14" i="25"/>
  <c r="H13" i="25" s="1"/>
  <c r="G14" i="25"/>
  <c r="G13" i="25" s="1"/>
  <c r="F14" i="25"/>
  <c r="E14" i="25"/>
  <c r="V13" i="25"/>
  <c r="U13" i="25"/>
  <c r="Q13" i="25"/>
  <c r="N13" i="25"/>
  <c r="N4" i="25" s="1"/>
  <c r="M13" i="25"/>
  <c r="I13" i="25"/>
  <c r="F13" i="25"/>
  <c r="F4" i="25" s="1"/>
  <c r="E13" i="25"/>
  <c r="V12" i="25"/>
  <c r="U12" i="25"/>
  <c r="S12" i="25"/>
  <c r="R12" i="25"/>
  <c r="Q12" i="25"/>
  <c r="P12" i="25"/>
  <c r="O12" i="25"/>
  <c r="N12" i="25"/>
  <c r="M12" i="25"/>
  <c r="L12" i="25"/>
  <c r="K12" i="25"/>
  <c r="J12" i="25"/>
  <c r="I12" i="25"/>
  <c r="H12" i="25"/>
  <c r="G12" i="25"/>
  <c r="F12" i="25"/>
  <c r="E12" i="25"/>
  <c r="V11" i="25"/>
  <c r="U11" i="25"/>
  <c r="U10" i="25" s="1"/>
  <c r="U8" i="25" s="1"/>
  <c r="S11" i="25"/>
  <c r="R11" i="25"/>
  <c r="Q11" i="25"/>
  <c r="P11" i="25"/>
  <c r="P10" i="25" s="1"/>
  <c r="O11" i="25"/>
  <c r="N11" i="25"/>
  <c r="M11" i="25"/>
  <c r="L11" i="25"/>
  <c r="L10" i="25" s="1"/>
  <c r="L8" i="25" s="1"/>
  <c r="K11" i="25"/>
  <c r="J11" i="25"/>
  <c r="I11" i="25"/>
  <c r="H11" i="25"/>
  <c r="H10" i="25" s="1"/>
  <c r="H8" i="25" s="1"/>
  <c r="G11" i="25"/>
  <c r="F11" i="25"/>
  <c r="E11" i="25"/>
  <c r="V10" i="25"/>
  <c r="V8" i="25" s="1"/>
  <c r="V4" i="25" s="1"/>
  <c r="T10" i="25"/>
  <c r="R10" i="25"/>
  <c r="R8" i="25" s="1"/>
  <c r="Q10" i="25"/>
  <c r="Q8" i="25" s="1"/>
  <c r="N10" i="25"/>
  <c r="N8" i="25" s="1"/>
  <c r="M10" i="25"/>
  <c r="J10" i="25"/>
  <c r="J8" i="25" s="1"/>
  <c r="J4" i="25" s="1"/>
  <c r="I10" i="25"/>
  <c r="I8" i="25" s="1"/>
  <c r="F10" i="25"/>
  <c r="F8" i="25" s="1"/>
  <c r="E10" i="25"/>
  <c r="W9" i="25"/>
  <c r="T8" i="25"/>
  <c r="P8" i="25"/>
  <c r="M8" i="25"/>
  <c r="E8" i="25"/>
  <c r="W7" i="25"/>
  <c r="W6" i="25"/>
  <c r="V5" i="25"/>
  <c r="U5" i="25"/>
  <c r="U4" i="25" s="1"/>
  <c r="U3" i="25" s="1"/>
  <c r="T5" i="25"/>
  <c r="S5" i="25"/>
  <c r="R5" i="25"/>
  <c r="Q5" i="25"/>
  <c r="Q4" i="25" s="1"/>
  <c r="P5" i="25"/>
  <c r="O5" i="25"/>
  <c r="N5" i="25"/>
  <c r="M5" i="25"/>
  <c r="L5" i="25"/>
  <c r="K5" i="25"/>
  <c r="J5" i="25"/>
  <c r="I5" i="25"/>
  <c r="I4" i="25" s="1"/>
  <c r="H5" i="25"/>
  <c r="G5" i="25"/>
  <c r="F5" i="25"/>
  <c r="E5" i="25"/>
  <c r="W5" i="25" s="1"/>
  <c r="M4" i="25"/>
  <c r="V109" i="31"/>
  <c r="V108" i="31"/>
  <c r="V107" i="31"/>
  <c r="V106" i="31"/>
  <c r="V105" i="31"/>
  <c r="V104" i="31"/>
  <c r="V103" i="31"/>
  <c r="V102" i="31"/>
  <c r="U101" i="31"/>
  <c r="T101" i="31"/>
  <c r="S101" i="31"/>
  <c r="R101" i="31"/>
  <c r="P101" i="31"/>
  <c r="N101" i="31"/>
  <c r="M101" i="31"/>
  <c r="L101" i="31"/>
  <c r="J101" i="31"/>
  <c r="I101" i="31"/>
  <c r="H101" i="31"/>
  <c r="F101" i="31"/>
  <c r="E101" i="31"/>
  <c r="V100" i="31"/>
  <c r="V99" i="31"/>
  <c r="V98" i="31"/>
  <c r="V97" i="31"/>
  <c r="U96" i="31"/>
  <c r="U80" i="31" s="1"/>
  <c r="U79" i="31" s="1"/>
  <c r="T96" i="31"/>
  <c r="T80" i="31" s="1"/>
  <c r="T79" i="31" s="1"/>
  <c r="S96" i="31"/>
  <c r="R96" i="31"/>
  <c r="P96" i="31"/>
  <c r="P80" i="31" s="1"/>
  <c r="P79" i="31" s="1"/>
  <c r="N96" i="31"/>
  <c r="N80" i="31" s="1"/>
  <c r="N79" i="31" s="1"/>
  <c r="M96" i="31"/>
  <c r="M80" i="31" s="1"/>
  <c r="M79" i="31" s="1"/>
  <c r="L96" i="31"/>
  <c r="L29" i="31" s="1"/>
  <c r="J96" i="31"/>
  <c r="I96" i="31"/>
  <c r="I80" i="31" s="1"/>
  <c r="I79" i="31" s="1"/>
  <c r="H96" i="31"/>
  <c r="F96" i="31"/>
  <c r="F80" i="31" s="1"/>
  <c r="F79" i="31" s="1"/>
  <c r="E96" i="31"/>
  <c r="V95" i="31"/>
  <c r="V94" i="31"/>
  <c r="U93" i="31"/>
  <c r="T93" i="31"/>
  <c r="S93" i="31"/>
  <c r="R93" i="31"/>
  <c r="Q93" i="31"/>
  <c r="P93" i="31"/>
  <c r="O93" i="31"/>
  <c r="N93" i="31"/>
  <c r="M93" i="31"/>
  <c r="L93" i="31"/>
  <c r="K93" i="31"/>
  <c r="J93" i="31"/>
  <c r="I93" i="31"/>
  <c r="H93" i="31"/>
  <c r="G93" i="31"/>
  <c r="F93" i="31"/>
  <c r="E93" i="31"/>
  <c r="V92" i="31"/>
  <c r="U91" i="31"/>
  <c r="U89" i="31" s="1"/>
  <c r="T91" i="31"/>
  <c r="S91" i="31"/>
  <c r="R91" i="31"/>
  <c r="P91" i="31"/>
  <c r="P89" i="31" s="1"/>
  <c r="O91" i="31"/>
  <c r="N91" i="31"/>
  <c r="M91" i="31"/>
  <c r="L91" i="31"/>
  <c r="L89" i="31" s="1"/>
  <c r="I91" i="31"/>
  <c r="H91" i="31"/>
  <c r="F91" i="31"/>
  <c r="E91" i="31"/>
  <c r="V91" i="31" s="1"/>
  <c r="U90" i="31"/>
  <c r="T90" i="31"/>
  <c r="T89" i="31" s="1"/>
  <c r="S90" i="31"/>
  <c r="S89" i="31" s="1"/>
  <c r="S85" i="31" s="1"/>
  <c r="R90" i="31"/>
  <c r="R89" i="31" s="1"/>
  <c r="P90" i="31"/>
  <c r="O90" i="31"/>
  <c r="O89" i="31" s="1"/>
  <c r="O85" i="31" s="1"/>
  <c r="N90" i="31"/>
  <c r="N89" i="31" s="1"/>
  <c r="N85" i="31" s="1"/>
  <c r="M90" i="31"/>
  <c r="M89" i="31" s="1"/>
  <c r="M85" i="31" s="1"/>
  <c r="L90" i="31"/>
  <c r="I90" i="31"/>
  <c r="H90" i="31"/>
  <c r="H89" i="31" s="1"/>
  <c r="F90" i="31"/>
  <c r="E90" i="31"/>
  <c r="Q89" i="31"/>
  <c r="Q85" i="31" s="1"/>
  <c r="K89" i="31"/>
  <c r="J89" i="31"/>
  <c r="I89" i="31"/>
  <c r="G89" i="31"/>
  <c r="G85" i="31" s="1"/>
  <c r="E89" i="31"/>
  <c r="E85" i="31" s="1"/>
  <c r="V88" i="31"/>
  <c r="V87" i="31"/>
  <c r="U86" i="31"/>
  <c r="T86" i="31"/>
  <c r="T85" i="31" s="1"/>
  <c r="S86" i="31"/>
  <c r="R86" i="31"/>
  <c r="P86" i="31"/>
  <c r="N86" i="31"/>
  <c r="M86" i="31"/>
  <c r="L86" i="31"/>
  <c r="I86" i="31"/>
  <c r="H86" i="31"/>
  <c r="F86" i="31"/>
  <c r="E86" i="31"/>
  <c r="K85" i="31"/>
  <c r="J85" i="31"/>
  <c r="I85" i="31"/>
  <c r="V84" i="31"/>
  <c r="U83" i="31"/>
  <c r="T83" i="31"/>
  <c r="S83" i="31"/>
  <c r="R83" i="31"/>
  <c r="Q83" i="31"/>
  <c r="P83" i="31"/>
  <c r="O83" i="31"/>
  <c r="N83" i="31"/>
  <c r="M83" i="31"/>
  <c r="L83" i="31"/>
  <c r="K83" i="31"/>
  <c r="J83" i="31"/>
  <c r="I83" i="31"/>
  <c r="H83" i="31"/>
  <c r="G83" i="31"/>
  <c r="F83" i="31"/>
  <c r="E83" i="31"/>
  <c r="V83" i="31" s="1"/>
  <c r="U82" i="31"/>
  <c r="T82" i="31"/>
  <c r="T81" i="31" s="1"/>
  <c r="S82" i="31"/>
  <c r="S81" i="31" s="1"/>
  <c r="R82" i="31"/>
  <c r="R81" i="31" s="1"/>
  <c r="Q82" i="31"/>
  <c r="P82" i="31"/>
  <c r="O82" i="31"/>
  <c r="O81" i="31" s="1"/>
  <c r="N82" i="31"/>
  <c r="N81" i="31" s="1"/>
  <c r="M82" i="31"/>
  <c r="K82" i="31"/>
  <c r="K81" i="31" s="1"/>
  <c r="J82" i="31"/>
  <c r="J81" i="31" s="1"/>
  <c r="J52" i="31" s="1"/>
  <c r="I82" i="31"/>
  <c r="I81" i="31" s="1"/>
  <c r="H82" i="31"/>
  <c r="F82" i="31"/>
  <c r="E82" i="31"/>
  <c r="E81" i="31" s="1"/>
  <c r="U81" i="31"/>
  <c r="Q81" i="31"/>
  <c r="P81" i="31"/>
  <c r="M81" i="31"/>
  <c r="H81" i="31"/>
  <c r="F81" i="31"/>
  <c r="S80" i="31"/>
  <c r="S79" i="31" s="1"/>
  <c r="R80" i="31"/>
  <c r="Q80" i="31"/>
  <c r="O80" i="31"/>
  <c r="L80" i="31"/>
  <c r="L79" i="31" s="1"/>
  <c r="H80" i="31"/>
  <c r="H79" i="31" s="1"/>
  <c r="R79" i="31"/>
  <c r="Q79" i="31"/>
  <c r="O79" i="31"/>
  <c r="K79" i="31"/>
  <c r="J79" i="31"/>
  <c r="G79" i="31"/>
  <c r="V78" i="31"/>
  <c r="U77" i="31"/>
  <c r="T77" i="31"/>
  <c r="S77" i="31"/>
  <c r="R77" i="31"/>
  <c r="Q77" i="31"/>
  <c r="P77" i="31"/>
  <c r="N77" i="31"/>
  <c r="M77" i="31"/>
  <c r="L77" i="31"/>
  <c r="I77" i="31"/>
  <c r="H77" i="31"/>
  <c r="F77" i="31"/>
  <c r="E77" i="31"/>
  <c r="U76" i="31"/>
  <c r="U75" i="31" s="1"/>
  <c r="T76" i="31"/>
  <c r="T75" i="31" s="1"/>
  <c r="S76" i="31"/>
  <c r="S75" i="31" s="1"/>
  <c r="R76" i="31"/>
  <c r="Q76" i="31"/>
  <c r="P76" i="31"/>
  <c r="P75" i="31" s="1"/>
  <c r="O76" i="31"/>
  <c r="O75" i="31" s="1"/>
  <c r="N76" i="31"/>
  <c r="N75" i="31" s="1"/>
  <c r="M76" i="31"/>
  <c r="M75" i="31" s="1"/>
  <c r="L76" i="31"/>
  <c r="L75" i="31" s="1"/>
  <c r="I76" i="31"/>
  <c r="I75" i="31" s="1"/>
  <c r="H76" i="31"/>
  <c r="H75" i="31" s="1"/>
  <c r="F76" i="31"/>
  <c r="F75" i="31" s="1"/>
  <c r="E76" i="31"/>
  <c r="R75" i="31"/>
  <c r="Q75" i="31"/>
  <c r="K75" i="31"/>
  <c r="J75" i="31"/>
  <c r="G75" i="31"/>
  <c r="E75" i="31"/>
  <c r="U74" i="31"/>
  <c r="U73" i="31" s="1"/>
  <c r="T74" i="31"/>
  <c r="T73" i="31" s="1"/>
  <c r="S74" i="31"/>
  <c r="R74" i="31"/>
  <c r="Q74" i="31"/>
  <c r="Q73" i="31" s="1"/>
  <c r="P74" i="31"/>
  <c r="P73" i="31" s="1"/>
  <c r="O74" i="31"/>
  <c r="N74" i="31"/>
  <c r="N73" i="31" s="1"/>
  <c r="M74" i="31"/>
  <c r="M73" i="31" s="1"/>
  <c r="L74" i="31"/>
  <c r="L73" i="31" s="1"/>
  <c r="I74" i="31"/>
  <c r="I73" i="31" s="1"/>
  <c r="H74" i="31"/>
  <c r="F74" i="31"/>
  <c r="F73" i="31" s="1"/>
  <c r="E74" i="31"/>
  <c r="S73" i="31"/>
  <c r="R73" i="31"/>
  <c r="O73" i="31"/>
  <c r="K73" i="31"/>
  <c r="J73" i="31"/>
  <c r="H73" i="31"/>
  <c r="G73" i="31"/>
  <c r="U72" i="31"/>
  <c r="U71" i="31" s="1"/>
  <c r="T72" i="31"/>
  <c r="S72" i="31"/>
  <c r="R72" i="31"/>
  <c r="Q72" i="31"/>
  <c r="Q71" i="31" s="1"/>
  <c r="P72" i="31"/>
  <c r="P71" i="31" s="1"/>
  <c r="M72" i="31"/>
  <c r="M71" i="31" s="1"/>
  <c r="L72" i="31"/>
  <c r="L71" i="31" s="1"/>
  <c r="I72" i="31"/>
  <c r="I71" i="31" s="1"/>
  <c r="H72" i="31"/>
  <c r="F72" i="31"/>
  <c r="E72" i="31"/>
  <c r="T71" i="31"/>
  <c r="S71" i="31"/>
  <c r="R71" i="31"/>
  <c r="O71" i="31"/>
  <c r="K71" i="31"/>
  <c r="J71" i="31"/>
  <c r="H71" i="31"/>
  <c r="G71" i="31"/>
  <c r="F71" i="31"/>
  <c r="V70" i="31"/>
  <c r="V69" i="31"/>
  <c r="S68" i="31"/>
  <c r="F68" i="31"/>
  <c r="F53" i="31" s="1"/>
  <c r="E68" i="31"/>
  <c r="V68" i="31" s="1"/>
  <c r="V67" i="31"/>
  <c r="V66" i="31"/>
  <c r="V65" i="31"/>
  <c r="V64" i="31"/>
  <c r="F63" i="31"/>
  <c r="V63" i="31" s="1"/>
  <c r="V62" i="31"/>
  <c r="V61" i="31"/>
  <c r="I61" i="31"/>
  <c r="V60" i="31"/>
  <c r="V59" i="31"/>
  <c r="V58" i="31"/>
  <c r="V57" i="31"/>
  <c r="V56" i="31"/>
  <c r="V55" i="31"/>
  <c r="V54" i="31"/>
  <c r="P54" i="31"/>
  <c r="N54" i="31"/>
  <c r="I54" i="31"/>
  <c r="I53" i="31" s="1"/>
  <c r="U53" i="31"/>
  <c r="T53" i="31"/>
  <c r="S53" i="31"/>
  <c r="R53" i="31"/>
  <c r="P53" i="31"/>
  <c r="O53" i="31"/>
  <c r="N53" i="31"/>
  <c r="L53" i="31"/>
  <c r="K53" i="31"/>
  <c r="J53" i="31"/>
  <c r="H53" i="31"/>
  <c r="G53" i="31"/>
  <c r="V51" i="31"/>
  <c r="V50" i="31"/>
  <c r="V49" i="31"/>
  <c r="Q48" i="31"/>
  <c r="Q47" i="31" s="1"/>
  <c r="L48" i="31"/>
  <c r="U47" i="31"/>
  <c r="T47" i="31"/>
  <c r="S47" i="31"/>
  <c r="R47" i="31"/>
  <c r="P47" i="31"/>
  <c r="O47" i="31"/>
  <c r="N47" i="31"/>
  <c r="M47" i="31"/>
  <c r="K47" i="31"/>
  <c r="J47" i="31"/>
  <c r="J31" i="31" s="1"/>
  <c r="I47" i="31"/>
  <c r="H47" i="31"/>
  <c r="G47" i="31"/>
  <c r="F47" i="31"/>
  <c r="E47" i="31"/>
  <c r="Q46" i="31"/>
  <c r="M46" i="31"/>
  <c r="M45" i="31" s="1"/>
  <c r="M31" i="31" s="1"/>
  <c r="L46" i="31"/>
  <c r="L45" i="31" s="1"/>
  <c r="E46" i="31"/>
  <c r="U45" i="31"/>
  <c r="T45" i="31"/>
  <c r="S45" i="31"/>
  <c r="S31" i="31" s="1"/>
  <c r="R45" i="31"/>
  <c r="Q45" i="31"/>
  <c r="Q31" i="31" s="1"/>
  <c r="P45" i="31"/>
  <c r="O45" i="31"/>
  <c r="O31" i="31" s="1"/>
  <c r="N45" i="31"/>
  <c r="K45" i="31"/>
  <c r="K31" i="31" s="1"/>
  <c r="J45" i="31"/>
  <c r="I45" i="31"/>
  <c r="H45" i="31"/>
  <c r="G45" i="31"/>
  <c r="F45" i="31"/>
  <c r="E45" i="31"/>
  <c r="V44" i="31"/>
  <c r="V43" i="31"/>
  <c r="U42" i="31"/>
  <c r="T42" i="31"/>
  <c r="S42" i="31"/>
  <c r="R42" i="31"/>
  <c r="P42" i="31"/>
  <c r="N42" i="31"/>
  <c r="M42" i="31"/>
  <c r="L42" i="31"/>
  <c r="I42" i="31"/>
  <c r="H42" i="31"/>
  <c r="F42" i="31"/>
  <c r="E42" i="31"/>
  <c r="V42" i="31" s="1"/>
  <c r="E41" i="31"/>
  <c r="E40" i="31" s="1"/>
  <c r="U40" i="31"/>
  <c r="U31" i="31" s="1"/>
  <c r="T40" i="31"/>
  <c r="S40" i="31"/>
  <c r="R40" i="31"/>
  <c r="P40" i="31"/>
  <c r="N40" i="31"/>
  <c r="N31" i="31" s="1"/>
  <c r="M40" i="31"/>
  <c r="L40" i="31"/>
  <c r="I40" i="31"/>
  <c r="H40" i="31"/>
  <c r="F40" i="31"/>
  <c r="V39" i="31"/>
  <c r="V38" i="31"/>
  <c r="V37" i="31"/>
  <c r="V36" i="31"/>
  <c r="V35" i="31"/>
  <c r="V34" i="31"/>
  <c r="V33" i="31"/>
  <c r="U32" i="31"/>
  <c r="T32" i="31"/>
  <c r="S32" i="31"/>
  <c r="R32" i="31"/>
  <c r="P32" i="31"/>
  <c r="N32" i="31"/>
  <c r="M32" i="31"/>
  <c r="L32" i="31"/>
  <c r="J32" i="31"/>
  <c r="I32" i="31"/>
  <c r="H32" i="31"/>
  <c r="F32" i="31"/>
  <c r="F31" i="31" s="1"/>
  <c r="E32" i="31"/>
  <c r="R31" i="31"/>
  <c r="I31" i="31"/>
  <c r="G31" i="31"/>
  <c r="U30" i="31"/>
  <c r="T30" i="31"/>
  <c r="S30" i="31"/>
  <c r="R30" i="31"/>
  <c r="Q30" i="31"/>
  <c r="P30" i="31"/>
  <c r="O30" i="31"/>
  <c r="N30" i="31"/>
  <c r="M30" i="31"/>
  <c r="K30" i="31"/>
  <c r="J30" i="31"/>
  <c r="I30" i="31"/>
  <c r="H30" i="31"/>
  <c r="F30" i="31"/>
  <c r="E30" i="31"/>
  <c r="S29" i="31"/>
  <c r="R29" i="31"/>
  <c r="Q29" i="31"/>
  <c r="P29" i="31"/>
  <c r="N29" i="31"/>
  <c r="M29" i="31"/>
  <c r="K29" i="31"/>
  <c r="I29" i="31"/>
  <c r="H29" i="31"/>
  <c r="E29" i="31"/>
  <c r="U28" i="31"/>
  <c r="U27" i="31" s="1"/>
  <c r="T28" i="31"/>
  <c r="T27" i="31" s="1"/>
  <c r="S28" i="31"/>
  <c r="R28" i="31"/>
  <c r="Q28" i="31"/>
  <c r="Q27" i="31" s="1"/>
  <c r="P28" i="31"/>
  <c r="P27" i="31" s="1"/>
  <c r="O28" i="31"/>
  <c r="N28" i="31"/>
  <c r="N27" i="31" s="1"/>
  <c r="M28" i="31"/>
  <c r="M27" i="31" s="1"/>
  <c r="K28" i="31"/>
  <c r="K27" i="31" s="1"/>
  <c r="J28" i="31"/>
  <c r="I28" i="31"/>
  <c r="I27" i="31" s="1"/>
  <c r="H28" i="31"/>
  <c r="H27" i="31" s="1"/>
  <c r="F28" i="31"/>
  <c r="E28" i="31"/>
  <c r="S27" i="31"/>
  <c r="R27" i="31"/>
  <c r="O27" i="31"/>
  <c r="J27" i="31"/>
  <c r="F27" i="31"/>
  <c r="U26" i="31"/>
  <c r="U25" i="31" s="1"/>
  <c r="T26" i="31"/>
  <c r="T25" i="31" s="1"/>
  <c r="S26" i="31"/>
  <c r="R26" i="31"/>
  <c r="R25" i="31" s="1"/>
  <c r="Q26" i="31"/>
  <c r="Q25" i="31" s="1"/>
  <c r="P26" i="31"/>
  <c r="P25" i="31" s="1"/>
  <c r="O26" i="31"/>
  <c r="O25" i="31" s="1"/>
  <c r="N26" i="31"/>
  <c r="N25" i="31" s="1"/>
  <c r="M26" i="31"/>
  <c r="M25" i="31" s="1"/>
  <c r="K26" i="31"/>
  <c r="J26" i="31"/>
  <c r="J25" i="31" s="1"/>
  <c r="I26" i="31"/>
  <c r="I25" i="31" s="1"/>
  <c r="H26" i="31"/>
  <c r="H25" i="31" s="1"/>
  <c r="F26" i="31"/>
  <c r="E26" i="31"/>
  <c r="S25" i="31"/>
  <c r="K25" i="31"/>
  <c r="F25" i="31"/>
  <c r="U24" i="31"/>
  <c r="T24" i="31"/>
  <c r="S24" i="31"/>
  <c r="R24" i="31"/>
  <c r="Q24" i="31"/>
  <c r="P24" i="31"/>
  <c r="O24" i="31"/>
  <c r="N24" i="31"/>
  <c r="M24" i="31"/>
  <c r="K24" i="31"/>
  <c r="J24" i="31"/>
  <c r="I24" i="31"/>
  <c r="H24" i="31"/>
  <c r="F24" i="31"/>
  <c r="E24" i="31"/>
  <c r="U23" i="31"/>
  <c r="U22" i="31" s="1"/>
  <c r="T23" i="31"/>
  <c r="T22" i="31" s="1"/>
  <c r="S23" i="31"/>
  <c r="S22" i="31" s="1"/>
  <c r="R23" i="31"/>
  <c r="Q23" i="31"/>
  <c r="P23" i="31"/>
  <c r="O23" i="31"/>
  <c r="O22" i="31" s="1"/>
  <c r="N23" i="31"/>
  <c r="M23" i="31"/>
  <c r="M22" i="31" s="1"/>
  <c r="K23" i="31"/>
  <c r="J23" i="31"/>
  <c r="J22" i="31" s="1"/>
  <c r="I23" i="31"/>
  <c r="H23" i="31"/>
  <c r="F23" i="31"/>
  <c r="E23" i="31"/>
  <c r="Q22" i="31"/>
  <c r="P22" i="31"/>
  <c r="I22" i="31"/>
  <c r="H22" i="31"/>
  <c r="E22" i="31"/>
  <c r="U21" i="31"/>
  <c r="T21" i="31"/>
  <c r="S21" i="31"/>
  <c r="S20" i="31" s="1"/>
  <c r="R21" i="31"/>
  <c r="R20" i="31" s="1"/>
  <c r="Q21" i="31"/>
  <c r="P21" i="31"/>
  <c r="O21" i="31"/>
  <c r="O20" i="31" s="1"/>
  <c r="N21" i="31"/>
  <c r="N20" i="31" s="1"/>
  <c r="M21" i="31"/>
  <c r="K21" i="31"/>
  <c r="K20" i="31" s="1"/>
  <c r="J21" i="31"/>
  <c r="J20" i="31" s="1"/>
  <c r="I21" i="31"/>
  <c r="H21" i="31"/>
  <c r="F21" i="31"/>
  <c r="E21" i="31"/>
  <c r="E20" i="31" s="1"/>
  <c r="U20" i="31"/>
  <c r="T20" i="31"/>
  <c r="Q20" i="31"/>
  <c r="P20" i="31"/>
  <c r="M20" i="31"/>
  <c r="I20" i="31"/>
  <c r="H20" i="31"/>
  <c r="V19" i="31"/>
  <c r="U18" i="31"/>
  <c r="T18" i="31"/>
  <c r="S18" i="31"/>
  <c r="R18" i="31"/>
  <c r="Q18" i="31"/>
  <c r="P18" i="31"/>
  <c r="O18" i="31"/>
  <c r="N18" i="31"/>
  <c r="M18" i="31"/>
  <c r="L18" i="31"/>
  <c r="K18" i="31"/>
  <c r="J18" i="31"/>
  <c r="I18" i="31"/>
  <c r="H18" i="31"/>
  <c r="G18" i="31"/>
  <c r="F18" i="31"/>
  <c r="E18" i="31"/>
  <c r="V17" i="31"/>
  <c r="L16" i="31"/>
  <c r="L28" i="31" s="1"/>
  <c r="L27" i="31" s="1"/>
  <c r="G16" i="31"/>
  <c r="G30" i="31" s="1"/>
  <c r="U15" i="31"/>
  <c r="U13" i="31" s="1"/>
  <c r="T15" i="31"/>
  <c r="S15" i="31"/>
  <c r="R15" i="31"/>
  <c r="Q15" i="31"/>
  <c r="P15" i="31"/>
  <c r="O15" i="31"/>
  <c r="N15" i="31"/>
  <c r="M15" i="31"/>
  <c r="M13" i="31" s="1"/>
  <c r="K15" i="31"/>
  <c r="J15" i="31"/>
  <c r="I15" i="31"/>
  <c r="H15" i="31"/>
  <c r="F15" i="31"/>
  <c r="E15" i="31"/>
  <c r="U14" i="31"/>
  <c r="T14" i="31"/>
  <c r="T13" i="31" s="1"/>
  <c r="S14" i="31"/>
  <c r="S13" i="31" s="1"/>
  <c r="R14" i="31"/>
  <c r="R13" i="31" s="1"/>
  <c r="Q14" i="31"/>
  <c r="P14" i="31"/>
  <c r="P13" i="31" s="1"/>
  <c r="O14" i="31"/>
  <c r="O13" i="31" s="1"/>
  <c r="N14" i="31"/>
  <c r="N13" i="31" s="1"/>
  <c r="M14" i="31"/>
  <c r="L14" i="31"/>
  <c r="K14" i="31"/>
  <c r="K13" i="31" s="1"/>
  <c r="J14" i="31"/>
  <c r="J13" i="31" s="1"/>
  <c r="I14" i="31"/>
  <c r="H14" i="31"/>
  <c r="H13" i="31" s="1"/>
  <c r="G14" i="31"/>
  <c r="F14" i="31"/>
  <c r="F13" i="31" s="1"/>
  <c r="E14" i="31"/>
  <c r="Q13" i="31"/>
  <c r="I13" i="31"/>
  <c r="U12" i="31"/>
  <c r="T12" i="31"/>
  <c r="S12" i="31"/>
  <c r="R12" i="31"/>
  <c r="Q12" i="31"/>
  <c r="P12" i="31"/>
  <c r="M12" i="31"/>
  <c r="L12" i="31"/>
  <c r="I12" i="31"/>
  <c r="H12" i="31"/>
  <c r="F12" i="31"/>
  <c r="E12" i="31"/>
  <c r="U11" i="31"/>
  <c r="U10" i="31" s="1"/>
  <c r="U8" i="31" s="1"/>
  <c r="S11" i="31"/>
  <c r="R11" i="31"/>
  <c r="R10" i="31" s="1"/>
  <c r="R8" i="31" s="1"/>
  <c r="Q11" i="31"/>
  <c r="Q10" i="31" s="1"/>
  <c r="Q8" i="31" s="1"/>
  <c r="N11" i="31"/>
  <c r="M11" i="31"/>
  <c r="M10" i="31" s="1"/>
  <c r="L11" i="31"/>
  <c r="L10" i="31" s="1"/>
  <c r="L8" i="31" s="1"/>
  <c r="H11" i="31"/>
  <c r="F11" i="31"/>
  <c r="E11" i="31"/>
  <c r="E10" i="31" s="1"/>
  <c r="S10" i="31"/>
  <c r="O10" i="31"/>
  <c r="O8" i="31" s="1"/>
  <c r="K10" i="31"/>
  <c r="J10" i="31"/>
  <c r="J8" i="31" s="1"/>
  <c r="H10" i="31"/>
  <c r="H8" i="31" s="1"/>
  <c r="H4" i="31" s="1"/>
  <c r="G10" i="31"/>
  <c r="Q9" i="31"/>
  <c r="P9" i="31"/>
  <c r="M9" i="31"/>
  <c r="E9" i="31"/>
  <c r="S8" i="31"/>
  <c r="K8" i="31"/>
  <c r="G8" i="31"/>
  <c r="Q7" i="31"/>
  <c r="P7" i="31"/>
  <c r="M7" i="31"/>
  <c r="E7" i="31"/>
  <c r="Q6" i="31"/>
  <c r="P6" i="31"/>
  <c r="P5" i="31" s="1"/>
  <c r="M6" i="31"/>
  <c r="E6" i="31"/>
  <c r="U5" i="31"/>
  <c r="T5" i="31"/>
  <c r="S5" i="31"/>
  <c r="R5" i="31"/>
  <c r="Q5" i="31"/>
  <c r="O5" i="31"/>
  <c r="N5" i="31"/>
  <c r="M5" i="31"/>
  <c r="L5" i="31"/>
  <c r="K5" i="31"/>
  <c r="J5" i="31"/>
  <c r="I5" i="31"/>
  <c r="H5" i="31"/>
  <c r="G5" i="31"/>
  <c r="F5" i="31"/>
  <c r="E5" i="31"/>
  <c r="J109" i="21"/>
  <c r="L109" i="21" s="1"/>
  <c r="J108" i="21"/>
  <c r="L108" i="21" s="1"/>
  <c r="L107" i="21"/>
  <c r="L106" i="21"/>
  <c r="L105" i="21"/>
  <c r="L104" i="21"/>
  <c r="L103" i="21"/>
  <c r="L102" i="21"/>
  <c r="K101" i="21"/>
  <c r="J101" i="21"/>
  <c r="I101" i="21"/>
  <c r="H101" i="21"/>
  <c r="L101" i="21" s="1"/>
  <c r="G101" i="21"/>
  <c r="F101" i="21"/>
  <c r="E101" i="21"/>
  <c r="L100" i="21"/>
  <c r="L99" i="21"/>
  <c r="L98" i="21"/>
  <c r="L97" i="21"/>
  <c r="K96" i="21"/>
  <c r="K80" i="21" s="1"/>
  <c r="K79" i="21" s="1"/>
  <c r="J96" i="21"/>
  <c r="I96" i="21"/>
  <c r="I12" i="21" s="1"/>
  <c r="H96" i="21"/>
  <c r="H29" i="21" s="1"/>
  <c r="G96" i="21"/>
  <c r="G80" i="21" s="1"/>
  <c r="G79" i="21" s="1"/>
  <c r="F96" i="21"/>
  <c r="E96" i="21"/>
  <c r="E80" i="21" s="1"/>
  <c r="E79" i="21" s="1"/>
  <c r="L95" i="21"/>
  <c r="L94" i="21"/>
  <c r="K93" i="21"/>
  <c r="J93" i="21"/>
  <c r="I93" i="21"/>
  <c r="H93" i="21"/>
  <c r="G93" i="21"/>
  <c r="F93" i="21"/>
  <c r="E93" i="21"/>
  <c r="L92" i="21"/>
  <c r="K91" i="21"/>
  <c r="J91" i="21"/>
  <c r="I91" i="21"/>
  <c r="H91" i="21"/>
  <c r="G91" i="21"/>
  <c r="F91" i="21"/>
  <c r="E91" i="21"/>
  <c r="K90" i="21"/>
  <c r="K89" i="21" s="1"/>
  <c r="J90" i="21"/>
  <c r="I90" i="21"/>
  <c r="I89" i="21" s="1"/>
  <c r="I85" i="21" s="1"/>
  <c r="H90" i="21"/>
  <c r="H89" i="21" s="1"/>
  <c r="H85" i="21" s="1"/>
  <c r="G90" i="21"/>
  <c r="G89" i="21" s="1"/>
  <c r="F90" i="21"/>
  <c r="E90" i="21"/>
  <c r="E89" i="21" s="1"/>
  <c r="J89" i="21"/>
  <c r="J85" i="21" s="1"/>
  <c r="F89" i="21"/>
  <c r="F85" i="21" s="1"/>
  <c r="L88" i="21"/>
  <c r="L87" i="21"/>
  <c r="K86" i="21"/>
  <c r="J86" i="21"/>
  <c r="I86" i="21"/>
  <c r="H86" i="21"/>
  <c r="G86" i="21"/>
  <c r="F86" i="21"/>
  <c r="E86" i="21"/>
  <c r="L84" i="21"/>
  <c r="K83" i="21"/>
  <c r="J83" i="21"/>
  <c r="I83" i="21"/>
  <c r="H83" i="21"/>
  <c r="G83" i="21"/>
  <c r="F83" i="21"/>
  <c r="E83" i="21"/>
  <c r="K82" i="21"/>
  <c r="J82" i="21"/>
  <c r="J81" i="21" s="1"/>
  <c r="I82" i="21"/>
  <c r="I81" i="21" s="1"/>
  <c r="G82" i="21"/>
  <c r="F82" i="21"/>
  <c r="E82" i="21"/>
  <c r="E81" i="21" s="1"/>
  <c r="K81" i="21"/>
  <c r="G81" i="21"/>
  <c r="F81" i="21"/>
  <c r="J80" i="21"/>
  <c r="I80" i="21"/>
  <c r="F80" i="21"/>
  <c r="F79" i="21" s="1"/>
  <c r="J79" i="21"/>
  <c r="I79" i="21"/>
  <c r="L78" i="21"/>
  <c r="K77" i="21"/>
  <c r="J77" i="21"/>
  <c r="I77" i="21"/>
  <c r="H77" i="21"/>
  <c r="G77" i="21"/>
  <c r="F77" i="21"/>
  <c r="E77" i="21"/>
  <c r="K76" i="21"/>
  <c r="K75" i="21" s="1"/>
  <c r="I76" i="21"/>
  <c r="I75" i="21" s="1"/>
  <c r="H76" i="21"/>
  <c r="G76" i="21"/>
  <c r="G75" i="21" s="1"/>
  <c r="F76" i="21"/>
  <c r="F75" i="21" s="1"/>
  <c r="E76" i="21"/>
  <c r="H75" i="21"/>
  <c r="K74" i="21"/>
  <c r="K73" i="21" s="1"/>
  <c r="I74" i="21"/>
  <c r="I73" i="21" s="1"/>
  <c r="H74" i="21"/>
  <c r="H73" i="21" s="1"/>
  <c r="G74" i="21"/>
  <c r="G73" i="21" s="1"/>
  <c r="F74" i="21"/>
  <c r="E74" i="21"/>
  <c r="E73" i="21" s="1"/>
  <c r="F73" i="21"/>
  <c r="J72" i="21"/>
  <c r="J71" i="21" s="1"/>
  <c r="I72" i="21"/>
  <c r="I71" i="21" s="1"/>
  <c r="F72" i="21"/>
  <c r="E72" i="21"/>
  <c r="E71" i="21" s="1"/>
  <c r="F71" i="21"/>
  <c r="L70" i="21"/>
  <c r="L69" i="21"/>
  <c r="L68" i="21"/>
  <c r="H68" i="21"/>
  <c r="L67" i="21"/>
  <c r="L66" i="21"/>
  <c r="L65" i="21"/>
  <c r="L64" i="21"/>
  <c r="L63" i="21"/>
  <c r="L62" i="21"/>
  <c r="L61" i="21"/>
  <c r="L60" i="21"/>
  <c r="L59" i="21"/>
  <c r="L58" i="21"/>
  <c r="L57" i="21"/>
  <c r="L56" i="21"/>
  <c r="L55" i="21"/>
  <c r="L54" i="21"/>
  <c r="K53" i="21"/>
  <c r="J53" i="21"/>
  <c r="I53" i="21"/>
  <c r="H53" i="21"/>
  <c r="G53" i="21"/>
  <c r="F53" i="21"/>
  <c r="E53" i="21"/>
  <c r="L51" i="21"/>
  <c r="L50" i="21"/>
  <c r="L49" i="21"/>
  <c r="L48" i="21"/>
  <c r="J48" i="21"/>
  <c r="K47" i="21"/>
  <c r="J47" i="21"/>
  <c r="I47" i="21"/>
  <c r="H47" i="21"/>
  <c r="G47" i="21"/>
  <c r="F47" i="21"/>
  <c r="E47" i="21"/>
  <c r="L47" i="21" s="1"/>
  <c r="J46" i="21"/>
  <c r="H46" i="21"/>
  <c r="H45" i="21" s="1"/>
  <c r="K45" i="21"/>
  <c r="J45" i="21"/>
  <c r="I45" i="21"/>
  <c r="G45" i="21"/>
  <c r="F45" i="21"/>
  <c r="E45" i="21"/>
  <c r="L45" i="21" s="1"/>
  <c r="L44" i="21"/>
  <c r="L43" i="21"/>
  <c r="K42" i="21"/>
  <c r="J42" i="21"/>
  <c r="I42" i="21"/>
  <c r="H42" i="21"/>
  <c r="G42" i="21"/>
  <c r="F42" i="21"/>
  <c r="E42" i="21"/>
  <c r="L41" i="21"/>
  <c r="K40" i="21"/>
  <c r="J40" i="21"/>
  <c r="I40" i="21"/>
  <c r="H40" i="21"/>
  <c r="G40" i="21"/>
  <c r="G31" i="21" s="1"/>
  <c r="F40" i="21"/>
  <c r="F31" i="21" s="1"/>
  <c r="E40" i="21"/>
  <c r="L39" i="21"/>
  <c r="L38" i="21"/>
  <c r="L37" i="21"/>
  <c r="L36" i="21"/>
  <c r="L35" i="21"/>
  <c r="L34" i="21"/>
  <c r="L33" i="21"/>
  <c r="K32" i="21"/>
  <c r="J32" i="21"/>
  <c r="I32" i="21"/>
  <c r="H32" i="21"/>
  <c r="G32" i="21"/>
  <c r="F32" i="21"/>
  <c r="E32" i="21"/>
  <c r="K31" i="21"/>
  <c r="K30" i="21"/>
  <c r="J30" i="21"/>
  <c r="I30" i="21"/>
  <c r="G30" i="21"/>
  <c r="F30" i="21"/>
  <c r="E30" i="21"/>
  <c r="J29" i="21"/>
  <c r="I29" i="21"/>
  <c r="F29" i="21"/>
  <c r="E29" i="21"/>
  <c r="K28" i="21"/>
  <c r="J28" i="21"/>
  <c r="I28" i="21"/>
  <c r="I27" i="21" s="1"/>
  <c r="G28" i="21"/>
  <c r="G27" i="21" s="1"/>
  <c r="F28" i="21"/>
  <c r="E28" i="21"/>
  <c r="K27" i="21"/>
  <c r="J27" i="21"/>
  <c r="F27" i="21"/>
  <c r="E27" i="21"/>
  <c r="K26" i="21"/>
  <c r="J26" i="21"/>
  <c r="I26" i="21"/>
  <c r="I25" i="21" s="1"/>
  <c r="G26" i="21"/>
  <c r="G25" i="21" s="1"/>
  <c r="F26" i="21"/>
  <c r="E26" i="21"/>
  <c r="K25" i="21"/>
  <c r="J25" i="21"/>
  <c r="F25" i="21"/>
  <c r="E25" i="21"/>
  <c r="K24" i="21"/>
  <c r="J24" i="21"/>
  <c r="I24" i="21"/>
  <c r="G24" i="21"/>
  <c r="F24" i="21"/>
  <c r="E24" i="21"/>
  <c r="K23" i="21"/>
  <c r="K22" i="21" s="1"/>
  <c r="J23" i="21"/>
  <c r="J22" i="21" s="1"/>
  <c r="I23" i="21"/>
  <c r="G23" i="21"/>
  <c r="F23" i="21"/>
  <c r="F22" i="21" s="1"/>
  <c r="E23" i="21"/>
  <c r="E22" i="21" s="1"/>
  <c r="I22" i="21"/>
  <c r="G22" i="21"/>
  <c r="K21" i="21"/>
  <c r="K20" i="21" s="1"/>
  <c r="J21" i="21"/>
  <c r="J20" i="21" s="1"/>
  <c r="I21" i="21"/>
  <c r="G21" i="21"/>
  <c r="F21" i="21"/>
  <c r="F20" i="21" s="1"/>
  <c r="E21" i="21"/>
  <c r="E20" i="21" s="1"/>
  <c r="I20" i="21"/>
  <c r="G20" i="21"/>
  <c r="L19" i="21"/>
  <c r="K18" i="21"/>
  <c r="J18" i="21"/>
  <c r="I18" i="21"/>
  <c r="H18" i="21"/>
  <c r="G18" i="21"/>
  <c r="F18" i="21"/>
  <c r="E18" i="21"/>
  <c r="L17" i="21"/>
  <c r="L16" i="21"/>
  <c r="H16" i="21"/>
  <c r="H30" i="21" s="1"/>
  <c r="K15" i="21"/>
  <c r="J15" i="21"/>
  <c r="I15" i="21"/>
  <c r="H15" i="21"/>
  <c r="G15" i="21"/>
  <c r="F15" i="21"/>
  <c r="E15" i="21"/>
  <c r="K14" i="21"/>
  <c r="J14" i="21"/>
  <c r="J13" i="21" s="1"/>
  <c r="I14" i="21"/>
  <c r="H14" i="21"/>
  <c r="H13" i="21" s="1"/>
  <c r="G14" i="21"/>
  <c r="F14" i="21"/>
  <c r="F13" i="21" s="1"/>
  <c r="E14" i="21"/>
  <c r="K13" i="21"/>
  <c r="G13" i="21"/>
  <c r="J12" i="21"/>
  <c r="F12" i="21"/>
  <c r="J11" i="21"/>
  <c r="I11" i="21"/>
  <c r="I10" i="21" s="1"/>
  <c r="I8" i="21" s="1"/>
  <c r="F11" i="21"/>
  <c r="E11" i="21"/>
  <c r="H9" i="21"/>
  <c r="H7" i="21"/>
  <c r="L7" i="21" s="1"/>
  <c r="H6" i="21"/>
  <c r="K5" i="21"/>
  <c r="J5" i="21"/>
  <c r="I5" i="21"/>
  <c r="G5" i="21"/>
  <c r="F5" i="21"/>
  <c r="E5" i="21"/>
  <c r="K109" i="26"/>
  <c r="S109" i="26" s="1"/>
  <c r="R108" i="26"/>
  <c r="K108" i="26"/>
  <c r="S108" i="26" s="1"/>
  <c r="S107" i="26"/>
  <c r="S106" i="26"/>
  <c r="S105" i="26"/>
  <c r="R104" i="26"/>
  <c r="R101" i="26" s="1"/>
  <c r="N104" i="26"/>
  <c r="M104" i="26"/>
  <c r="M101" i="26" s="1"/>
  <c r="L104" i="26"/>
  <c r="K104" i="26"/>
  <c r="S104" i="26" s="1"/>
  <c r="S103" i="26"/>
  <c r="S102" i="26"/>
  <c r="Q101" i="26"/>
  <c r="P101" i="26"/>
  <c r="O101" i="26"/>
  <c r="N101" i="26"/>
  <c r="L101" i="26"/>
  <c r="J101" i="26"/>
  <c r="I101" i="26"/>
  <c r="H101" i="26"/>
  <c r="G101" i="26"/>
  <c r="F101" i="26"/>
  <c r="E101" i="26"/>
  <c r="S100" i="26"/>
  <c r="S99" i="26"/>
  <c r="S98" i="26"/>
  <c r="S97" i="26"/>
  <c r="R96" i="26"/>
  <c r="R72" i="26" s="1"/>
  <c r="Q96" i="26"/>
  <c r="Q11" i="26" s="1"/>
  <c r="P96" i="26"/>
  <c r="O96" i="26"/>
  <c r="O72" i="26" s="1"/>
  <c r="O71" i="26" s="1"/>
  <c r="N96" i="26"/>
  <c r="N72" i="26" s="1"/>
  <c r="M96" i="26"/>
  <c r="M11" i="26" s="1"/>
  <c r="L96" i="26"/>
  <c r="K96" i="26"/>
  <c r="K72" i="26" s="1"/>
  <c r="K71" i="26" s="1"/>
  <c r="J96" i="26"/>
  <c r="J72" i="26" s="1"/>
  <c r="J71" i="26" s="1"/>
  <c r="I96" i="26"/>
  <c r="I11" i="26" s="1"/>
  <c r="H96" i="26"/>
  <c r="G96" i="26"/>
  <c r="G72" i="26" s="1"/>
  <c r="F96" i="26"/>
  <c r="F72" i="26" s="1"/>
  <c r="F71" i="26" s="1"/>
  <c r="E96" i="26"/>
  <c r="E29" i="26" s="1"/>
  <c r="S95" i="26"/>
  <c r="S94" i="26"/>
  <c r="R93" i="26"/>
  <c r="Q93" i="26"/>
  <c r="P93" i="26"/>
  <c r="O93" i="26"/>
  <c r="N93" i="26"/>
  <c r="M93" i="26"/>
  <c r="L93" i="26"/>
  <c r="K93" i="26"/>
  <c r="J93" i="26"/>
  <c r="I93" i="26"/>
  <c r="H93" i="26"/>
  <c r="G93" i="26"/>
  <c r="F93" i="26"/>
  <c r="E93" i="26"/>
  <c r="S93" i="26" s="1"/>
  <c r="S92" i="26"/>
  <c r="R91" i="26"/>
  <c r="Q91" i="26"/>
  <c r="P91" i="26"/>
  <c r="P89" i="26" s="1"/>
  <c r="P85" i="26" s="1"/>
  <c r="O91" i="26"/>
  <c r="N91" i="26"/>
  <c r="M91" i="26"/>
  <c r="L91" i="26"/>
  <c r="K91" i="26"/>
  <c r="J91" i="26"/>
  <c r="I91" i="26"/>
  <c r="H91" i="26"/>
  <c r="H89" i="26" s="1"/>
  <c r="H85" i="26" s="1"/>
  <c r="G91" i="26"/>
  <c r="F91" i="26"/>
  <c r="E91" i="26"/>
  <c r="R90" i="26"/>
  <c r="R89" i="26" s="1"/>
  <c r="Q90" i="26"/>
  <c r="P90" i="26"/>
  <c r="O90" i="26"/>
  <c r="O89" i="26" s="1"/>
  <c r="N90" i="26"/>
  <c r="M90" i="26"/>
  <c r="L90" i="26"/>
  <c r="L89" i="26" s="1"/>
  <c r="L85" i="26" s="1"/>
  <c r="K90" i="26"/>
  <c r="K89" i="26" s="1"/>
  <c r="J90" i="26"/>
  <c r="J89" i="26" s="1"/>
  <c r="I90" i="26"/>
  <c r="H90" i="26"/>
  <c r="G90" i="26"/>
  <c r="G89" i="26" s="1"/>
  <c r="F90" i="26"/>
  <c r="F89" i="26" s="1"/>
  <c r="F85" i="26" s="1"/>
  <c r="E90" i="26"/>
  <c r="N89" i="26"/>
  <c r="N85" i="26" s="1"/>
  <c r="S88" i="26"/>
  <c r="S87" i="26"/>
  <c r="R86" i="26"/>
  <c r="R85" i="26" s="1"/>
  <c r="Q86" i="26"/>
  <c r="P86" i="26"/>
  <c r="O86" i="26"/>
  <c r="N86" i="26"/>
  <c r="M86" i="26"/>
  <c r="L86" i="26"/>
  <c r="K86" i="26"/>
  <c r="J86" i="26"/>
  <c r="J85" i="26" s="1"/>
  <c r="I86" i="26"/>
  <c r="H86" i="26"/>
  <c r="G86" i="26"/>
  <c r="F86" i="26"/>
  <c r="E86" i="26"/>
  <c r="S86" i="26" s="1"/>
  <c r="S84" i="26"/>
  <c r="R83" i="26"/>
  <c r="Q83" i="26"/>
  <c r="P83" i="26"/>
  <c r="O83" i="26"/>
  <c r="N83" i="26"/>
  <c r="M83" i="26"/>
  <c r="L83" i="26"/>
  <c r="K83" i="26"/>
  <c r="J83" i="26"/>
  <c r="I83" i="26"/>
  <c r="H83" i="26"/>
  <c r="G83" i="26"/>
  <c r="F83" i="26"/>
  <c r="E83" i="26"/>
  <c r="R82" i="26"/>
  <c r="Q82" i="26"/>
  <c r="Q81" i="26" s="1"/>
  <c r="N82" i="26"/>
  <c r="M82" i="26"/>
  <c r="M81" i="26" s="1"/>
  <c r="H82" i="26"/>
  <c r="H81" i="26" s="1"/>
  <c r="R81" i="26"/>
  <c r="N81" i="26"/>
  <c r="R80" i="26"/>
  <c r="R79" i="26" s="1"/>
  <c r="Q80" i="26"/>
  <c r="Q79" i="26" s="1"/>
  <c r="P80" i="26"/>
  <c r="O80" i="26"/>
  <c r="O79" i="26" s="1"/>
  <c r="N80" i="26"/>
  <c r="M80" i="26"/>
  <c r="M79" i="26" s="1"/>
  <c r="L80" i="26"/>
  <c r="K80" i="26"/>
  <c r="K79" i="26" s="1"/>
  <c r="J80" i="26"/>
  <c r="J79" i="26" s="1"/>
  <c r="I80" i="26"/>
  <c r="I79" i="26" s="1"/>
  <c r="H80" i="26"/>
  <c r="G80" i="26"/>
  <c r="G79" i="26" s="1"/>
  <c r="F80" i="26"/>
  <c r="E80" i="26"/>
  <c r="S80" i="26" s="1"/>
  <c r="P79" i="26"/>
  <c r="N79" i="26"/>
  <c r="L79" i="26"/>
  <c r="H79" i="26"/>
  <c r="F79" i="26"/>
  <c r="S78" i="26"/>
  <c r="R77" i="26"/>
  <c r="Q77" i="26"/>
  <c r="P77" i="26"/>
  <c r="O77" i="26"/>
  <c r="N77" i="26"/>
  <c r="M77" i="26"/>
  <c r="L77" i="26"/>
  <c r="K77" i="26"/>
  <c r="J77" i="26"/>
  <c r="I77" i="26"/>
  <c r="H77" i="26"/>
  <c r="G77" i="26"/>
  <c r="F77" i="26"/>
  <c r="E77" i="26"/>
  <c r="R76" i="26"/>
  <c r="R75" i="26" s="1"/>
  <c r="Q76" i="26"/>
  <c r="Q75" i="26" s="1"/>
  <c r="P76" i="26"/>
  <c r="O76" i="26"/>
  <c r="O75" i="26" s="1"/>
  <c r="N76" i="26"/>
  <c r="N75" i="26" s="1"/>
  <c r="M76" i="26"/>
  <c r="M75" i="26" s="1"/>
  <c r="L76" i="26"/>
  <c r="K76" i="26"/>
  <c r="K75" i="26" s="1"/>
  <c r="J76" i="26"/>
  <c r="J75" i="26" s="1"/>
  <c r="I76" i="26"/>
  <c r="I75" i="26" s="1"/>
  <c r="H76" i="26"/>
  <c r="G76" i="26"/>
  <c r="G75" i="26" s="1"/>
  <c r="F76" i="26"/>
  <c r="F75" i="26" s="1"/>
  <c r="E76" i="26"/>
  <c r="E75" i="26" s="1"/>
  <c r="P75" i="26"/>
  <c r="L75" i="26"/>
  <c r="H75" i="26"/>
  <c r="R74" i="26"/>
  <c r="R73" i="26" s="1"/>
  <c r="Q74" i="26"/>
  <c r="P74" i="26"/>
  <c r="O74" i="26"/>
  <c r="O73" i="26" s="1"/>
  <c r="N74" i="26"/>
  <c r="N73" i="26" s="1"/>
  <c r="M74" i="26"/>
  <c r="L74" i="26"/>
  <c r="J74" i="26"/>
  <c r="J73" i="26" s="1"/>
  <c r="I74" i="26"/>
  <c r="I73" i="26" s="1"/>
  <c r="H74" i="26"/>
  <c r="G74" i="26"/>
  <c r="F74" i="26"/>
  <c r="F73" i="26" s="1"/>
  <c r="E74" i="26"/>
  <c r="Q73" i="26"/>
  <c r="P73" i="26"/>
  <c r="M73" i="26"/>
  <c r="L73" i="26"/>
  <c r="H73" i="26"/>
  <c r="G73" i="26"/>
  <c r="Q72" i="26"/>
  <c r="Q71" i="26" s="1"/>
  <c r="P72" i="26"/>
  <c r="P71" i="26" s="1"/>
  <c r="M72" i="26"/>
  <c r="L72" i="26"/>
  <c r="L71" i="26" s="1"/>
  <c r="I72" i="26"/>
  <c r="H72" i="26"/>
  <c r="H71" i="26" s="1"/>
  <c r="E72" i="26"/>
  <c r="E71" i="26" s="1"/>
  <c r="R71" i="26"/>
  <c r="N71" i="26"/>
  <c r="M71" i="26"/>
  <c r="I71" i="26"/>
  <c r="R70" i="26"/>
  <c r="Q70" i="26"/>
  <c r="P70" i="26"/>
  <c r="O70" i="26"/>
  <c r="N70" i="26"/>
  <c r="M70" i="26"/>
  <c r="L70" i="26"/>
  <c r="K70" i="26"/>
  <c r="J70" i="26"/>
  <c r="I70" i="26"/>
  <c r="H70" i="26"/>
  <c r="G70" i="26"/>
  <c r="F70" i="26"/>
  <c r="E70" i="26"/>
  <c r="S70" i="26" s="1"/>
  <c r="R69" i="26"/>
  <c r="Q69" i="26"/>
  <c r="P69" i="26"/>
  <c r="O69" i="26"/>
  <c r="N69" i="26"/>
  <c r="M69" i="26"/>
  <c r="L69" i="26"/>
  <c r="K69" i="26"/>
  <c r="J69" i="26"/>
  <c r="I69" i="26"/>
  <c r="H69" i="26"/>
  <c r="G69" i="26"/>
  <c r="F69" i="26"/>
  <c r="E69" i="26"/>
  <c r="R68" i="26"/>
  <c r="Q68" i="26"/>
  <c r="P68" i="26"/>
  <c r="O68" i="26"/>
  <c r="N68" i="26"/>
  <c r="M68" i="26"/>
  <c r="L68" i="26"/>
  <c r="K68" i="26"/>
  <c r="J68" i="26"/>
  <c r="I68" i="26"/>
  <c r="H68" i="26"/>
  <c r="G68" i="26"/>
  <c r="F68" i="26"/>
  <c r="E68" i="26"/>
  <c r="R67" i="26"/>
  <c r="Q67" i="26"/>
  <c r="P67" i="26"/>
  <c r="O67" i="26"/>
  <c r="N67" i="26"/>
  <c r="M67" i="26"/>
  <c r="L67" i="26"/>
  <c r="K67" i="26"/>
  <c r="J67" i="26"/>
  <c r="I67" i="26"/>
  <c r="H67" i="26"/>
  <c r="G67" i="26"/>
  <c r="F67" i="26"/>
  <c r="E67" i="26"/>
  <c r="R66" i="26"/>
  <c r="Q66" i="26"/>
  <c r="P66" i="26"/>
  <c r="O66" i="26"/>
  <c r="N66" i="26"/>
  <c r="M66" i="26"/>
  <c r="L66" i="26"/>
  <c r="K66" i="26"/>
  <c r="J66" i="26"/>
  <c r="I66" i="26"/>
  <c r="H66" i="26"/>
  <c r="G66" i="26"/>
  <c r="F66" i="26"/>
  <c r="E66" i="26"/>
  <c r="R65" i="26"/>
  <c r="Q65" i="26"/>
  <c r="P65" i="26"/>
  <c r="O65" i="26"/>
  <c r="N65" i="26"/>
  <c r="M65" i="26"/>
  <c r="L65" i="26"/>
  <c r="K65" i="26"/>
  <c r="J65" i="26"/>
  <c r="I65" i="26"/>
  <c r="H65" i="26"/>
  <c r="G65" i="26"/>
  <c r="F65" i="26"/>
  <c r="E65" i="26"/>
  <c r="R64" i="26"/>
  <c r="Q64" i="26"/>
  <c r="P64" i="26"/>
  <c r="O64" i="26"/>
  <c r="N64" i="26"/>
  <c r="M64" i="26"/>
  <c r="L64" i="26"/>
  <c r="K64" i="26"/>
  <c r="J64" i="26"/>
  <c r="I64" i="26"/>
  <c r="H64" i="26"/>
  <c r="G64" i="26"/>
  <c r="F64" i="26"/>
  <c r="E64" i="26"/>
  <c r="R63" i="26"/>
  <c r="Q63" i="26"/>
  <c r="O63" i="26"/>
  <c r="N63" i="26"/>
  <c r="M63" i="26"/>
  <c r="L63" i="26"/>
  <c r="K63" i="26"/>
  <c r="J63" i="26"/>
  <c r="I63" i="26"/>
  <c r="H63" i="26"/>
  <c r="G63" i="26"/>
  <c r="F63" i="26"/>
  <c r="E63" i="26"/>
  <c r="R62" i="26"/>
  <c r="Q62" i="26"/>
  <c r="P62" i="26"/>
  <c r="O62" i="26"/>
  <c r="N62" i="26"/>
  <c r="M62" i="26"/>
  <c r="L62" i="26"/>
  <c r="K62" i="26"/>
  <c r="J62" i="26"/>
  <c r="I62" i="26"/>
  <c r="H62" i="26"/>
  <c r="G62" i="26"/>
  <c r="F62" i="26"/>
  <c r="E62" i="26"/>
  <c r="R61" i="26"/>
  <c r="Q61" i="26"/>
  <c r="P61" i="26"/>
  <c r="O61" i="26"/>
  <c r="N61" i="26"/>
  <c r="M61" i="26"/>
  <c r="L61" i="26"/>
  <c r="K61" i="26"/>
  <c r="J61" i="26"/>
  <c r="I61" i="26"/>
  <c r="H61" i="26"/>
  <c r="G61" i="26"/>
  <c r="F61" i="26"/>
  <c r="E61" i="26"/>
  <c r="R60" i="26"/>
  <c r="Q60" i="26"/>
  <c r="P60" i="26"/>
  <c r="O60" i="26"/>
  <c r="N60" i="26"/>
  <c r="M60" i="26"/>
  <c r="L60" i="26"/>
  <c r="K60" i="26"/>
  <c r="J60" i="26"/>
  <c r="I60" i="26"/>
  <c r="H60" i="26"/>
  <c r="G60" i="26"/>
  <c r="F60" i="26"/>
  <c r="E60" i="26"/>
  <c r="R59" i="26"/>
  <c r="Q59" i="26"/>
  <c r="P59" i="26"/>
  <c r="O59" i="26"/>
  <c r="N59" i="26"/>
  <c r="M59" i="26"/>
  <c r="L59" i="26"/>
  <c r="K59" i="26"/>
  <c r="J59" i="26"/>
  <c r="I59" i="26"/>
  <c r="H59" i="26"/>
  <c r="G59" i="26"/>
  <c r="F59" i="26"/>
  <c r="E59" i="26"/>
  <c r="R58" i="26"/>
  <c r="Q58" i="26"/>
  <c r="P58" i="26"/>
  <c r="O58" i="26"/>
  <c r="N58" i="26"/>
  <c r="M58" i="26"/>
  <c r="L58" i="26"/>
  <c r="K58" i="26"/>
  <c r="J58" i="26"/>
  <c r="I58" i="26"/>
  <c r="H58" i="26"/>
  <c r="G58" i="26"/>
  <c r="F58" i="26"/>
  <c r="E58" i="26"/>
  <c r="R57" i="26"/>
  <c r="Q57" i="26"/>
  <c r="P57" i="26"/>
  <c r="O57" i="26"/>
  <c r="N57" i="26"/>
  <c r="M57" i="26"/>
  <c r="L57" i="26"/>
  <c r="K57" i="26"/>
  <c r="J57" i="26"/>
  <c r="I57" i="26"/>
  <c r="H57" i="26"/>
  <c r="G57" i="26"/>
  <c r="F57" i="26"/>
  <c r="E57" i="26"/>
  <c r="R56" i="26"/>
  <c r="Q56" i="26"/>
  <c r="P56" i="26"/>
  <c r="O56" i="26"/>
  <c r="N56" i="26"/>
  <c r="M56" i="26"/>
  <c r="L56" i="26"/>
  <c r="K56" i="26"/>
  <c r="J56" i="26"/>
  <c r="I56" i="26"/>
  <c r="H56" i="26"/>
  <c r="G56" i="26"/>
  <c r="F56" i="26"/>
  <c r="E56" i="26"/>
  <c r="R55" i="26"/>
  <c r="R53" i="26" s="1"/>
  <c r="R52" i="26" s="1"/>
  <c r="Q55" i="26"/>
  <c r="P55" i="26"/>
  <c r="O55" i="26"/>
  <c r="N55" i="26"/>
  <c r="N53" i="26" s="1"/>
  <c r="N52" i="26" s="1"/>
  <c r="M55" i="26"/>
  <c r="L55" i="26"/>
  <c r="K55" i="26"/>
  <c r="J55" i="26"/>
  <c r="J53" i="26" s="1"/>
  <c r="I55" i="26"/>
  <c r="H55" i="26"/>
  <c r="G55" i="26"/>
  <c r="F55" i="26"/>
  <c r="E55" i="26"/>
  <c r="R54" i="26"/>
  <c r="Q54" i="26"/>
  <c r="P54" i="26"/>
  <c r="P53" i="26" s="1"/>
  <c r="O54" i="26"/>
  <c r="N54" i="26"/>
  <c r="M54" i="26"/>
  <c r="L54" i="26"/>
  <c r="L53" i="26" s="1"/>
  <c r="K54" i="26"/>
  <c r="J54" i="26"/>
  <c r="I54" i="26"/>
  <c r="H54" i="26"/>
  <c r="H53" i="26" s="1"/>
  <c r="G54" i="26"/>
  <c r="F54" i="26"/>
  <c r="E54" i="26"/>
  <c r="G53" i="26"/>
  <c r="S51" i="26"/>
  <c r="S50" i="26"/>
  <c r="S49" i="26"/>
  <c r="S48" i="26"/>
  <c r="R47" i="26"/>
  <c r="Q47" i="26"/>
  <c r="P47" i="26"/>
  <c r="O47" i="26"/>
  <c r="N47" i="26"/>
  <c r="M47" i="26"/>
  <c r="L47" i="26"/>
  <c r="K47" i="26"/>
  <c r="J47" i="26"/>
  <c r="I47" i="26"/>
  <c r="H47" i="26"/>
  <c r="G47" i="26"/>
  <c r="F47" i="26"/>
  <c r="E47" i="26"/>
  <c r="R46" i="26"/>
  <c r="R45" i="26" s="1"/>
  <c r="Q46" i="26"/>
  <c r="Q45" i="26" s="1"/>
  <c r="O46" i="26"/>
  <c r="O45" i="26" s="1"/>
  <c r="N46" i="26"/>
  <c r="M46" i="26"/>
  <c r="M45" i="26" s="1"/>
  <c r="L46" i="26"/>
  <c r="K46" i="26"/>
  <c r="K45" i="26" s="1"/>
  <c r="J46" i="26"/>
  <c r="J45" i="26" s="1"/>
  <c r="I46" i="26"/>
  <c r="I45" i="26" s="1"/>
  <c r="H46" i="26"/>
  <c r="H45" i="26" s="1"/>
  <c r="G46" i="26"/>
  <c r="G45" i="26" s="1"/>
  <c r="F46" i="26"/>
  <c r="E46" i="26"/>
  <c r="S46" i="26" s="1"/>
  <c r="P45" i="26"/>
  <c r="N45" i="26"/>
  <c r="N31" i="26" s="1"/>
  <c r="L45" i="26"/>
  <c r="F45" i="26"/>
  <c r="S44" i="26"/>
  <c r="S43" i="26"/>
  <c r="R42" i="26"/>
  <c r="Q42" i="26"/>
  <c r="P42" i="26"/>
  <c r="O42" i="26"/>
  <c r="N42" i="26"/>
  <c r="M42" i="26"/>
  <c r="L42" i="26"/>
  <c r="K42" i="26"/>
  <c r="J42" i="26"/>
  <c r="I42" i="26"/>
  <c r="H42" i="26"/>
  <c r="G42" i="26"/>
  <c r="F42" i="26"/>
  <c r="E42" i="26"/>
  <c r="S42" i="26" s="1"/>
  <c r="S41" i="26"/>
  <c r="R40" i="26"/>
  <c r="Q40" i="26"/>
  <c r="P40" i="26"/>
  <c r="O40" i="26"/>
  <c r="N40" i="26"/>
  <c r="M40" i="26"/>
  <c r="L40" i="26"/>
  <c r="K40" i="26"/>
  <c r="J40" i="26"/>
  <c r="I40" i="26"/>
  <c r="H40" i="26"/>
  <c r="H31" i="26" s="1"/>
  <c r="G40" i="26"/>
  <c r="F40" i="26"/>
  <c r="E40" i="26"/>
  <c r="S39" i="26"/>
  <c r="S38" i="26"/>
  <c r="S37" i="26"/>
  <c r="S36" i="26"/>
  <c r="S35" i="26"/>
  <c r="S34" i="26"/>
  <c r="S33" i="26"/>
  <c r="R32" i="26"/>
  <c r="Q32" i="26"/>
  <c r="Q31" i="26" s="1"/>
  <c r="P32" i="26"/>
  <c r="O32" i="26"/>
  <c r="N32" i="26"/>
  <c r="M32" i="26"/>
  <c r="L32" i="26"/>
  <c r="K32" i="26"/>
  <c r="J32" i="26"/>
  <c r="I32" i="26"/>
  <c r="H32" i="26"/>
  <c r="G32" i="26"/>
  <c r="F32" i="26"/>
  <c r="E32" i="26"/>
  <c r="P31" i="26"/>
  <c r="F31" i="26"/>
  <c r="R30" i="26"/>
  <c r="Q30" i="26"/>
  <c r="N30" i="26"/>
  <c r="M30" i="26"/>
  <c r="H30" i="26"/>
  <c r="R29" i="26"/>
  <c r="P29" i="26"/>
  <c r="O29" i="26"/>
  <c r="N29" i="26"/>
  <c r="L29" i="26"/>
  <c r="K29" i="26"/>
  <c r="J29" i="26"/>
  <c r="H29" i="26"/>
  <c r="G29" i="26"/>
  <c r="F29" i="26"/>
  <c r="R28" i="26"/>
  <c r="Q28" i="26"/>
  <c r="N28" i="26"/>
  <c r="N27" i="26" s="1"/>
  <c r="M28" i="26"/>
  <c r="M27" i="26" s="1"/>
  <c r="H28" i="26"/>
  <c r="R27" i="26"/>
  <c r="Q27" i="26"/>
  <c r="H27" i="26"/>
  <c r="R26" i="26"/>
  <c r="R25" i="26" s="1"/>
  <c r="Q26" i="26"/>
  <c r="Q25" i="26" s="1"/>
  <c r="N26" i="26"/>
  <c r="M26" i="26"/>
  <c r="H26" i="26"/>
  <c r="N25" i="26"/>
  <c r="M25" i="26"/>
  <c r="H25" i="26"/>
  <c r="R24" i="26"/>
  <c r="Q24" i="26"/>
  <c r="N24" i="26"/>
  <c r="M24" i="26"/>
  <c r="M22" i="26" s="1"/>
  <c r="H24" i="26"/>
  <c r="R23" i="26"/>
  <c r="Q23" i="26"/>
  <c r="N23" i="26"/>
  <c r="N22" i="26" s="1"/>
  <c r="M23" i="26"/>
  <c r="H23" i="26"/>
  <c r="R22" i="26"/>
  <c r="Q22" i="26"/>
  <c r="H22" i="26"/>
  <c r="R21" i="26"/>
  <c r="R20" i="26" s="1"/>
  <c r="Q21" i="26"/>
  <c r="N21" i="26"/>
  <c r="M21" i="26"/>
  <c r="H21" i="26"/>
  <c r="H20" i="26" s="1"/>
  <c r="Q20" i="26"/>
  <c r="N20" i="26"/>
  <c r="M20" i="26"/>
  <c r="I19" i="26"/>
  <c r="H19" i="26"/>
  <c r="G19" i="26"/>
  <c r="G18" i="26" s="1"/>
  <c r="F19" i="26"/>
  <c r="R18" i="26"/>
  <c r="Q18" i="26"/>
  <c r="P18" i="26"/>
  <c r="O18" i="26"/>
  <c r="N18" i="26"/>
  <c r="M18" i="26"/>
  <c r="L18" i="26"/>
  <c r="K18" i="26"/>
  <c r="J18" i="26"/>
  <c r="I18" i="26"/>
  <c r="H18" i="26"/>
  <c r="F18" i="26"/>
  <c r="E18" i="26"/>
  <c r="S17" i="26"/>
  <c r="P16" i="26"/>
  <c r="P21" i="26" s="1"/>
  <c r="P20" i="26" s="1"/>
  <c r="O16" i="26"/>
  <c r="O28" i="26" s="1"/>
  <c r="O27" i="26" s="1"/>
  <c r="L16" i="26"/>
  <c r="K16" i="26"/>
  <c r="J16" i="26"/>
  <c r="J23" i="26" s="1"/>
  <c r="I16" i="26"/>
  <c r="I82" i="26" s="1"/>
  <c r="I81" i="26" s="1"/>
  <c r="G16" i="26"/>
  <c r="F16" i="26"/>
  <c r="F23" i="26" s="1"/>
  <c r="E16" i="26"/>
  <c r="E82" i="26" s="1"/>
  <c r="R15" i="26"/>
  <c r="Q15" i="26"/>
  <c r="P15" i="26"/>
  <c r="N15" i="26"/>
  <c r="M15" i="26"/>
  <c r="L15" i="26"/>
  <c r="J15" i="26"/>
  <c r="I15" i="26"/>
  <c r="H15" i="26"/>
  <c r="H13" i="26" s="1"/>
  <c r="R14" i="26"/>
  <c r="Q14" i="26"/>
  <c r="P14" i="26"/>
  <c r="O14" i="26"/>
  <c r="N14" i="26"/>
  <c r="M14" i="26"/>
  <c r="M13" i="26" s="1"/>
  <c r="K14" i="26"/>
  <c r="J14" i="26"/>
  <c r="H14" i="26"/>
  <c r="G14" i="26"/>
  <c r="E14" i="26"/>
  <c r="Q13" i="26"/>
  <c r="P13" i="26"/>
  <c r="R12" i="26"/>
  <c r="P12" i="26"/>
  <c r="O12" i="26"/>
  <c r="N12" i="26"/>
  <c r="L12" i="26"/>
  <c r="K12" i="26"/>
  <c r="J12" i="26"/>
  <c r="H12" i="26"/>
  <c r="G12" i="26"/>
  <c r="F12" i="26"/>
  <c r="R11" i="26"/>
  <c r="P11" i="26"/>
  <c r="P10" i="26" s="1"/>
  <c r="P8" i="26" s="1"/>
  <c r="O11" i="26"/>
  <c r="O10" i="26" s="1"/>
  <c r="N11" i="26"/>
  <c r="L11" i="26"/>
  <c r="L10" i="26" s="1"/>
  <c r="L8" i="26" s="1"/>
  <c r="K11" i="26"/>
  <c r="K10" i="26" s="1"/>
  <c r="J11" i="26"/>
  <c r="J10" i="26" s="1"/>
  <c r="J8" i="26" s="1"/>
  <c r="H11" i="26"/>
  <c r="G11" i="26"/>
  <c r="G10" i="26" s="1"/>
  <c r="F11" i="26"/>
  <c r="F10" i="26" s="1"/>
  <c r="R10" i="26"/>
  <c r="N10" i="26"/>
  <c r="H10" i="26"/>
  <c r="H8" i="26" s="1"/>
  <c r="R9" i="26"/>
  <c r="R8" i="26" s="1"/>
  <c r="Q9" i="26"/>
  <c r="P9" i="26"/>
  <c r="O9" i="26"/>
  <c r="N9" i="26"/>
  <c r="N8" i="26" s="1"/>
  <c r="M9" i="26"/>
  <c r="L9" i="26"/>
  <c r="K9" i="26"/>
  <c r="J9" i="26"/>
  <c r="I9" i="26"/>
  <c r="H9" i="26"/>
  <c r="G9" i="26"/>
  <c r="G8" i="26" s="1"/>
  <c r="F9" i="26"/>
  <c r="F8" i="26" s="1"/>
  <c r="E9" i="26"/>
  <c r="R7" i="26"/>
  <c r="Q7" i="26"/>
  <c r="P7" i="26"/>
  <c r="O7" i="26"/>
  <c r="O5" i="26" s="1"/>
  <c r="N7" i="26"/>
  <c r="N5" i="26" s="1"/>
  <c r="M7" i="26"/>
  <c r="L7" i="26"/>
  <c r="K7" i="26"/>
  <c r="K5" i="26" s="1"/>
  <c r="J7" i="26"/>
  <c r="I7" i="26"/>
  <c r="H7" i="26"/>
  <c r="G7" i="26"/>
  <c r="G5" i="26" s="1"/>
  <c r="F7" i="26"/>
  <c r="E7" i="26"/>
  <c r="R6" i="26"/>
  <c r="Q6" i="26"/>
  <c r="Q5" i="26" s="1"/>
  <c r="P6" i="26"/>
  <c r="P5" i="26" s="1"/>
  <c r="O6" i="26"/>
  <c r="N6" i="26"/>
  <c r="M6" i="26"/>
  <c r="L6" i="26"/>
  <c r="L5" i="26" s="1"/>
  <c r="K6" i="26"/>
  <c r="J6" i="26"/>
  <c r="I6" i="26"/>
  <c r="I5" i="26" s="1"/>
  <c r="H6" i="26"/>
  <c r="H5" i="26" s="1"/>
  <c r="G6" i="26"/>
  <c r="F6" i="26"/>
  <c r="E6" i="26"/>
  <c r="R5" i="26"/>
  <c r="M5" i="26"/>
  <c r="J5" i="26"/>
  <c r="E5" i="26"/>
  <c r="E7" i="32"/>
  <c r="Y7" i="32"/>
  <c r="AB6" i="32"/>
  <c r="AA6" i="32"/>
  <c r="Z6" i="32"/>
  <c r="Z7" i="32" s="1"/>
  <c r="Y6" i="32"/>
  <c r="U6" i="32"/>
  <c r="R6" i="32"/>
  <c r="Q6" i="32"/>
  <c r="Q7" i="32" s="1"/>
  <c r="O6" i="32"/>
  <c r="N6" i="32"/>
  <c r="M6" i="32"/>
  <c r="L6" i="32"/>
  <c r="H6" i="32"/>
  <c r="E6" i="32"/>
  <c r="D6" i="32"/>
  <c r="V5" i="32"/>
  <c r="W5" i="32" s="1"/>
  <c r="S5" i="32"/>
  <c r="T5" i="32" s="1"/>
  <c r="I5" i="32"/>
  <c r="J5" i="32" s="1"/>
  <c r="F5" i="32"/>
  <c r="G5" i="32" s="1"/>
  <c r="AB4" i="32"/>
  <c r="AB7" i="32" s="1"/>
  <c r="AA4" i="32"/>
  <c r="AA7" i="32" s="1"/>
  <c r="Z4" i="32"/>
  <c r="Y4" i="32"/>
  <c r="U4" i="32"/>
  <c r="U7" i="32" s="1"/>
  <c r="R4" i="32"/>
  <c r="R7" i="32" s="1"/>
  <c r="Q4" i="32"/>
  <c r="N4" i="32"/>
  <c r="N7" i="32" s="1"/>
  <c r="M4" i="32"/>
  <c r="M7" i="32" s="1"/>
  <c r="L4" i="32"/>
  <c r="L7" i="32" s="1"/>
  <c r="H4" i="32"/>
  <c r="H7" i="32" s="1"/>
  <c r="E4" i="32"/>
  <c r="D4" i="32"/>
  <c r="D7" i="32" s="1"/>
  <c r="O4" i="32"/>
  <c r="O7" i="32" s="1"/>
  <c r="V3" i="32"/>
  <c r="W3" i="32" s="1"/>
  <c r="S3" i="32"/>
  <c r="S4" i="32" s="1"/>
  <c r="I3" i="32"/>
  <c r="J3" i="32" s="1"/>
  <c r="F3" i="32"/>
  <c r="G3" i="32" s="1"/>
  <c r="H52" i="26" l="1"/>
  <c r="O8" i="26"/>
  <c r="I14" i="26"/>
  <c r="I13" i="26" s="1"/>
  <c r="R13" i="26"/>
  <c r="R4" i="26" s="1"/>
  <c r="R3" i="26" s="1"/>
  <c r="K28" i="26"/>
  <c r="K27" i="26" s="1"/>
  <c r="K15" i="26"/>
  <c r="K13" i="26" s="1"/>
  <c r="E45" i="26"/>
  <c r="E31" i="26" s="1"/>
  <c r="S31" i="26" s="1"/>
  <c r="Q53" i="26"/>
  <c r="K53" i="26"/>
  <c r="J10" i="21"/>
  <c r="J8" i="21" s="1"/>
  <c r="J4" i="21" s="1"/>
  <c r="E12" i="26"/>
  <c r="I12" i="26"/>
  <c r="I10" i="26" s="1"/>
  <c r="I8" i="26" s="1"/>
  <c r="M12" i="26"/>
  <c r="M10" i="26" s="1"/>
  <c r="M8" i="26" s="1"/>
  <c r="M4" i="26" s="1"/>
  <c r="Q12" i="26"/>
  <c r="Q10" i="26" s="1"/>
  <c r="Q8" i="26" s="1"/>
  <c r="Q4" i="26" s="1"/>
  <c r="F14" i="26"/>
  <c r="J13" i="26"/>
  <c r="F15" i="26"/>
  <c r="G28" i="26"/>
  <c r="G27" i="26" s="1"/>
  <c r="G15" i="26"/>
  <c r="G13" i="26" s="1"/>
  <c r="L21" i="26"/>
  <c r="L20" i="26" s="1"/>
  <c r="L14" i="26"/>
  <c r="L13" i="26" s="1"/>
  <c r="S18" i="26"/>
  <c r="I29" i="26"/>
  <c r="M29" i="26"/>
  <c r="Q29" i="26"/>
  <c r="S29" i="26" s="1"/>
  <c r="J31" i="26"/>
  <c r="R31" i="26"/>
  <c r="S40" i="26"/>
  <c r="F53" i="26"/>
  <c r="K74" i="26"/>
  <c r="K73" i="26" s="1"/>
  <c r="Q85" i="26"/>
  <c r="E13" i="21"/>
  <c r="I13" i="21"/>
  <c r="I4" i="21" s="1"/>
  <c r="E85" i="21"/>
  <c r="H4" i="26"/>
  <c r="I31" i="26"/>
  <c r="M31" i="26"/>
  <c r="S75" i="26"/>
  <c r="S72" i="26"/>
  <c r="G85" i="21"/>
  <c r="K85" i="21"/>
  <c r="E75" i="21"/>
  <c r="S6" i="26"/>
  <c r="F5" i="26"/>
  <c r="K8" i="26"/>
  <c r="S14" i="26"/>
  <c r="N13" i="26"/>
  <c r="N4" i="26" s="1"/>
  <c r="N3" i="26" s="1"/>
  <c r="S32" i="26"/>
  <c r="L31" i="26"/>
  <c r="I53" i="26"/>
  <c r="M53" i="26"/>
  <c r="O53" i="26"/>
  <c r="S96" i="26"/>
  <c r="E11" i="26"/>
  <c r="J31" i="21"/>
  <c r="I52" i="21"/>
  <c r="L89" i="21"/>
  <c r="S7" i="26"/>
  <c r="S9" i="26"/>
  <c r="O15" i="26"/>
  <c r="O13" i="26" s="1"/>
  <c r="S19" i="26"/>
  <c r="G31" i="26"/>
  <c r="K31" i="26"/>
  <c r="O31" i="26"/>
  <c r="S90" i="26"/>
  <c r="I89" i="26"/>
  <c r="I85" i="26" s="1"/>
  <c r="I52" i="26" s="1"/>
  <c r="M89" i="26"/>
  <c r="M85" i="26" s="1"/>
  <c r="M52" i="26" s="1"/>
  <c r="M3" i="26" s="1"/>
  <c r="Q89" i="26"/>
  <c r="H5" i="21"/>
  <c r="H11" i="21"/>
  <c r="E12" i="21"/>
  <c r="E10" i="21" s="1"/>
  <c r="L42" i="21"/>
  <c r="I31" i="21"/>
  <c r="G72" i="21"/>
  <c r="G71" i="21" s="1"/>
  <c r="J74" i="21"/>
  <c r="J73" i="21" s="1"/>
  <c r="L73" i="21" s="1"/>
  <c r="L77" i="21"/>
  <c r="L83" i="21"/>
  <c r="J4" i="31"/>
  <c r="J3" i="31" s="1"/>
  <c r="V9" i="31"/>
  <c r="I11" i="31"/>
  <c r="P11" i="31"/>
  <c r="P10" i="31" s="1"/>
  <c r="T11" i="31"/>
  <c r="T10" i="31" s="1"/>
  <c r="T8" i="31" s="1"/>
  <c r="T4" i="31" s="1"/>
  <c r="T3" i="31" s="1"/>
  <c r="N12" i="31"/>
  <c r="V12" i="31" s="1"/>
  <c r="V14" i="31"/>
  <c r="L15" i="31"/>
  <c r="L13" i="31" s="1"/>
  <c r="V16" i="31"/>
  <c r="N22" i="31"/>
  <c r="R22" i="31"/>
  <c r="F29" i="31"/>
  <c r="U29" i="31"/>
  <c r="U4" i="31" s="1"/>
  <c r="U3" i="31" s="1"/>
  <c r="V32" i="31"/>
  <c r="P31" i="31"/>
  <c r="V41" i="31"/>
  <c r="V46" i="31"/>
  <c r="V48" i="31"/>
  <c r="E53" i="31"/>
  <c r="V53" i="31" s="1"/>
  <c r="N72" i="31"/>
  <c r="N71" i="31" s="1"/>
  <c r="N52" i="31" s="1"/>
  <c r="V74" i="31"/>
  <c r="T52" i="31"/>
  <c r="V76" i="31"/>
  <c r="F85" i="31"/>
  <c r="F52" i="31" s="1"/>
  <c r="H4" i="25"/>
  <c r="L4" i="25"/>
  <c r="P4" i="25"/>
  <c r="T4" i="25"/>
  <c r="G10" i="25"/>
  <c r="G8" i="25" s="1"/>
  <c r="G4" i="25" s="1"/>
  <c r="K10" i="25"/>
  <c r="K8" i="25" s="1"/>
  <c r="K4" i="25" s="1"/>
  <c r="O10" i="25"/>
  <c r="O8" i="25" s="1"/>
  <c r="O4" i="25" s="1"/>
  <c r="S10" i="25"/>
  <c r="S8" i="25" s="1"/>
  <c r="S4" i="25" s="1"/>
  <c r="W21" i="25"/>
  <c r="E20" i="25"/>
  <c r="W20" i="25" s="1"/>
  <c r="I10" i="31"/>
  <c r="I8" i="31" s="1"/>
  <c r="V90" i="31"/>
  <c r="F89" i="31"/>
  <c r="G12" i="21"/>
  <c r="K12" i="21"/>
  <c r="L15" i="21"/>
  <c r="L18" i="21"/>
  <c r="L32" i="21"/>
  <c r="J76" i="21"/>
  <c r="J75" i="21" s="1"/>
  <c r="L91" i="21"/>
  <c r="L93" i="21"/>
  <c r="L96" i="21"/>
  <c r="Q4" i="31"/>
  <c r="P8" i="31"/>
  <c r="V11" i="31"/>
  <c r="M8" i="31"/>
  <c r="O4" i="31"/>
  <c r="S4" i="31"/>
  <c r="V18" i="31"/>
  <c r="K22" i="31"/>
  <c r="K4" i="31" s="1"/>
  <c r="K3" i="31" s="1"/>
  <c r="H31" i="31"/>
  <c r="V72" i="31"/>
  <c r="Q52" i="31"/>
  <c r="V77" i="31"/>
  <c r="V96" i="31"/>
  <c r="W27" i="25"/>
  <c r="W72" i="25"/>
  <c r="E71" i="25"/>
  <c r="I52" i="25"/>
  <c r="I3" i="25" s="1"/>
  <c r="M52" i="25"/>
  <c r="M3" i="25" s="1"/>
  <c r="Q52" i="25"/>
  <c r="Q3" i="25" s="1"/>
  <c r="S47" i="26"/>
  <c r="S65" i="26"/>
  <c r="S67" i="26"/>
  <c r="S68" i="26"/>
  <c r="S77" i="26"/>
  <c r="S83" i="26"/>
  <c r="S91" i="26"/>
  <c r="F10" i="21"/>
  <c r="F8" i="21" s="1"/>
  <c r="F4" i="21" s="1"/>
  <c r="G11" i="21"/>
  <c r="K11" i="21"/>
  <c r="K10" i="21" s="1"/>
  <c r="K8" i="21" s="1"/>
  <c r="H12" i="21"/>
  <c r="L14" i="21"/>
  <c r="G29" i="21"/>
  <c r="K29" i="21"/>
  <c r="L29" i="21" s="1"/>
  <c r="L40" i="21"/>
  <c r="L53" i="21"/>
  <c r="K72" i="21"/>
  <c r="K71" i="21" s="1"/>
  <c r="K52" i="21" s="1"/>
  <c r="L74" i="21"/>
  <c r="L86" i="21"/>
  <c r="L90" i="21"/>
  <c r="V6" i="31"/>
  <c r="V7" i="31"/>
  <c r="N10" i="31"/>
  <c r="N8" i="31" s="1"/>
  <c r="N4" i="31" s="1"/>
  <c r="N3" i="31" s="1"/>
  <c r="E13" i="31"/>
  <c r="G15" i="31"/>
  <c r="V15" i="31" s="1"/>
  <c r="L21" i="31"/>
  <c r="L20" i="31" s="1"/>
  <c r="T29" i="31"/>
  <c r="T31" i="31"/>
  <c r="V45" i="31"/>
  <c r="E80" i="31"/>
  <c r="E79" i="31" s="1"/>
  <c r="K52" i="31"/>
  <c r="V86" i="31"/>
  <c r="L85" i="31"/>
  <c r="R85" i="31"/>
  <c r="R52" i="31" s="1"/>
  <c r="V101" i="31"/>
  <c r="W10" i="25"/>
  <c r="W23" i="25"/>
  <c r="E22" i="25"/>
  <c r="W22" i="25" s="1"/>
  <c r="W25" i="25"/>
  <c r="W12" i="25"/>
  <c r="W24" i="25"/>
  <c r="W26" i="25"/>
  <c r="W28" i="25"/>
  <c r="W30" i="25"/>
  <c r="W32" i="25"/>
  <c r="W42" i="25"/>
  <c r="W53" i="25"/>
  <c r="W74" i="25"/>
  <c r="W77" i="25"/>
  <c r="W86" i="25"/>
  <c r="W93" i="25"/>
  <c r="W101" i="25"/>
  <c r="V6" i="20"/>
  <c r="V7" i="20"/>
  <c r="G10" i="20"/>
  <c r="G8" i="20" s="1"/>
  <c r="L14" i="20"/>
  <c r="L13" i="20" s="1"/>
  <c r="G15" i="20"/>
  <c r="G13" i="20" s="1"/>
  <c r="S15" i="20"/>
  <c r="S13" i="20" s="1"/>
  <c r="V32" i="20"/>
  <c r="E31" i="20"/>
  <c r="V40" i="20"/>
  <c r="V46" i="20"/>
  <c r="E45" i="20"/>
  <c r="E53" i="20"/>
  <c r="J20" i="22"/>
  <c r="J28" i="22"/>
  <c r="E27" i="22"/>
  <c r="J27" i="22" s="1"/>
  <c r="W13" i="25"/>
  <c r="W15" i="25"/>
  <c r="W18" i="25"/>
  <c r="W47" i="25"/>
  <c r="E75" i="25"/>
  <c r="E79" i="25"/>
  <c r="W79" i="25" s="1"/>
  <c r="W90" i="25"/>
  <c r="W91" i="25"/>
  <c r="E14" i="20"/>
  <c r="I14" i="20"/>
  <c r="I13" i="20" s="1"/>
  <c r="M14" i="20"/>
  <c r="M13" i="20" s="1"/>
  <c r="V45" i="20"/>
  <c r="V91" i="20"/>
  <c r="F89" i="20"/>
  <c r="F85" i="20" s="1"/>
  <c r="V96" i="20"/>
  <c r="E80" i="20"/>
  <c r="E79" i="20" s="1"/>
  <c r="E72" i="20"/>
  <c r="E29" i="20"/>
  <c r="I80" i="20"/>
  <c r="I79" i="20" s="1"/>
  <c r="I52" i="20" s="1"/>
  <c r="I72" i="20"/>
  <c r="I71" i="20" s="1"/>
  <c r="I29" i="20"/>
  <c r="M80" i="20"/>
  <c r="M79" i="20" s="1"/>
  <c r="M72" i="20"/>
  <c r="M71" i="20" s="1"/>
  <c r="M52" i="20" s="1"/>
  <c r="M29" i="20"/>
  <c r="Q80" i="20"/>
  <c r="Q79" i="20" s="1"/>
  <c r="Q72" i="20"/>
  <c r="Q71" i="20" s="1"/>
  <c r="Q29" i="20"/>
  <c r="J25" i="22"/>
  <c r="J32" i="22"/>
  <c r="E31" i="22"/>
  <c r="J31" i="22" s="1"/>
  <c r="J3" i="24"/>
  <c r="G52" i="25"/>
  <c r="K52" i="25"/>
  <c r="O52" i="25"/>
  <c r="O3" i="25" s="1"/>
  <c r="S52" i="25"/>
  <c r="S3" i="25" s="1"/>
  <c r="V63" i="20"/>
  <c r="J53" i="20"/>
  <c r="J52" i="20" s="1"/>
  <c r="J23" i="22"/>
  <c r="F22" i="22"/>
  <c r="F4" i="22" s="1"/>
  <c r="J24" i="22"/>
  <c r="E22" i="22"/>
  <c r="J22" i="22" s="1"/>
  <c r="P85" i="31"/>
  <c r="P52" i="31" s="1"/>
  <c r="U85" i="31"/>
  <c r="V93" i="31"/>
  <c r="W11" i="25"/>
  <c r="W14" i="25"/>
  <c r="W29" i="25"/>
  <c r="W40" i="25"/>
  <c r="E52" i="25"/>
  <c r="W75" i="25"/>
  <c r="W83" i="25"/>
  <c r="W96" i="25"/>
  <c r="V9" i="20"/>
  <c r="V12" i="20"/>
  <c r="R15" i="20"/>
  <c r="R13" i="20" s="1"/>
  <c r="R85" i="20"/>
  <c r="R52" i="20" s="1"/>
  <c r="M72" i="24"/>
  <c r="E71" i="24"/>
  <c r="M71" i="24" s="1"/>
  <c r="I31" i="20"/>
  <c r="M31" i="20"/>
  <c r="Q31" i="20"/>
  <c r="V54" i="20"/>
  <c r="V76" i="20"/>
  <c r="V80" i="20"/>
  <c r="E11" i="22"/>
  <c r="I11" i="22"/>
  <c r="I10" i="22" s="1"/>
  <c r="I8" i="22" s="1"/>
  <c r="I4" i="22" s="1"/>
  <c r="J15" i="22"/>
  <c r="G29" i="22"/>
  <c r="J47" i="22"/>
  <c r="J74" i="22"/>
  <c r="E80" i="22"/>
  <c r="E79" i="22" s="1"/>
  <c r="J79" i="22" s="1"/>
  <c r="I80" i="22"/>
  <c r="I79" i="22" s="1"/>
  <c r="I52" i="22" s="1"/>
  <c r="I3" i="22" s="1"/>
  <c r="J83" i="22"/>
  <c r="G85" i="22"/>
  <c r="G52" i="22" s="1"/>
  <c r="M47" i="24"/>
  <c r="M55" i="24"/>
  <c r="M76" i="24"/>
  <c r="M77" i="24"/>
  <c r="M90" i="24"/>
  <c r="M91" i="24"/>
  <c r="Q3" i="19"/>
  <c r="M8" i="24"/>
  <c r="M18" i="24"/>
  <c r="I4" i="24"/>
  <c r="M79" i="24"/>
  <c r="K53" i="20"/>
  <c r="V77" i="20"/>
  <c r="G85" i="20"/>
  <c r="K85" i="20"/>
  <c r="O85" i="20"/>
  <c r="S85" i="20"/>
  <c r="H89" i="20"/>
  <c r="H85" i="20" s="1"/>
  <c r="L89" i="20"/>
  <c r="L85" i="20" s="1"/>
  <c r="P89" i="20"/>
  <c r="P85" i="20" s="1"/>
  <c r="T89" i="20"/>
  <c r="T85" i="20" s="1"/>
  <c r="T52" i="20" s="1"/>
  <c r="T3" i="20" s="1"/>
  <c r="J5" i="22"/>
  <c r="G11" i="22"/>
  <c r="G10" i="22" s="1"/>
  <c r="G8" i="22" s="1"/>
  <c r="E29" i="22"/>
  <c r="J29" i="22" s="1"/>
  <c r="J45" i="22"/>
  <c r="H89" i="22"/>
  <c r="H85" i="22" s="1"/>
  <c r="H52" i="22" s="1"/>
  <c r="H3" i="22" s="1"/>
  <c r="J93" i="22"/>
  <c r="J101" i="22"/>
  <c r="M7" i="24"/>
  <c r="M19" i="24"/>
  <c r="M40" i="24"/>
  <c r="E53" i="24"/>
  <c r="M69" i="24"/>
  <c r="M74" i="24"/>
  <c r="M75" i="24"/>
  <c r="M86" i="24"/>
  <c r="V83" i="20"/>
  <c r="V90" i="20"/>
  <c r="V93" i="20"/>
  <c r="J14" i="22"/>
  <c r="J18" i="22"/>
  <c r="J21" i="22"/>
  <c r="J26" i="22"/>
  <c r="J30" i="22"/>
  <c r="J42" i="22"/>
  <c r="J76" i="22"/>
  <c r="F85" i="22"/>
  <c r="F52" i="22" s="1"/>
  <c r="F3" i="22" s="1"/>
  <c r="J90" i="22"/>
  <c r="M5" i="24"/>
  <c r="M10" i="24"/>
  <c r="M11" i="24"/>
  <c r="M12" i="24"/>
  <c r="M13" i="24"/>
  <c r="M14" i="24"/>
  <c r="M15" i="24"/>
  <c r="M20" i="24"/>
  <c r="M21" i="24"/>
  <c r="M22" i="24"/>
  <c r="M23" i="24"/>
  <c r="M24" i="24"/>
  <c r="M25" i="24"/>
  <c r="M26" i="24"/>
  <c r="M32" i="24"/>
  <c r="I31" i="24"/>
  <c r="M42" i="24"/>
  <c r="M68" i="24"/>
  <c r="M80" i="24"/>
  <c r="H89" i="24"/>
  <c r="H85" i="24" s="1"/>
  <c r="H52" i="24" s="1"/>
  <c r="H3" i="24" s="1"/>
  <c r="L89" i="24"/>
  <c r="L85" i="24" s="1"/>
  <c r="L52" i="24" s="1"/>
  <c r="L3" i="24" s="1"/>
  <c r="M96" i="24"/>
  <c r="M101" i="24"/>
  <c r="S69" i="26"/>
  <c r="S54" i="26"/>
  <c r="S56" i="26"/>
  <c r="S58" i="26"/>
  <c r="S60" i="26"/>
  <c r="S62" i="26"/>
  <c r="S64" i="26"/>
  <c r="S66" i="26"/>
  <c r="Q52" i="26"/>
  <c r="E53" i="26"/>
  <c r="S53" i="26" s="1"/>
  <c r="S55" i="26"/>
  <c r="S57" i="26"/>
  <c r="S59" i="26"/>
  <c r="S61" i="26"/>
  <c r="S63" i="26"/>
  <c r="K52" i="24"/>
  <c r="K3" i="24" s="1"/>
  <c r="I85" i="24"/>
  <c r="I52" i="24" s="1"/>
  <c r="E27" i="24"/>
  <c r="E31" i="24"/>
  <c r="M31" i="24" s="1"/>
  <c r="E73" i="24"/>
  <c r="M73" i="24" s="1"/>
  <c r="E81" i="24"/>
  <c r="M81" i="24" s="1"/>
  <c r="E89" i="24"/>
  <c r="G53" i="24"/>
  <c r="G52" i="24" s="1"/>
  <c r="G3" i="24" s="1"/>
  <c r="J81" i="22"/>
  <c r="J53" i="22"/>
  <c r="J80" i="22"/>
  <c r="J82" i="22"/>
  <c r="J86" i="22"/>
  <c r="E71" i="22"/>
  <c r="J71" i="22" s="1"/>
  <c r="E73" i="22"/>
  <c r="J73" i="22" s="1"/>
  <c r="E75" i="22"/>
  <c r="J75" i="22" s="1"/>
  <c r="E89" i="22"/>
  <c r="V5" i="20"/>
  <c r="N52" i="20"/>
  <c r="E81" i="20"/>
  <c r="V53" i="20"/>
  <c r="Q52" i="20"/>
  <c r="U52" i="20"/>
  <c r="V10" i="20"/>
  <c r="H52" i="20"/>
  <c r="H3" i="20" s="1"/>
  <c r="P52" i="20"/>
  <c r="P3" i="20" s="1"/>
  <c r="E8" i="20"/>
  <c r="V16" i="20"/>
  <c r="F21" i="20"/>
  <c r="F20" i="20" s="1"/>
  <c r="J21" i="20"/>
  <c r="J20" i="20" s="1"/>
  <c r="N21" i="20"/>
  <c r="N20" i="20" s="1"/>
  <c r="R21" i="20"/>
  <c r="R20" i="20" s="1"/>
  <c r="F23" i="20"/>
  <c r="J23" i="20"/>
  <c r="N23" i="20"/>
  <c r="R23" i="20"/>
  <c r="L24" i="20"/>
  <c r="L22" i="20" s="1"/>
  <c r="L26" i="20"/>
  <c r="L25" i="20" s="1"/>
  <c r="L28" i="20"/>
  <c r="L27" i="20" s="1"/>
  <c r="L30" i="20"/>
  <c r="U47" i="20"/>
  <c r="U31" i="20" s="1"/>
  <c r="V31" i="20" s="1"/>
  <c r="E71" i="20"/>
  <c r="E73" i="20"/>
  <c r="V73" i="20" s="1"/>
  <c r="E75" i="20"/>
  <c r="V75" i="20" s="1"/>
  <c r="F79" i="20"/>
  <c r="L82" i="20"/>
  <c r="L81" i="20" s="1"/>
  <c r="L52" i="20" s="1"/>
  <c r="E89" i="20"/>
  <c r="E21" i="20"/>
  <c r="I21" i="20"/>
  <c r="I20" i="20" s="1"/>
  <c r="M21" i="20"/>
  <c r="M20" i="20" s="1"/>
  <c r="Q21" i="20"/>
  <c r="Q20" i="20" s="1"/>
  <c r="U21" i="20"/>
  <c r="U20" i="20" s="1"/>
  <c r="E23" i="20"/>
  <c r="I23" i="20"/>
  <c r="M23" i="20"/>
  <c r="Q23" i="20"/>
  <c r="U23" i="20"/>
  <c r="G24" i="20"/>
  <c r="G22" i="20" s="1"/>
  <c r="K24" i="20"/>
  <c r="K22" i="20" s="1"/>
  <c r="O24" i="20"/>
  <c r="O22" i="20" s="1"/>
  <c r="S24" i="20"/>
  <c r="S22" i="20" s="1"/>
  <c r="G26" i="20"/>
  <c r="G25" i="20" s="1"/>
  <c r="K26" i="20"/>
  <c r="K25" i="20" s="1"/>
  <c r="O26" i="20"/>
  <c r="O25" i="20" s="1"/>
  <c r="S26" i="20"/>
  <c r="S25" i="20" s="1"/>
  <c r="G28" i="20"/>
  <c r="G27" i="20" s="1"/>
  <c r="K28" i="20"/>
  <c r="K27" i="20" s="1"/>
  <c r="O28" i="20"/>
  <c r="O27" i="20" s="1"/>
  <c r="S28" i="20"/>
  <c r="S27" i="20" s="1"/>
  <c r="G30" i="20"/>
  <c r="K30" i="20"/>
  <c r="O30" i="20"/>
  <c r="S30" i="20"/>
  <c r="G82" i="20"/>
  <c r="G81" i="20" s="1"/>
  <c r="K82" i="20"/>
  <c r="K81" i="20" s="1"/>
  <c r="K52" i="20" s="1"/>
  <c r="O82" i="20"/>
  <c r="O81" i="20" s="1"/>
  <c r="O52" i="20" s="1"/>
  <c r="S82" i="20"/>
  <c r="S81" i="20" s="1"/>
  <c r="L21" i="20"/>
  <c r="L20" i="20" s="1"/>
  <c r="F24" i="20"/>
  <c r="J24" i="20"/>
  <c r="N24" i="20"/>
  <c r="R24" i="20"/>
  <c r="F26" i="20"/>
  <c r="F25" i="20" s="1"/>
  <c r="J26" i="20"/>
  <c r="J25" i="20" s="1"/>
  <c r="N26" i="20"/>
  <c r="N25" i="20" s="1"/>
  <c r="R26" i="20"/>
  <c r="R25" i="20" s="1"/>
  <c r="F28" i="20"/>
  <c r="F27" i="20" s="1"/>
  <c r="J28" i="20"/>
  <c r="J27" i="20" s="1"/>
  <c r="N28" i="20"/>
  <c r="N27" i="20" s="1"/>
  <c r="R28" i="20"/>
  <c r="R27" i="20" s="1"/>
  <c r="F30" i="20"/>
  <c r="J30" i="20"/>
  <c r="N30" i="20"/>
  <c r="R30" i="20"/>
  <c r="G21" i="20"/>
  <c r="G20" i="20" s="1"/>
  <c r="K21" i="20"/>
  <c r="K20" i="20" s="1"/>
  <c r="O21" i="20"/>
  <c r="O20" i="20" s="1"/>
  <c r="S21" i="20"/>
  <c r="S20" i="20" s="1"/>
  <c r="E24" i="20"/>
  <c r="I24" i="20"/>
  <c r="M24" i="20"/>
  <c r="Q24" i="20"/>
  <c r="U24" i="20"/>
  <c r="E26" i="20"/>
  <c r="I26" i="20"/>
  <c r="I25" i="20" s="1"/>
  <c r="M26" i="20"/>
  <c r="M25" i="20" s="1"/>
  <c r="Q26" i="20"/>
  <c r="Q25" i="20" s="1"/>
  <c r="U26" i="20"/>
  <c r="U25" i="20" s="1"/>
  <c r="E28" i="20"/>
  <c r="I28" i="20"/>
  <c r="I27" i="20" s="1"/>
  <c r="M28" i="20"/>
  <c r="M27" i="20" s="1"/>
  <c r="Q28" i="20"/>
  <c r="Q27" i="20" s="1"/>
  <c r="U28" i="20"/>
  <c r="U27" i="20" s="1"/>
  <c r="E30" i="20"/>
  <c r="I30" i="20"/>
  <c r="M30" i="20"/>
  <c r="Q30" i="20"/>
  <c r="U30" i="20"/>
  <c r="W71" i="25"/>
  <c r="J52" i="25"/>
  <c r="J3" i="25" s="1"/>
  <c r="N52" i="25"/>
  <c r="N3" i="25" s="1"/>
  <c r="R52" i="25"/>
  <c r="R3" i="25" s="1"/>
  <c r="V52" i="25"/>
  <c r="V3" i="25" s="1"/>
  <c r="T52" i="25"/>
  <c r="H85" i="25"/>
  <c r="L85" i="25"/>
  <c r="L52" i="25" s="1"/>
  <c r="L3" i="25" s="1"/>
  <c r="P85" i="25"/>
  <c r="P52" i="25" s="1"/>
  <c r="P3" i="25" s="1"/>
  <c r="W89" i="25"/>
  <c r="F73" i="25"/>
  <c r="F52" i="25" s="1"/>
  <c r="F3" i="25" s="1"/>
  <c r="F81" i="25"/>
  <c r="W81" i="25" s="1"/>
  <c r="E31" i="31"/>
  <c r="V40" i="31"/>
  <c r="V5" i="31"/>
  <c r="I4" i="31"/>
  <c r="M4" i="31"/>
  <c r="R4" i="31"/>
  <c r="M52" i="31"/>
  <c r="V75" i="31"/>
  <c r="O52" i="31"/>
  <c r="O3" i="31" s="1"/>
  <c r="S52" i="31"/>
  <c r="S3" i="31" s="1"/>
  <c r="H85" i="31"/>
  <c r="V89" i="31"/>
  <c r="V79" i="31"/>
  <c r="H52" i="31"/>
  <c r="H3" i="31" s="1"/>
  <c r="U52" i="31"/>
  <c r="V80" i="31"/>
  <c r="E8" i="31"/>
  <c r="P4" i="31"/>
  <c r="I52" i="31"/>
  <c r="V85" i="31"/>
  <c r="F10" i="31"/>
  <c r="F8" i="31" s="1"/>
  <c r="G24" i="31"/>
  <c r="E25" i="31"/>
  <c r="G26" i="31"/>
  <c r="G25" i="31" s="1"/>
  <c r="E27" i="31"/>
  <c r="V27" i="31" s="1"/>
  <c r="G28" i="31"/>
  <c r="G27" i="31" s="1"/>
  <c r="L47" i="31"/>
  <c r="L31" i="31" s="1"/>
  <c r="E71" i="31"/>
  <c r="E73" i="31"/>
  <c r="V73" i="31" s="1"/>
  <c r="F20" i="31"/>
  <c r="F22" i="31"/>
  <c r="L23" i="31"/>
  <c r="L82" i="31"/>
  <c r="L81" i="31" s="1"/>
  <c r="L52" i="31" s="1"/>
  <c r="G21" i="31"/>
  <c r="G20" i="31" s="1"/>
  <c r="G23" i="31"/>
  <c r="G22" i="31" s="1"/>
  <c r="L30" i="31"/>
  <c r="V30" i="31" s="1"/>
  <c r="G82" i="31"/>
  <c r="G81" i="31" s="1"/>
  <c r="G52" i="31" s="1"/>
  <c r="L24" i="31"/>
  <c r="V24" i="31" s="1"/>
  <c r="L26" i="31"/>
  <c r="L25" i="31" s="1"/>
  <c r="L5" i="21"/>
  <c r="G52" i="21"/>
  <c r="L30" i="21"/>
  <c r="J52" i="21"/>
  <c r="L80" i="21"/>
  <c r="L85" i="21"/>
  <c r="J3" i="21"/>
  <c r="E31" i="21"/>
  <c r="L46" i="21"/>
  <c r="H80" i="21"/>
  <c r="H79" i="21" s="1"/>
  <c r="L79" i="21" s="1"/>
  <c r="H82" i="21"/>
  <c r="H81" i="21" s="1"/>
  <c r="L81" i="21" s="1"/>
  <c r="L6" i="21"/>
  <c r="L9" i="21"/>
  <c r="H21" i="21"/>
  <c r="H20" i="21" s="1"/>
  <c r="H23" i="21"/>
  <c r="H22" i="21" s="1"/>
  <c r="L22" i="21" s="1"/>
  <c r="H24" i="21"/>
  <c r="L24" i="21" s="1"/>
  <c r="H26" i="21"/>
  <c r="H25" i="21" s="1"/>
  <c r="L25" i="21" s="1"/>
  <c r="H28" i="21"/>
  <c r="H27" i="21" s="1"/>
  <c r="L27" i="21" s="1"/>
  <c r="H31" i="21"/>
  <c r="F52" i="21"/>
  <c r="F3" i="21" s="1"/>
  <c r="H72" i="21"/>
  <c r="H71" i="21" s="1"/>
  <c r="E81" i="26"/>
  <c r="S5" i="26"/>
  <c r="G85" i="26"/>
  <c r="K85" i="26"/>
  <c r="O85" i="26"/>
  <c r="S45" i="26"/>
  <c r="G21" i="26"/>
  <c r="G20" i="26" s="1"/>
  <c r="K21" i="26"/>
  <c r="K20" i="26" s="1"/>
  <c r="O21" i="26"/>
  <c r="O20" i="26" s="1"/>
  <c r="E23" i="26"/>
  <c r="I23" i="26"/>
  <c r="F24" i="26"/>
  <c r="F22" i="26" s="1"/>
  <c r="J24" i="26"/>
  <c r="J22" i="26" s="1"/>
  <c r="L26" i="26"/>
  <c r="L25" i="26" s="1"/>
  <c r="P26" i="26"/>
  <c r="P25" i="26" s="1"/>
  <c r="F28" i="26"/>
  <c r="F27" i="26" s="1"/>
  <c r="J28" i="26"/>
  <c r="J27" i="26" s="1"/>
  <c r="L30" i="26"/>
  <c r="P30" i="26"/>
  <c r="G71" i="26"/>
  <c r="E73" i="26"/>
  <c r="E79" i="26"/>
  <c r="S79" i="26" s="1"/>
  <c r="L82" i="26"/>
  <c r="L81" i="26" s="1"/>
  <c r="L52" i="26" s="1"/>
  <c r="P82" i="26"/>
  <c r="P81" i="26" s="1"/>
  <c r="P52" i="26" s="1"/>
  <c r="E89" i="26"/>
  <c r="S89" i="26" s="1"/>
  <c r="K101" i="26"/>
  <c r="S101" i="26" s="1"/>
  <c r="F21" i="26"/>
  <c r="F20" i="26" s="1"/>
  <c r="J21" i="26"/>
  <c r="J20" i="26" s="1"/>
  <c r="L23" i="26"/>
  <c r="P23" i="26"/>
  <c r="E24" i="26"/>
  <c r="I24" i="26"/>
  <c r="G26" i="26"/>
  <c r="G25" i="26" s="1"/>
  <c r="K26" i="26"/>
  <c r="K25" i="26" s="1"/>
  <c r="O26" i="26"/>
  <c r="O25" i="26" s="1"/>
  <c r="E28" i="26"/>
  <c r="I28" i="26"/>
  <c r="I27" i="26" s="1"/>
  <c r="G30" i="26"/>
  <c r="K30" i="26"/>
  <c r="O30" i="26"/>
  <c r="S76" i="26"/>
  <c r="G82" i="26"/>
  <c r="G81" i="26" s="1"/>
  <c r="K82" i="26"/>
  <c r="K81" i="26" s="1"/>
  <c r="K52" i="26" s="1"/>
  <c r="O82" i="26"/>
  <c r="O81" i="26" s="1"/>
  <c r="E21" i="26"/>
  <c r="I21" i="26"/>
  <c r="I20" i="26" s="1"/>
  <c r="G23" i="26"/>
  <c r="K23" i="26"/>
  <c r="O23" i="26"/>
  <c r="L24" i="26"/>
  <c r="P24" i="26"/>
  <c r="F26" i="26"/>
  <c r="F25" i="26" s="1"/>
  <c r="J26" i="26"/>
  <c r="J25" i="26" s="1"/>
  <c r="L28" i="26"/>
  <c r="L27" i="26" s="1"/>
  <c r="P28" i="26"/>
  <c r="P27" i="26" s="1"/>
  <c r="F30" i="26"/>
  <c r="J30" i="26"/>
  <c r="F82" i="26"/>
  <c r="F81" i="26" s="1"/>
  <c r="F52" i="26" s="1"/>
  <c r="J82" i="26"/>
  <c r="J81" i="26" s="1"/>
  <c r="J52" i="26" s="1"/>
  <c r="E15" i="26"/>
  <c r="S16" i="26"/>
  <c r="G24" i="26"/>
  <c r="K24" i="26"/>
  <c r="O24" i="26"/>
  <c r="E26" i="26"/>
  <c r="I26" i="26"/>
  <c r="I25" i="26" s="1"/>
  <c r="E30" i="26"/>
  <c r="I30" i="26"/>
  <c r="X5" i="32"/>
  <c r="AC5" i="32" s="1"/>
  <c r="I4" i="32"/>
  <c r="I7" i="32" s="1"/>
  <c r="K5" i="32"/>
  <c r="P5" i="32" s="1"/>
  <c r="AD5" i="32" s="1"/>
  <c r="V6" i="32"/>
  <c r="V4" i="32"/>
  <c r="V7" i="32" s="1"/>
  <c r="T3" i="32"/>
  <c r="X3" i="32" s="1"/>
  <c r="AC3" i="32" s="1"/>
  <c r="I6" i="32"/>
  <c r="K3" i="32"/>
  <c r="P3" i="32" s="1"/>
  <c r="W6" i="32"/>
  <c r="G4" i="32"/>
  <c r="G7" i="32" s="1"/>
  <c r="T6" i="32"/>
  <c r="J4" i="32"/>
  <c r="W4" i="32"/>
  <c r="W7" i="32" s="1"/>
  <c r="G6" i="32"/>
  <c r="S6" i="32"/>
  <c r="J6" i="32"/>
  <c r="E8" i="21" l="1"/>
  <c r="I3" i="24"/>
  <c r="P3" i="31"/>
  <c r="J7" i="32"/>
  <c r="L22" i="26"/>
  <c r="L4" i="26" s="1"/>
  <c r="L3" i="26" s="1"/>
  <c r="L82" i="21"/>
  <c r="W85" i="25"/>
  <c r="M89" i="24"/>
  <c r="O52" i="26"/>
  <c r="E85" i="26"/>
  <c r="H52" i="21"/>
  <c r="V81" i="31"/>
  <c r="V26" i="31"/>
  <c r="W73" i="25"/>
  <c r="T3" i="25"/>
  <c r="O4" i="20"/>
  <c r="O3" i="20" s="1"/>
  <c r="G52" i="20"/>
  <c r="V47" i="20"/>
  <c r="G4" i="22"/>
  <c r="G3" i="22"/>
  <c r="K3" i="25"/>
  <c r="V72" i="20"/>
  <c r="V14" i="20"/>
  <c r="E13" i="20"/>
  <c r="V13" i="20" s="1"/>
  <c r="E4" i="25"/>
  <c r="G10" i="21"/>
  <c r="G8" i="21" s="1"/>
  <c r="G4" i="21" s="1"/>
  <c r="G3" i="21" s="1"/>
  <c r="W8" i="25"/>
  <c r="I3" i="21"/>
  <c r="L76" i="21"/>
  <c r="L13" i="21"/>
  <c r="G4" i="20"/>
  <c r="S30" i="26"/>
  <c r="G22" i="26"/>
  <c r="G4" i="26" s="1"/>
  <c r="G3" i="26" s="1"/>
  <c r="G52" i="26"/>
  <c r="L23" i="21"/>
  <c r="F4" i="31"/>
  <c r="F3" i="31" s="1"/>
  <c r="K4" i="20"/>
  <c r="S52" i="20"/>
  <c r="U22" i="20"/>
  <c r="U4" i="20" s="1"/>
  <c r="U3" i="20" s="1"/>
  <c r="V79" i="20"/>
  <c r="F52" i="20"/>
  <c r="V15" i="20"/>
  <c r="G3" i="25"/>
  <c r="Q3" i="31"/>
  <c r="S74" i="26"/>
  <c r="H3" i="26"/>
  <c r="L12" i="21"/>
  <c r="F13" i="26"/>
  <c r="S12" i="26"/>
  <c r="Q3" i="26"/>
  <c r="J11" i="22"/>
  <c r="E10" i="22"/>
  <c r="S11" i="26"/>
  <c r="E10" i="26"/>
  <c r="V25" i="31"/>
  <c r="R3" i="31"/>
  <c r="V29" i="20"/>
  <c r="K4" i="21"/>
  <c r="K3" i="21" s="1"/>
  <c r="G13" i="31"/>
  <c r="V13" i="31" s="1"/>
  <c r="L11" i="21"/>
  <c r="V29" i="31"/>
  <c r="H10" i="21"/>
  <c r="H8" i="21" s="1"/>
  <c r="H4" i="21" s="1"/>
  <c r="H3" i="21" s="1"/>
  <c r="L75" i="21"/>
  <c r="E52" i="21"/>
  <c r="M53" i="24"/>
  <c r="E4" i="24"/>
  <c r="M27" i="24"/>
  <c r="E85" i="24"/>
  <c r="J89" i="22"/>
  <c r="E85" i="22"/>
  <c r="J85" i="22" s="1"/>
  <c r="V26" i="20"/>
  <c r="E25" i="20"/>
  <c r="V25" i="20" s="1"/>
  <c r="E22" i="20"/>
  <c r="V23" i="20"/>
  <c r="V89" i="20"/>
  <c r="E85" i="20"/>
  <c r="V85" i="20" s="1"/>
  <c r="E20" i="20"/>
  <c r="V20" i="20" s="1"/>
  <c r="V21" i="20"/>
  <c r="V30" i="20"/>
  <c r="S4" i="20"/>
  <c r="S3" i="20" s="1"/>
  <c r="L4" i="20"/>
  <c r="L3" i="20" s="1"/>
  <c r="M22" i="20"/>
  <c r="M4" i="20" s="1"/>
  <c r="M3" i="20" s="1"/>
  <c r="V81" i="20"/>
  <c r="V24" i="20"/>
  <c r="Q22" i="20"/>
  <c r="Q4" i="20" s="1"/>
  <c r="Q3" i="20" s="1"/>
  <c r="F22" i="20"/>
  <c r="F4" i="20" s="1"/>
  <c r="F3" i="20" s="1"/>
  <c r="V28" i="20"/>
  <c r="E27" i="20"/>
  <c r="V27" i="20" s="1"/>
  <c r="V71" i="20"/>
  <c r="E52" i="20"/>
  <c r="V52" i="20" s="1"/>
  <c r="V8" i="20"/>
  <c r="J22" i="20"/>
  <c r="I22" i="20"/>
  <c r="I4" i="20" s="1"/>
  <c r="I3" i="20" s="1"/>
  <c r="N22" i="20"/>
  <c r="N4" i="20"/>
  <c r="N3" i="20" s="1"/>
  <c r="V82" i="20"/>
  <c r="K3" i="20"/>
  <c r="J4" i="20"/>
  <c r="J3" i="20" s="1"/>
  <c r="R22" i="20"/>
  <c r="R4" i="20" s="1"/>
  <c r="R3" i="20" s="1"/>
  <c r="H52" i="25"/>
  <c r="H3" i="25" s="1"/>
  <c r="V71" i="31"/>
  <c r="E52" i="31"/>
  <c r="V52" i="31" s="1"/>
  <c r="V47" i="31"/>
  <c r="V20" i="31"/>
  <c r="V10" i="31"/>
  <c r="V21" i="31"/>
  <c r="V82" i="31"/>
  <c r="I3" i="31"/>
  <c r="E4" i="31"/>
  <c r="V28" i="31"/>
  <c r="V8" i="31"/>
  <c r="V23" i="31"/>
  <c r="M3" i="31"/>
  <c r="V31" i="31"/>
  <c r="L22" i="31"/>
  <c r="L4" i="31" s="1"/>
  <c r="L3" i="31" s="1"/>
  <c r="L31" i="21"/>
  <c r="L26" i="21"/>
  <c r="L71" i="21"/>
  <c r="L28" i="21"/>
  <c r="L20" i="21"/>
  <c r="L21" i="21"/>
  <c r="L72" i="21"/>
  <c r="L52" i="21"/>
  <c r="S15" i="26"/>
  <c r="E13" i="26"/>
  <c r="S28" i="26"/>
  <c r="E27" i="26"/>
  <c r="S27" i="26" s="1"/>
  <c r="S73" i="26"/>
  <c r="E52" i="26"/>
  <c r="S52" i="26" s="1"/>
  <c r="E25" i="26"/>
  <c r="S25" i="26" s="1"/>
  <c r="S26" i="26"/>
  <c r="E20" i="26"/>
  <c r="S20" i="26" s="1"/>
  <c r="S21" i="26"/>
  <c r="E22" i="26"/>
  <c r="S23" i="26"/>
  <c r="S24" i="26"/>
  <c r="K22" i="26"/>
  <c r="K4" i="26" s="1"/>
  <c r="K3" i="26" s="1"/>
  <c r="J4" i="26"/>
  <c r="J3" i="26" s="1"/>
  <c r="S85" i="26"/>
  <c r="O22" i="26"/>
  <c r="O4" i="26" s="1"/>
  <c r="O3" i="26" s="1"/>
  <c r="P22" i="26"/>
  <c r="P4" i="26" s="1"/>
  <c r="P3" i="26" s="1"/>
  <c r="I22" i="26"/>
  <c r="I4" i="26" s="1"/>
  <c r="I3" i="26" s="1"/>
  <c r="S71" i="26"/>
  <c r="S81" i="26"/>
  <c r="F4" i="26"/>
  <c r="F3" i="26" s="1"/>
  <c r="S82" i="26"/>
  <c r="T4" i="32"/>
  <c r="T7" i="32" s="1"/>
  <c r="AD3" i="32"/>
  <c r="K4" i="32"/>
  <c r="AC6" i="32"/>
  <c r="X6" i="32"/>
  <c r="AC4" i="32"/>
  <c r="AC7" i="32" s="1"/>
  <c r="X4" i="32"/>
  <c r="X7" i="32" s="1"/>
  <c r="S10" i="26" l="1"/>
  <c r="E8" i="26"/>
  <c r="S8" i="26" s="1"/>
  <c r="K7" i="32"/>
  <c r="W4" i="25"/>
  <c r="E3" i="25"/>
  <c r="W3" i="25" s="1"/>
  <c r="L8" i="21"/>
  <c r="E4" i="21"/>
  <c r="J10" i="22"/>
  <c r="E8" i="22"/>
  <c r="G3" i="20"/>
  <c r="G4" i="31"/>
  <c r="G3" i="31" s="1"/>
  <c r="L10" i="21"/>
  <c r="M4" i="24"/>
  <c r="M85" i="24"/>
  <c r="E52" i="24"/>
  <c r="M52" i="24" s="1"/>
  <c r="E52" i="22"/>
  <c r="V22" i="20"/>
  <c r="E4" i="20"/>
  <c r="W52" i="25"/>
  <c r="V22" i="31"/>
  <c r="E3" i="31"/>
  <c r="S13" i="26"/>
  <c r="E4" i="26"/>
  <c r="S22" i="26"/>
  <c r="K6" i="32"/>
  <c r="P4" i="32"/>
  <c r="AD4" i="32"/>
  <c r="V3" i="31" l="1"/>
  <c r="AD7" i="32"/>
  <c r="E3" i="21"/>
  <c r="L3" i="21" s="1"/>
  <c r="L4" i="21"/>
  <c r="V4" i="31"/>
  <c r="J8" i="22"/>
  <c r="E4" i="22"/>
  <c r="J4" i="22" s="1"/>
  <c r="E3" i="24"/>
  <c r="M3" i="24" s="1"/>
  <c r="J52" i="22"/>
  <c r="E3" i="22"/>
  <c r="J3" i="22" s="1"/>
  <c r="V4" i="20"/>
  <c r="E3" i="20"/>
  <c r="V3" i="20" s="1"/>
  <c r="E3" i="26"/>
  <c r="S3" i="26" s="1"/>
  <c r="S4" i="26"/>
  <c r="AD6" i="32"/>
  <c r="P6" i="32"/>
  <c r="P7" i="32" s="1"/>
  <c r="F111" i="30" l="1"/>
  <c r="G111" i="30"/>
  <c r="H111" i="30"/>
  <c r="I111" i="30"/>
  <c r="J111" i="30"/>
  <c r="K111" i="30"/>
  <c r="L111" i="30"/>
  <c r="M111" i="30"/>
  <c r="E111" i="30"/>
  <c r="F110" i="30"/>
  <c r="G110" i="30"/>
  <c r="H110" i="30"/>
  <c r="I110" i="30"/>
  <c r="J110" i="30"/>
  <c r="K110" i="30"/>
  <c r="L110" i="30"/>
  <c r="M110" i="30"/>
  <c r="E110" i="30"/>
  <c r="N109" i="30" l="1"/>
  <c r="N108" i="30"/>
  <c r="N107" i="30"/>
  <c r="N106" i="30"/>
  <c r="N105" i="30"/>
  <c r="N104" i="30"/>
  <c r="N103" i="30"/>
  <c r="N102" i="30"/>
  <c r="N100" i="30"/>
  <c r="N99" i="30"/>
  <c r="N98" i="30"/>
  <c r="N97" i="30"/>
  <c r="N96" i="30"/>
  <c r="N95" i="30"/>
  <c r="N94" i="30"/>
  <c r="N92" i="30"/>
  <c r="N88" i="30"/>
  <c r="N87" i="30"/>
  <c r="N84" i="30"/>
  <c r="N83" i="30"/>
  <c r="N79" i="30"/>
  <c r="N78" i="30"/>
  <c r="N70" i="30"/>
  <c r="N69" i="30"/>
  <c r="N68" i="30"/>
  <c r="N67" i="30"/>
  <c r="N66" i="30"/>
  <c r="N65" i="30"/>
  <c r="N64" i="30"/>
  <c r="N63" i="30"/>
  <c r="N62" i="30"/>
  <c r="N61" i="30"/>
  <c r="N60" i="30"/>
  <c r="N59" i="30"/>
  <c r="N58" i="30"/>
  <c r="N57" i="30"/>
  <c r="N56" i="30"/>
  <c r="N55" i="30"/>
  <c r="N53" i="30"/>
  <c r="N51" i="30"/>
  <c r="N50" i="30"/>
  <c r="N49" i="30"/>
  <c r="N48" i="30"/>
  <c r="N46" i="30"/>
  <c r="N44" i="30"/>
  <c r="N43" i="30"/>
  <c r="N41" i="30"/>
  <c r="N39" i="30"/>
  <c r="N38" i="30"/>
  <c r="N37" i="30"/>
  <c r="N36" i="30"/>
  <c r="N35" i="30"/>
  <c r="N34" i="30"/>
  <c r="N33" i="30"/>
  <c r="N32" i="30"/>
  <c r="N29" i="30"/>
  <c r="P29" i="30" s="1"/>
  <c r="N19" i="30"/>
  <c r="P19" i="30" s="1"/>
  <c r="N17" i="30"/>
  <c r="P17" i="30" s="1"/>
  <c r="N15" i="30"/>
  <c r="P15" i="30" s="1"/>
  <c r="N11" i="30"/>
  <c r="P11" i="30" s="1"/>
  <c r="N9" i="30"/>
  <c r="P9" i="30" s="1"/>
  <c r="N7" i="30"/>
  <c r="P7" i="30" s="1"/>
  <c r="N6" i="30"/>
  <c r="P6" i="30" s="1"/>
  <c r="D119" i="17"/>
  <c r="G118" i="17"/>
  <c r="G117" i="17"/>
  <c r="G116" i="17"/>
  <c r="G115" i="17"/>
  <c r="G114" i="17"/>
  <c r="G113" i="17"/>
  <c r="G112" i="17"/>
  <c r="G111" i="17"/>
  <c r="G110" i="17"/>
  <c r="G109" i="17"/>
  <c r="D108" i="17"/>
  <c r="G107" i="17"/>
  <c r="G106" i="17"/>
  <c r="G105" i="17"/>
  <c r="G104" i="17"/>
  <c r="G103" i="17"/>
  <c r="G102" i="17"/>
  <c r="G101" i="17"/>
  <c r="G100" i="17"/>
  <c r="G99" i="17"/>
  <c r="G98" i="17"/>
  <c r="G97" i="17"/>
  <c r="G96" i="17"/>
  <c r="G95" i="17"/>
  <c r="G94" i="17"/>
  <c r="D93" i="17"/>
  <c r="G92" i="17"/>
  <c r="G91" i="17"/>
  <c r="G90" i="17"/>
  <c r="G89" i="17"/>
  <c r="G88" i="17"/>
  <c r="G87" i="17"/>
  <c r="G86" i="17"/>
  <c r="G85" i="17"/>
  <c r="D84" i="17"/>
  <c r="G83" i="17"/>
  <c r="G82" i="17"/>
  <c r="G81" i="17"/>
  <c r="G80" i="17"/>
  <c r="G79" i="17"/>
  <c r="G78" i="17"/>
  <c r="G77" i="17"/>
  <c r="G76" i="17"/>
  <c r="G75" i="17"/>
  <c r="G74" i="17"/>
  <c r="G73" i="17"/>
  <c r="G72" i="17"/>
  <c r="G84" i="17" s="1"/>
  <c r="D71" i="17"/>
  <c r="G70" i="17"/>
  <c r="G69" i="17"/>
  <c r="G68" i="17"/>
  <c r="G67" i="17"/>
  <c r="G66" i="17"/>
  <c r="G65" i="17"/>
  <c r="G64" i="17"/>
  <c r="G63" i="17"/>
  <c r="G62" i="17"/>
  <c r="G61" i="17"/>
  <c r="G60" i="17"/>
  <c r="G59" i="17"/>
  <c r="G58" i="17"/>
  <c r="G57" i="17"/>
  <c r="G56" i="17"/>
  <c r="G55" i="17"/>
  <c r="G54" i="17"/>
  <c r="G53" i="17"/>
  <c r="D52" i="17"/>
  <c r="G51" i="17"/>
  <c r="G50" i="17"/>
  <c r="G49" i="17"/>
  <c r="G48" i="17"/>
  <c r="G47" i="17"/>
  <c r="G46" i="17"/>
  <c r="G45" i="17"/>
  <c r="G44" i="17"/>
  <c r="G43" i="17"/>
  <c r="G42" i="17"/>
  <c r="G41" i="17"/>
  <c r="G40" i="17"/>
  <c r="G39" i="17"/>
  <c r="G38" i="17"/>
  <c r="G37" i="17"/>
  <c r="G36" i="17"/>
  <c r="G35" i="17"/>
  <c r="D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D16" i="17"/>
  <c r="G15" i="17"/>
  <c r="G14" i="17"/>
  <c r="G13" i="17"/>
  <c r="G12" i="17"/>
  <c r="G11" i="17"/>
  <c r="G10" i="17"/>
  <c r="G9" i="17"/>
  <c r="D8" i="17"/>
  <c r="G7" i="17"/>
  <c r="G6" i="17"/>
  <c r="G5" i="17"/>
  <c r="G4" i="17"/>
  <c r="G3" i="17"/>
  <c r="G119" i="17" l="1"/>
  <c r="G34" i="17"/>
  <c r="D120" i="17"/>
  <c r="G16" i="17"/>
  <c r="G52" i="17"/>
  <c r="G8" i="17"/>
  <c r="G71" i="17"/>
  <c r="G120" i="17" s="1"/>
  <c r="G93" i="17"/>
  <c r="G108" i="17"/>
  <c r="N12" i="30"/>
  <c r="P12" i="30" s="1"/>
  <c r="N31" i="30"/>
  <c r="P31" i="30" s="1"/>
  <c r="N45" i="30"/>
  <c r="N74" i="30"/>
  <c r="N76" i="30"/>
  <c r="N89" i="30"/>
  <c r="N93" i="30"/>
  <c r="N101" i="30"/>
  <c r="N40" i="30"/>
  <c r="N47" i="30"/>
  <c r="N54" i="30"/>
  <c r="N86" i="30"/>
  <c r="N80" i="30"/>
  <c r="N91" i="30"/>
  <c r="N5" i="30"/>
  <c r="P5" i="30" s="1"/>
  <c r="N14" i="30"/>
  <c r="P14" i="30" s="1"/>
  <c r="N18" i="30"/>
  <c r="P18" i="30" s="1"/>
  <c r="N42" i="30"/>
  <c r="N75" i="30"/>
  <c r="N77" i="30"/>
  <c r="N90" i="30"/>
  <c r="N27" i="30"/>
  <c r="P27" i="30" s="1"/>
  <c r="N82" i="30"/>
  <c r="N73" i="30"/>
  <c r="N81" i="30"/>
  <c r="N24" i="30"/>
  <c r="P24" i="30" s="1"/>
  <c r="N25" i="30"/>
  <c r="P25" i="30" s="1"/>
  <c r="N13" i="30"/>
  <c r="P13" i="30" s="1"/>
  <c r="N16" i="30"/>
  <c r="P16" i="30" s="1"/>
  <c r="N30" i="30"/>
  <c r="P30" i="30" s="1"/>
  <c r="N20" i="30"/>
  <c r="P20" i="30" s="1"/>
  <c r="N22" i="30" l="1"/>
  <c r="P22" i="30" s="1"/>
  <c r="N72" i="30"/>
  <c r="N23" i="30"/>
  <c r="P23" i="30" s="1"/>
  <c r="N85" i="30"/>
  <c r="N21" i="30"/>
  <c r="P21" i="30" s="1"/>
  <c r="N28" i="30"/>
  <c r="P28" i="30" s="1"/>
  <c r="N26" i="30"/>
  <c r="P26" i="30" s="1"/>
  <c r="N10" i="30"/>
  <c r="P10" i="30" s="1"/>
  <c r="N71" i="30" l="1"/>
  <c r="N52" i="30"/>
  <c r="P52" i="30" s="1"/>
  <c r="N8" i="30"/>
  <c r="N110" i="30" l="1"/>
  <c r="P8" i="30"/>
  <c r="N3" i="30"/>
  <c r="P3" i="30" s="1"/>
  <c r="N4" i="30"/>
  <c r="N111" i="30" l="1"/>
  <c r="P4" i="30"/>
  <c r="C13" i="3"/>
  <c r="B13" i="2"/>
  <c r="C12" i="2"/>
  <c r="C11" i="2"/>
  <c r="C10" i="2"/>
  <c r="C9" i="2"/>
  <c r="C8" i="2"/>
  <c r="C7" i="2"/>
  <c r="C6" i="2"/>
  <c r="C5" i="2"/>
  <c r="C4" i="2"/>
  <c r="C3" i="2"/>
  <c r="C13" i="2" l="1"/>
</calcChain>
</file>

<file path=xl/comments1.xml><?xml version="1.0" encoding="utf-8"?>
<comments xmlns="http://schemas.openxmlformats.org/spreadsheetml/2006/main">
  <authors>
    <author>User</author>
  </authors>
  <commentList>
    <comment ref="J68" author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1596000*15%</t>
        </r>
      </text>
    </comment>
  </commentList>
</comments>
</file>

<file path=xl/sharedStrings.xml><?xml version="1.0" encoding="utf-8"?>
<sst xmlns="http://schemas.openxmlformats.org/spreadsheetml/2006/main" count="4177" uniqueCount="607">
  <si>
    <t>序号</t>
  </si>
  <si>
    <t>莘庄</t>
  </si>
  <si>
    <t>华漕</t>
  </si>
  <si>
    <t>合计</t>
    <phoneticPr fontId="1" type="noConversion"/>
  </si>
  <si>
    <t>镇属</t>
    <phoneticPr fontId="1" type="noConversion"/>
  </si>
  <si>
    <t>吴泾</t>
  </si>
  <si>
    <t>七宝</t>
  </si>
  <si>
    <t>浦江</t>
  </si>
  <si>
    <t>梅陇</t>
  </si>
  <si>
    <t>马桥</t>
  </si>
  <si>
    <t>颛桥</t>
  </si>
  <si>
    <t>虹桥</t>
  </si>
  <si>
    <t>工业区</t>
  </si>
  <si>
    <t>序号</t>
    <phoneticPr fontId="2" type="noConversion"/>
  </si>
  <si>
    <t>华漕镇社区学校</t>
    <phoneticPr fontId="2" type="noConversion"/>
  </si>
  <si>
    <t>虹桥镇社区学校</t>
    <phoneticPr fontId="2" type="noConversion"/>
  </si>
  <si>
    <t>七宝镇社区学校</t>
    <phoneticPr fontId="2" type="noConversion"/>
  </si>
  <si>
    <t>莘庄镇社区学校</t>
    <phoneticPr fontId="2" type="noConversion"/>
  </si>
  <si>
    <t>梅陇镇社区学校</t>
    <phoneticPr fontId="2" type="noConversion"/>
  </si>
  <si>
    <t>颛桥镇社区学校</t>
    <phoneticPr fontId="2" type="noConversion"/>
  </si>
  <si>
    <t>马桥镇社区学校</t>
    <phoneticPr fontId="2" type="noConversion"/>
  </si>
  <si>
    <t>吴泾镇社区学校</t>
    <phoneticPr fontId="2" type="noConversion"/>
  </si>
  <si>
    <t>浦江镇社区学校</t>
    <phoneticPr fontId="2" type="noConversion"/>
  </si>
  <si>
    <t>莘庄工业区社区学校</t>
    <phoneticPr fontId="2" type="noConversion"/>
  </si>
  <si>
    <t>镇级合计</t>
    <phoneticPr fontId="2" type="noConversion"/>
  </si>
  <si>
    <t>合计</t>
  </si>
  <si>
    <t>佳佳中心幼</t>
  </si>
  <si>
    <t>康城幼儿园</t>
  </si>
  <si>
    <t>闵行实验幼</t>
  </si>
  <si>
    <t>莘庄社校</t>
  </si>
  <si>
    <t>莘庄合计</t>
    <phoneticPr fontId="1" type="noConversion"/>
  </si>
  <si>
    <t>友爱中学</t>
  </si>
  <si>
    <t>景东小学</t>
  </si>
  <si>
    <t>永德实小</t>
  </si>
  <si>
    <t>塘湾中心幼</t>
  </si>
  <si>
    <t>吴泾三幼园</t>
  </si>
  <si>
    <t>永德实验幼</t>
  </si>
  <si>
    <t>吴泾社校</t>
  </si>
  <si>
    <t>航华中学</t>
  </si>
  <si>
    <t>航华二中</t>
  </si>
  <si>
    <t>七宝二中</t>
  </si>
  <si>
    <t>七宝实中</t>
  </si>
  <si>
    <t>七宝三中</t>
  </si>
  <si>
    <t>航华二小</t>
  </si>
  <si>
    <t>明强小学</t>
  </si>
  <si>
    <t>黎明小学</t>
  </si>
  <si>
    <t>七宝实小</t>
  </si>
  <si>
    <t>明强二小</t>
  </si>
  <si>
    <t>航华二幼园</t>
  </si>
  <si>
    <t>七宝中心幼</t>
  </si>
  <si>
    <t>星辰幼儿园</t>
  </si>
  <si>
    <t>春欣幼儿园</t>
  </si>
  <si>
    <t>七宝实验幼</t>
  </si>
  <si>
    <t>七宝社校</t>
  </si>
  <si>
    <t>浦江二中</t>
  </si>
  <si>
    <t>浦江三中</t>
  </si>
  <si>
    <t>浦江二小</t>
  </si>
  <si>
    <t>浦江三小</t>
  </si>
  <si>
    <t>上戏附小</t>
  </si>
  <si>
    <t>浦汇小学</t>
  </si>
  <si>
    <t>汇秀小学</t>
  </si>
  <si>
    <t>浦江二幼园</t>
  </si>
  <si>
    <t>浦江三幼园</t>
  </si>
  <si>
    <t>闸航路幼园</t>
  </si>
  <si>
    <t>浦江宝邸幼</t>
  </si>
  <si>
    <t>浦莲幼儿园</t>
  </si>
  <si>
    <t>浦江瑞和城幼</t>
  </si>
  <si>
    <t>浦航幼儿园</t>
  </si>
  <si>
    <t>浦江社校</t>
  </si>
  <si>
    <t>梅陇中学</t>
  </si>
  <si>
    <t>罗阳中学</t>
  </si>
  <si>
    <t>曹行中学</t>
  </si>
  <si>
    <t>晶城中学</t>
  </si>
  <si>
    <t>梅陇小学</t>
  </si>
  <si>
    <t>罗阳小学</t>
  </si>
  <si>
    <t>蔷薇小学</t>
  </si>
  <si>
    <t>曹行小学</t>
  </si>
  <si>
    <t>梅陇中心幼</t>
  </si>
  <si>
    <t>曹行中心幼</t>
  </si>
  <si>
    <t>春申景城幼</t>
  </si>
  <si>
    <t>罗阳河畔幼</t>
  </si>
  <si>
    <t>晶采坊幼园</t>
  </si>
  <si>
    <t>晶华坊幼园</t>
  </si>
  <si>
    <t>梅陇金都幼</t>
  </si>
  <si>
    <t>梅陇社校</t>
  </si>
  <si>
    <t>马桥万科</t>
  </si>
  <si>
    <t>强恕学校</t>
    <phoneticPr fontId="1" type="noConversion"/>
  </si>
  <si>
    <t>马桥实小</t>
  </si>
  <si>
    <t>文来外小</t>
  </si>
  <si>
    <t>马桥中心幼</t>
  </si>
  <si>
    <t>马桥元祥园</t>
  </si>
  <si>
    <t>马桥实验幼</t>
  </si>
  <si>
    <t>马桥富杰幼</t>
  </si>
  <si>
    <t>马桥启英幼</t>
  </si>
  <si>
    <t>马桥富卓幼</t>
  </si>
  <si>
    <t>马桥社校</t>
  </si>
  <si>
    <t>马桥合计</t>
    <phoneticPr fontId="1" type="noConversion"/>
  </si>
  <si>
    <t>纪王学校</t>
    <phoneticPr fontId="1" type="noConversion"/>
  </si>
  <si>
    <t>华漕纪王幼</t>
  </si>
  <si>
    <t>诸翟中心幼</t>
  </si>
  <si>
    <t>华漕中心幼</t>
  </si>
  <si>
    <t>华漕金色幼</t>
  </si>
  <si>
    <t>华漕社校</t>
  </si>
  <si>
    <t>华漕合计</t>
    <phoneticPr fontId="1" type="noConversion"/>
  </si>
  <si>
    <t>颛桥中学</t>
  </si>
  <si>
    <t>北桥中学</t>
  </si>
  <si>
    <t>田园外中</t>
  </si>
  <si>
    <t>颛桥小学</t>
  </si>
  <si>
    <t>田园外小</t>
  </si>
  <si>
    <t>北桥小学</t>
  </si>
  <si>
    <t>田园二小</t>
  </si>
  <si>
    <t>颛桥幼儿园</t>
  </si>
  <si>
    <t>颛桥一幼园</t>
  </si>
  <si>
    <t>君莲幼儿园</t>
  </si>
  <si>
    <t>上师闵行幼</t>
  </si>
  <si>
    <t>田园都市幼</t>
  </si>
  <si>
    <t>颛桥社校</t>
  </si>
  <si>
    <t>虹桥</t>
    <phoneticPr fontId="1" type="noConversion"/>
  </si>
  <si>
    <t>上虹中学</t>
  </si>
  <si>
    <t>龙柏中学</t>
  </si>
  <si>
    <t>虹桥小学</t>
  </si>
  <si>
    <t>龙柏一小</t>
  </si>
  <si>
    <t>虹桥中心幼</t>
  </si>
  <si>
    <t>虹鹿幼儿园</t>
  </si>
  <si>
    <t>龙柏一幼园</t>
  </si>
  <si>
    <t>龙柏二幼园</t>
  </si>
  <si>
    <t>虹桥社校</t>
  </si>
  <si>
    <t>虹桥合计</t>
    <phoneticPr fontId="1" type="noConversion"/>
  </si>
  <si>
    <t>工资福利支出</t>
  </si>
  <si>
    <t>莘庄</t>
    <phoneticPr fontId="1" type="noConversion"/>
  </si>
  <si>
    <t>七宝</t>
    <phoneticPr fontId="1" type="noConversion"/>
  </si>
  <si>
    <t>浦江</t>
    <phoneticPr fontId="1" type="noConversion"/>
  </si>
  <si>
    <t>马桥</t>
    <phoneticPr fontId="1" type="noConversion"/>
  </si>
  <si>
    <t>梅陇</t>
    <phoneticPr fontId="1" type="noConversion"/>
  </si>
  <si>
    <t>社区教育</t>
    <phoneticPr fontId="1" type="noConversion"/>
  </si>
  <si>
    <t>人数</t>
    <phoneticPr fontId="1" type="noConversion"/>
  </si>
  <si>
    <t>金额（3元/人）</t>
    <phoneticPr fontId="1" type="noConversion"/>
  </si>
  <si>
    <t>“1+14+14”社区教育志愿者联盟</t>
    <phoneticPr fontId="2" type="noConversion"/>
  </si>
  <si>
    <t>学校</t>
    <phoneticPr fontId="2" type="noConversion"/>
  </si>
  <si>
    <t>金额</t>
    <phoneticPr fontId="2" type="noConversion"/>
  </si>
  <si>
    <t>属性</t>
    <phoneticPr fontId="1" type="noConversion"/>
  </si>
  <si>
    <t>标准</t>
    <phoneticPr fontId="1" type="noConversion"/>
  </si>
  <si>
    <t>预计增量</t>
    <phoneticPr fontId="1" type="noConversion"/>
  </si>
  <si>
    <t>2021年镇管学校绩效估算</t>
    <phoneticPr fontId="1" type="noConversion"/>
  </si>
  <si>
    <t>学校</t>
    <phoneticPr fontId="1" type="noConversion"/>
  </si>
  <si>
    <t>预计总量</t>
    <phoneticPr fontId="1" type="noConversion"/>
  </si>
  <si>
    <t>九年一贯</t>
    <phoneticPr fontId="1" type="noConversion"/>
  </si>
  <si>
    <t xml:space="preserve">明星学校
</t>
    <phoneticPr fontId="1" type="noConversion"/>
  </si>
  <si>
    <t>幼儿园</t>
    <phoneticPr fontId="1" type="noConversion"/>
  </si>
  <si>
    <t>其他</t>
    <phoneticPr fontId="1" type="noConversion"/>
  </si>
  <si>
    <t>吴泾</t>
    <phoneticPr fontId="1" type="noConversion"/>
  </si>
  <si>
    <t>初中</t>
    <phoneticPr fontId="1" type="noConversion"/>
  </si>
  <si>
    <t>小学</t>
    <phoneticPr fontId="1" type="noConversion"/>
  </si>
  <si>
    <t>吴泾合计</t>
    <phoneticPr fontId="1" type="noConversion"/>
  </si>
  <si>
    <t>七宝皇都</t>
    <phoneticPr fontId="1" type="noConversion"/>
  </si>
  <si>
    <t>七宝合计</t>
    <phoneticPr fontId="1" type="noConversion"/>
  </si>
  <si>
    <t>浦航实验</t>
    <phoneticPr fontId="1" type="noConversion"/>
  </si>
  <si>
    <t>世外浦江</t>
    <phoneticPr fontId="1" type="noConversion"/>
  </si>
  <si>
    <t>浦江合计</t>
    <phoneticPr fontId="1" type="noConversion"/>
  </si>
  <si>
    <t>复旦实验</t>
    <phoneticPr fontId="1" type="noConversion"/>
  </si>
  <si>
    <t>梅陇梅锦</t>
    <phoneticPr fontId="1" type="noConversion"/>
  </si>
  <si>
    <t>梅陇合计</t>
    <phoneticPr fontId="1" type="noConversion"/>
  </si>
  <si>
    <t>马桥富国幼</t>
    <phoneticPr fontId="1" type="noConversion"/>
  </si>
  <si>
    <t>华漕</t>
    <phoneticPr fontId="1" type="noConversion"/>
  </si>
  <si>
    <t>诸翟学校</t>
    <phoneticPr fontId="1" type="noConversion"/>
  </si>
  <si>
    <t>华漕学校</t>
    <phoneticPr fontId="1" type="noConversion"/>
  </si>
  <si>
    <t>颛桥</t>
    <phoneticPr fontId="1" type="noConversion"/>
  </si>
  <si>
    <t>君莲学校</t>
    <phoneticPr fontId="1" type="noConversion"/>
  </si>
  <si>
    <t>颛桥合计</t>
    <phoneticPr fontId="1" type="noConversion"/>
  </si>
  <si>
    <t>金汇实验</t>
    <phoneticPr fontId="1" type="noConversion"/>
  </si>
  <si>
    <t>闵行区曹行中心幼儿园</t>
  </si>
  <si>
    <t>闵行区梅陇镇中心幼儿园</t>
  </si>
  <si>
    <t>闵行区罗阳小学</t>
  </si>
  <si>
    <t>闵行区梅陇中心小学</t>
  </si>
  <si>
    <t>上海市罗阳中学</t>
  </si>
  <si>
    <t>闵行区塘湾中心幼儿园</t>
  </si>
  <si>
    <t>实验幼儿园</t>
  </si>
  <si>
    <t>2021年基本支出预算表</t>
    <phoneticPr fontId="15" type="noConversion"/>
  </si>
  <si>
    <t>项目名称</t>
  </si>
  <si>
    <t>功能分类</t>
  </si>
  <si>
    <t>口径</t>
  </si>
  <si>
    <t>1</t>
  </si>
  <si>
    <t>基本支出总预算数</t>
  </si>
  <si>
    <t>公式计算</t>
  </si>
  <si>
    <t>2</t>
  </si>
  <si>
    <t>3</t>
  </si>
  <si>
    <t>　　基本工资</t>
  </si>
  <si>
    <t>4</t>
  </si>
  <si>
    <t>　　　　1、岗位工资</t>
  </si>
  <si>
    <t>主款项</t>
  </si>
  <si>
    <t>根据人事口径按实编制</t>
  </si>
  <si>
    <t>5</t>
  </si>
  <si>
    <t>　　　　2、薪级工资</t>
  </si>
  <si>
    <t>6</t>
  </si>
  <si>
    <t>　　津贴补贴</t>
  </si>
  <si>
    <t>7</t>
  </si>
  <si>
    <t>　　　　1、各类津贴★▲</t>
  </si>
  <si>
    <t>8</t>
  </si>
  <si>
    <t>　　　　2、各类补贴</t>
  </si>
  <si>
    <t>9</t>
  </si>
  <si>
    <t>　　　　　　(1)粮油补贴</t>
  </si>
  <si>
    <t>10</t>
  </si>
  <si>
    <t>　　　　　　(2)上下班交通费补贴</t>
  </si>
  <si>
    <t>11</t>
  </si>
  <si>
    <t>　　其他社会保障缴费</t>
  </si>
  <si>
    <t>注：社保缴费基数应该相同</t>
  </si>
  <si>
    <t>12</t>
  </si>
  <si>
    <t>　　　　1、残疾人就业保障金1.5%</t>
    <phoneticPr fontId="15" type="noConversion"/>
  </si>
  <si>
    <t>公式计算（请检查）</t>
  </si>
  <si>
    <t>13</t>
  </si>
  <si>
    <t>　　　　2、工伤保险费0.5%</t>
    <phoneticPr fontId="15" type="noConversion"/>
  </si>
  <si>
    <t>14</t>
  </si>
  <si>
    <t>　　　　3、失业保险0.5%</t>
    <phoneticPr fontId="15" type="noConversion"/>
  </si>
  <si>
    <t>15</t>
  </si>
  <si>
    <t>　　绩效工资</t>
  </si>
  <si>
    <t>16</t>
  </si>
  <si>
    <t>　　　　1、绩效工资</t>
  </si>
  <si>
    <t>根据人保科数字编制（待下发）</t>
  </si>
  <si>
    <t>17</t>
  </si>
  <si>
    <t>　　　　2、校长职级制</t>
  </si>
  <si>
    <t>根据校长职级制按实编制</t>
  </si>
  <si>
    <t>18</t>
  </si>
  <si>
    <t xml:space="preserve">   城镇职工基本医疗保险缴费</t>
  </si>
  <si>
    <t>19</t>
  </si>
  <si>
    <t xml:space="preserve">        1、医疗保险费10%</t>
    <phoneticPr fontId="15" type="noConversion"/>
  </si>
  <si>
    <t>事业单位医疗</t>
  </si>
  <si>
    <t>20</t>
  </si>
  <si>
    <t xml:space="preserve">   公务员医疗补助缴费</t>
  </si>
  <si>
    <t>21</t>
  </si>
  <si>
    <r>
      <t xml:space="preserve">          (</t>
    </r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)其他保险2%(统筹)</t>
    </r>
  </si>
  <si>
    <t>公务员医疗补助</t>
  </si>
  <si>
    <t>22</t>
  </si>
  <si>
    <r>
      <t xml:space="preserve">          (</t>
    </r>
    <r>
      <rPr>
        <sz val="9"/>
        <color indexed="8"/>
        <rFont val="宋体"/>
        <family val="3"/>
        <charset val="134"/>
      </rPr>
      <t>2</t>
    </r>
    <r>
      <rPr>
        <sz val="9"/>
        <color indexed="8"/>
        <rFont val="宋体"/>
        <family val="3"/>
        <charset val="134"/>
      </rPr>
      <t>)其他保险2%(单位)</t>
    </r>
  </si>
  <si>
    <t>23</t>
  </si>
  <si>
    <t>　　事业单位基本养老保险缴费</t>
  </si>
  <si>
    <t>24</t>
  </si>
  <si>
    <t>　　　　1、基本养老保险16%</t>
    <phoneticPr fontId="15" type="noConversion"/>
  </si>
  <si>
    <t>养老保险</t>
  </si>
  <si>
    <t>25</t>
  </si>
  <si>
    <t>　　职业年金缴纳</t>
  </si>
  <si>
    <t>26</t>
  </si>
  <si>
    <t>　　　　1、职业年金8%</t>
  </si>
  <si>
    <t>职业年金</t>
  </si>
  <si>
    <t>27</t>
  </si>
  <si>
    <t>伙食补助费</t>
  </si>
  <si>
    <t>教职工人数*9600元（公式计算）</t>
  </si>
  <si>
    <t>28</t>
  </si>
  <si>
    <t>公积金</t>
  </si>
  <si>
    <t>29</t>
  </si>
  <si>
    <t>对个人和家庭补助</t>
  </si>
  <si>
    <t>30</t>
  </si>
  <si>
    <t>　　离休费</t>
  </si>
  <si>
    <t>31</t>
  </si>
  <si>
    <t>　　　　1、交通费</t>
  </si>
  <si>
    <t>离退休</t>
  </si>
  <si>
    <t>根据离休人员情况按实编制</t>
  </si>
  <si>
    <t>32</t>
  </si>
  <si>
    <t>　　　　2、护理费</t>
  </si>
  <si>
    <t>33</t>
  </si>
  <si>
    <t>　　　　3、体检费(仅老干部局填写)</t>
  </si>
  <si>
    <t>不填</t>
  </si>
  <si>
    <t>34</t>
  </si>
  <si>
    <t>　　　　4、电话费</t>
  </si>
  <si>
    <t>35</t>
  </si>
  <si>
    <t>　　　　5、特殊生活补助</t>
  </si>
  <si>
    <t>36</t>
  </si>
  <si>
    <t>　　　　6、离休干部补贴费</t>
  </si>
  <si>
    <t>37</t>
  </si>
  <si>
    <t>　　　　7、护工费</t>
  </si>
  <si>
    <t>38</t>
  </si>
  <si>
    <t>　　抚恤金</t>
  </si>
  <si>
    <t>39</t>
  </si>
  <si>
    <t>　　　　1、抚恤金</t>
  </si>
  <si>
    <t>年初预算为0</t>
  </si>
  <si>
    <t>40</t>
  </si>
  <si>
    <t>　　生活补助</t>
  </si>
  <si>
    <t>41</t>
  </si>
  <si>
    <t>　　　　1、长期赡养补助</t>
  </si>
  <si>
    <t>42</t>
  </si>
  <si>
    <t>　　　　2、退职补助</t>
  </si>
  <si>
    <t>43</t>
  </si>
  <si>
    <t>　　奖励金</t>
  </si>
  <si>
    <t>44</t>
  </si>
  <si>
    <t>　　　　1、独生子女奖励费▲</t>
  </si>
  <si>
    <t>45</t>
  </si>
  <si>
    <t>　　其他支出对个人和家庭补助</t>
  </si>
  <si>
    <t>46</t>
  </si>
  <si>
    <t>　　　　1、子女幼托费</t>
  </si>
  <si>
    <t>按实预测</t>
  </si>
  <si>
    <t>47</t>
  </si>
  <si>
    <t>　　　　2、补贴性人员经费</t>
  </si>
  <si>
    <t>没有，填0</t>
  </si>
  <si>
    <t>48</t>
  </si>
  <si>
    <t>　　　　3、带薪休假费</t>
  </si>
  <si>
    <t>49</t>
  </si>
  <si>
    <t>　　　　4、其他</t>
  </si>
  <si>
    <t>除罗阳小学3人及七宝二中1人的退休共享费外，其他学校填0</t>
  </si>
  <si>
    <t>50</t>
  </si>
  <si>
    <t>商品和服务支出和其他资本性支出</t>
  </si>
  <si>
    <t>51</t>
  </si>
  <si>
    <t>　　(一)公用定额</t>
  </si>
  <si>
    <t>学生人数*定额</t>
  </si>
  <si>
    <t>52</t>
  </si>
  <si>
    <t>　　　　1、办公费</t>
  </si>
  <si>
    <t>53</t>
  </si>
  <si>
    <t xml:space="preserve">        2、印刷费</t>
  </si>
  <si>
    <t>54</t>
  </si>
  <si>
    <t xml:space="preserve">        3、咨询费</t>
  </si>
  <si>
    <t>55</t>
  </si>
  <si>
    <t xml:space="preserve">        4、水费</t>
  </si>
  <si>
    <t>56</t>
  </si>
  <si>
    <t xml:space="preserve">       5、电费</t>
  </si>
  <si>
    <t>57</t>
  </si>
  <si>
    <t xml:space="preserve">       6、邮电费</t>
  </si>
  <si>
    <t>58</t>
  </si>
  <si>
    <t xml:space="preserve">       7、差旅费  </t>
  </si>
  <si>
    <t>59</t>
  </si>
  <si>
    <t xml:space="preserve">       8、维修（护）费</t>
  </si>
  <si>
    <t>60</t>
  </si>
  <si>
    <t xml:space="preserve">       9、会议费</t>
  </si>
  <si>
    <t>61</t>
  </si>
  <si>
    <t xml:space="preserve">       10、培训费</t>
    <phoneticPr fontId="15" type="noConversion"/>
  </si>
  <si>
    <t>主款项</t>
    <phoneticPr fontId="15" type="noConversion"/>
  </si>
  <si>
    <t>生均定额5%</t>
    <phoneticPr fontId="15" type="noConversion"/>
  </si>
  <si>
    <t>62</t>
  </si>
  <si>
    <t xml:space="preserve">       11、公务接待费★</t>
  </si>
  <si>
    <t>63</t>
  </si>
  <si>
    <t xml:space="preserve">       12、专用材料费</t>
  </si>
  <si>
    <t>64</t>
  </si>
  <si>
    <t xml:space="preserve">       13、劳务费</t>
  </si>
  <si>
    <t>65</t>
  </si>
  <si>
    <t xml:space="preserve">       14、委托业务费</t>
  </si>
  <si>
    <t>66</t>
  </si>
  <si>
    <t xml:space="preserve">       15、其他商品和服务支出</t>
  </si>
  <si>
    <t>67</t>
  </si>
  <si>
    <t xml:space="preserve">       16、办公设备配置</t>
  </si>
  <si>
    <t>68</t>
  </si>
  <si>
    <t xml:space="preserve">       17、专用设备</t>
  </si>
  <si>
    <t>69</t>
  </si>
  <si>
    <t>　　(二)培训费</t>
  </si>
  <si>
    <t>70</t>
  </si>
  <si>
    <t>　　　　1、进修、培训 400元/年教师</t>
  </si>
  <si>
    <t>教职工人数*400元（公式计算）</t>
  </si>
  <si>
    <t>71</t>
  </si>
  <si>
    <t>　　(三)维修(护)费</t>
  </si>
  <si>
    <t>72</t>
  </si>
  <si>
    <t>　　　　1、房屋维修费 15元/年平方米</t>
  </si>
  <si>
    <t>房屋面积*15元（公式计算）</t>
  </si>
  <si>
    <t>73</t>
  </si>
  <si>
    <t>　　(四)物业管理费</t>
  </si>
  <si>
    <t>74</t>
  </si>
  <si>
    <t>　　　　1、绿化维护费 8元/年平方米</t>
  </si>
  <si>
    <t>绿化面积*8元（公式计算）</t>
  </si>
  <si>
    <t>75</t>
  </si>
  <si>
    <t>　　(五)租赁费</t>
  </si>
  <si>
    <t>76</t>
  </si>
  <si>
    <t>　　　　1、租赁房租费</t>
  </si>
  <si>
    <t>77</t>
  </si>
  <si>
    <t>　　(六)福利费</t>
  </si>
  <si>
    <t>78</t>
  </si>
  <si>
    <t>　　　　1、福利费</t>
  </si>
  <si>
    <t>教职工人数*4320元（公式计算）</t>
  </si>
  <si>
    <t>79</t>
  </si>
  <si>
    <t>　　(七)工会经费</t>
  </si>
  <si>
    <t>80</t>
  </si>
  <si>
    <t>　　　　1、工会经费2%</t>
  </si>
  <si>
    <t>81</t>
  </si>
  <si>
    <t>　　(八)公务用车运行维护费★</t>
  </si>
  <si>
    <t>82</t>
  </si>
  <si>
    <t>　　　　1、教育系统，校/辆</t>
  </si>
  <si>
    <t>机关局有编制的车辆数*32000元/年（分园及分校预算在其他交通费中编制）</t>
  </si>
  <si>
    <t>83</t>
  </si>
  <si>
    <t>　　(九)其他商品和服务支出</t>
  </si>
  <si>
    <t>84</t>
  </si>
  <si>
    <t>　　　　1、离休公用支出</t>
  </si>
  <si>
    <t>85</t>
  </si>
  <si>
    <t>　　　　　　(1)十四级以上(含参局级、享受局级、正局级、副局级)</t>
  </si>
  <si>
    <t>86</t>
  </si>
  <si>
    <t>　　　　　　(2)十四级以下</t>
  </si>
  <si>
    <t>人数*4320元/年</t>
  </si>
  <si>
    <t>87</t>
  </si>
  <si>
    <t>　　　　2、退休公用支出</t>
  </si>
  <si>
    <t>88</t>
  </si>
  <si>
    <t>　　　　　　(1)活动费(活动费+活动费(托管))</t>
  </si>
  <si>
    <t>退休人数*400元/年（公式计算）</t>
  </si>
  <si>
    <t>89</t>
  </si>
  <si>
    <t>　　　　　　(2)福利费(福利费+福利费(托管)</t>
  </si>
  <si>
    <t>退休人数*4320元/年（公式计算）</t>
  </si>
  <si>
    <t>90</t>
  </si>
  <si>
    <t>　　　　3、其他</t>
  </si>
  <si>
    <t>91</t>
  </si>
  <si>
    <t>　　(十)其他交通费用</t>
  </si>
  <si>
    <t>92</t>
  </si>
  <si>
    <t>　　　　2、教育系统</t>
  </si>
  <si>
    <t xml:space="preserve">
无车辆按32000元编制预算
机关局有编制的车辆，每分校增加10000元，每个分园增加5000元编制预算</t>
    <phoneticPr fontId="15" type="noConversion"/>
  </si>
  <si>
    <t>93</t>
  </si>
  <si>
    <t>学校基本情况：</t>
  </si>
  <si>
    <t>94</t>
  </si>
  <si>
    <t>1、教职工(人数)</t>
  </si>
  <si>
    <t>填写2020年9月在编教职工人数</t>
    <phoneticPr fontId="15" type="noConversion"/>
  </si>
  <si>
    <t>95</t>
  </si>
  <si>
    <t xml:space="preserve">       初中</t>
  </si>
  <si>
    <t>96</t>
  </si>
  <si>
    <t xml:space="preserve">       小学</t>
  </si>
  <si>
    <t>97</t>
  </si>
  <si>
    <t xml:space="preserve">       幼儿园</t>
  </si>
  <si>
    <t>98</t>
  </si>
  <si>
    <t xml:space="preserve">       其他</t>
  </si>
  <si>
    <t>99</t>
  </si>
  <si>
    <t>2、学生(人数)</t>
  </si>
  <si>
    <t>填写2020年秋季学期学生人数，以招办人数为准（待下发）</t>
    <phoneticPr fontId="15" type="noConversion"/>
  </si>
  <si>
    <t>100</t>
  </si>
  <si>
    <t>101</t>
  </si>
  <si>
    <t>102</t>
  </si>
  <si>
    <t>103</t>
  </si>
  <si>
    <t>104</t>
  </si>
  <si>
    <t>3、事业离休人员人数</t>
  </si>
  <si>
    <t>105</t>
  </si>
  <si>
    <t>4、事业退休人员人数</t>
  </si>
  <si>
    <t>106</t>
  </si>
  <si>
    <t>5、教育单位房屋（面积）</t>
  </si>
  <si>
    <t>107</t>
  </si>
  <si>
    <t>6、教育单位绿化（面积）</t>
  </si>
  <si>
    <t>实验中学</t>
  </si>
  <si>
    <t>实验小学</t>
  </si>
  <si>
    <t>中心幼儿园</t>
  </si>
  <si>
    <t>航华二幼</t>
  </si>
  <si>
    <t>社区学校</t>
  </si>
  <si>
    <t>皇都幼</t>
    <phoneticPr fontId="15" type="noConversion"/>
  </si>
  <si>
    <t>上海市闵行区教育学院附属友爱实验中学</t>
  </si>
  <si>
    <t>上海市闵行区景东小学</t>
  </si>
  <si>
    <t>华东师范大学闵行永德实验小学</t>
  </si>
  <si>
    <t>上海市闵行区吴泾第三幼儿园</t>
  </si>
  <si>
    <t>华东师范大学闵行永德实验幼儿园</t>
  </si>
  <si>
    <t>上海市闵行区吴泾镇社区学校</t>
  </si>
  <si>
    <t>2021年基本支出预算表</t>
  </si>
  <si>
    <t>佳佳幼儿园</t>
  </si>
  <si>
    <t>明星学校</t>
  </si>
  <si>
    <t>　　　　1、残疾人就业保障金1.5%</t>
  </si>
  <si>
    <t>　　　　2、工伤保险费0.5%</t>
  </si>
  <si>
    <t>　　　　3、失业保险0.5%</t>
  </si>
  <si>
    <t xml:space="preserve">        1、医疗保险费10%</t>
  </si>
  <si>
    <t>　　　　1、基本养老保险16%</t>
  </si>
  <si>
    <t xml:space="preserve">       10、培训费</t>
  </si>
  <si>
    <t>生均定额5%</t>
  </si>
  <si>
    <t>填写2020年9月在编教职工人数</t>
  </si>
  <si>
    <t>填写2020年秋季学期学生人数，以招办人数为准（待下发）</t>
  </si>
  <si>
    <t>金汇实验</t>
  </si>
  <si>
    <t>龙柏一幼</t>
  </si>
  <si>
    <t>龙柏二幼</t>
  </si>
  <si>
    <t>上海市闵行区梅陇中学</t>
  </si>
  <si>
    <t>上海市闵行区曹行中学</t>
  </si>
  <si>
    <t>上海中医药大学附属闵行晶城中学</t>
    <phoneticPr fontId="15" type="noConversion"/>
  </si>
  <si>
    <t>复旦大学附属闵行实验学校</t>
    <phoneticPr fontId="15" type="noConversion"/>
  </si>
  <si>
    <t>上海市闵行区曹行小学</t>
  </si>
  <si>
    <t>上海中医药大学附属闵行蔷薇小学</t>
    <phoneticPr fontId="15" type="noConversion"/>
  </si>
  <si>
    <t>上海市闵行区春申景城幼儿园</t>
  </si>
  <si>
    <t>上海市闵行区晶采坊幼儿园</t>
  </si>
  <si>
    <t>上海市闵行区罗阳河畔幼儿园</t>
  </si>
  <si>
    <t>上海市闵行区晶华坊幼儿园</t>
  </si>
  <si>
    <t>上海市闵行区梅陇金都幼儿园</t>
    <phoneticPr fontId="15" type="noConversion"/>
  </si>
  <si>
    <t>上海市闵行区梅陇梅锦幼儿园</t>
    <phoneticPr fontId="15" type="noConversion"/>
  </si>
  <si>
    <t>上海市闵行区梅陇镇社区学校</t>
  </si>
  <si>
    <t>田园二外小</t>
  </si>
  <si>
    <t>颛桥一幼</t>
  </si>
  <si>
    <t>颛桥镇幼</t>
  </si>
  <si>
    <t>上师大幼</t>
  </si>
  <si>
    <t>君莲学校</t>
  </si>
  <si>
    <t>田园中学</t>
    <phoneticPr fontId="15" type="noConversion"/>
  </si>
  <si>
    <t>田园幼儿园</t>
    <phoneticPr fontId="15" type="noConversion"/>
  </si>
  <si>
    <t xml:space="preserve">          (1)其他保险2%(统筹)药费</t>
    <phoneticPr fontId="15" type="noConversion"/>
  </si>
  <si>
    <t xml:space="preserve">          (2)其他保险2%(单位)保险</t>
    <phoneticPr fontId="15" type="noConversion"/>
  </si>
  <si>
    <t>莘庄</t>
    <phoneticPr fontId="15" type="noConversion"/>
  </si>
  <si>
    <t>吴泾</t>
    <phoneticPr fontId="15" type="noConversion"/>
  </si>
  <si>
    <t>七宝</t>
    <phoneticPr fontId="15" type="noConversion"/>
  </si>
  <si>
    <t>浦江</t>
    <phoneticPr fontId="15" type="noConversion"/>
  </si>
  <si>
    <t>梅陇</t>
    <phoneticPr fontId="15" type="noConversion"/>
  </si>
  <si>
    <t>马桥</t>
    <phoneticPr fontId="15" type="noConversion"/>
  </si>
  <si>
    <t>华漕</t>
    <phoneticPr fontId="15" type="noConversion"/>
  </si>
  <si>
    <t>颛桥</t>
    <phoneticPr fontId="15" type="noConversion"/>
  </si>
  <si>
    <t>虹桥</t>
    <phoneticPr fontId="15" type="noConversion"/>
  </si>
  <si>
    <t>值班单价</t>
    <phoneticPr fontId="1" type="noConversion"/>
  </si>
  <si>
    <t>值班金额</t>
    <phoneticPr fontId="1" type="noConversion"/>
  </si>
  <si>
    <t>叠加门数</t>
    <phoneticPr fontId="1" type="noConversion"/>
  </si>
  <si>
    <t>叠加金额</t>
    <phoneticPr fontId="1" type="noConversion"/>
  </si>
  <si>
    <t>浦江二中</t>
    <phoneticPr fontId="15" type="noConversion"/>
  </si>
  <si>
    <t>浦江三中</t>
    <phoneticPr fontId="15" type="noConversion"/>
  </si>
  <si>
    <t>浦航实验学校</t>
  </si>
  <si>
    <t>世外浦江</t>
    <phoneticPr fontId="15" type="noConversion"/>
  </si>
  <si>
    <t>二小</t>
  </si>
  <si>
    <t>上戏附校</t>
  </si>
  <si>
    <t>浦汇小学</t>
    <phoneticPr fontId="15" type="noConversion"/>
  </si>
  <si>
    <t>浦江二幼</t>
  </si>
  <si>
    <t>瑞和城幼儿园</t>
  </si>
  <si>
    <t>2021年镇级单位保安经费预算</t>
    <phoneticPr fontId="1" type="noConversion"/>
  </si>
  <si>
    <t>单位</t>
    <phoneticPr fontId="1" type="noConversion"/>
  </si>
  <si>
    <r>
      <rPr>
        <sz val="11"/>
        <color theme="1"/>
        <rFont val="宋体"/>
        <family val="2"/>
        <charset val="134"/>
      </rPr>
      <t>所属街镇</t>
    </r>
    <phoneticPr fontId="1" type="noConversion"/>
  </si>
  <si>
    <r>
      <rPr>
        <sz val="11"/>
        <color theme="1"/>
        <rFont val="宋体"/>
        <family val="3"/>
        <charset val="134"/>
        <scheme val="minor"/>
      </rPr>
      <t>校区</t>
    </r>
    <r>
      <rPr>
        <sz val="11"/>
        <color theme="1"/>
        <rFont val="宋体"/>
        <family val="2"/>
        <charset val="134"/>
        <scheme val="minor"/>
      </rPr>
      <t xml:space="preserve">               </t>
    </r>
    <r>
      <rPr>
        <sz val="11"/>
        <color theme="1"/>
        <rFont val="宋体"/>
        <family val="3"/>
        <charset val="134"/>
        <scheme val="minor"/>
      </rPr>
      <t>门数</t>
    </r>
    <phoneticPr fontId="2" type="noConversion"/>
  </si>
  <si>
    <r>
      <rPr>
        <sz val="11"/>
        <rFont val="宋体"/>
        <family val="3"/>
        <charset val="134"/>
      </rPr>
      <t>在岗人数</t>
    </r>
    <phoneticPr fontId="2" type="noConversion"/>
  </si>
  <si>
    <t>叠加门次（45天）</t>
  </si>
  <si>
    <t>小计</t>
    <phoneticPr fontId="1" type="noConversion"/>
  </si>
  <si>
    <t>叠加门数
（寒托班）</t>
    <phoneticPr fontId="1" type="noConversion"/>
  </si>
  <si>
    <r>
      <rPr>
        <sz val="11"/>
        <rFont val="微软雅黑"/>
        <family val="2"/>
        <charset val="134"/>
      </rPr>
      <t>叠加天数</t>
    </r>
    <phoneticPr fontId="2" type="noConversion"/>
  </si>
  <si>
    <r>
      <rPr>
        <sz val="11"/>
        <rFont val="微软雅黑"/>
        <family val="2"/>
        <charset val="134"/>
      </rPr>
      <t>叠加时间（小时）</t>
    </r>
    <phoneticPr fontId="2" type="noConversion"/>
  </si>
  <si>
    <r>
      <rPr>
        <sz val="11"/>
        <rFont val="微软雅黑"/>
        <family val="2"/>
        <charset val="134"/>
      </rPr>
      <t>叠加金额</t>
    </r>
    <phoneticPr fontId="1" type="noConversion"/>
  </si>
  <si>
    <t>1-3月合计</t>
    <phoneticPr fontId="1" type="noConversion"/>
  </si>
  <si>
    <r>
      <rPr>
        <sz val="11"/>
        <rFont val="宋体"/>
        <family val="3"/>
        <charset val="134"/>
      </rPr>
      <t>校区</t>
    </r>
    <r>
      <rPr>
        <sz val="11"/>
        <rFont val="Arial"/>
        <family val="2"/>
      </rPr>
      <t xml:space="preserve">               </t>
    </r>
    <r>
      <rPr>
        <sz val="11"/>
        <rFont val="宋体"/>
        <family val="3"/>
        <charset val="134"/>
      </rPr>
      <t>门数</t>
    </r>
    <phoneticPr fontId="2" type="noConversion"/>
  </si>
  <si>
    <t>叠加门次（165天）</t>
  </si>
  <si>
    <t>叠加门数
（暑期叠加）</t>
    <phoneticPr fontId="1" type="noConversion"/>
  </si>
  <si>
    <t>叠加天数（45天）</t>
    <phoneticPr fontId="1" type="noConversion"/>
  </si>
  <si>
    <t>叠加时间（小时）</t>
    <phoneticPr fontId="1" type="noConversion"/>
  </si>
  <si>
    <t>4-12月合计</t>
    <phoneticPr fontId="1" type="noConversion"/>
  </si>
  <si>
    <t>总计</t>
    <phoneticPr fontId="1" type="noConversion"/>
  </si>
  <si>
    <r>
      <rPr>
        <sz val="9"/>
        <rFont val="宋体"/>
        <family val="3"/>
        <charset val="134"/>
      </rPr>
      <t>浦江社校</t>
    </r>
  </si>
  <si>
    <t>公办成人</t>
    <phoneticPr fontId="1" type="noConversion"/>
  </si>
  <si>
    <t>浦江合计</t>
    <phoneticPr fontId="1" type="noConversion"/>
  </si>
  <si>
    <t>吴泾合计</t>
    <phoneticPr fontId="1" type="noConversion"/>
  </si>
  <si>
    <t>吴泾社校</t>
    <phoneticPr fontId="1" type="noConversion"/>
  </si>
  <si>
    <t xml:space="preserve">
无车辆按32000元编制预算
机关局有编制的车辆，每分校增加10000元，每个分园增加5000元编制预算</t>
    <phoneticPr fontId="15" type="noConversion"/>
  </si>
  <si>
    <t>填写2020年9月在编教职工人数</t>
    <phoneticPr fontId="15" type="noConversion"/>
  </si>
  <si>
    <t>填写2020年秋季学期学生人数，以招办人数为准（待下发）</t>
    <phoneticPr fontId="15" type="noConversion"/>
  </si>
  <si>
    <t xml:space="preserve">
无车辆按32000元编制预算
机关局有编制的车辆，每分校增加10000元，每个分园增加5000元编制预算</t>
    <phoneticPr fontId="15" type="noConversion"/>
  </si>
  <si>
    <t>填写2020年9月在编教职工人数</t>
    <phoneticPr fontId="15" type="noConversion"/>
  </si>
  <si>
    <t>填写2020年秋季学期学生人数，以招办人数为准（待下发）</t>
    <phoneticPr fontId="15" type="noConversion"/>
  </si>
  <si>
    <t>汇秀小学</t>
    <phoneticPr fontId="15" type="noConversion"/>
  </si>
  <si>
    <t>浦江三幼</t>
    <phoneticPr fontId="15" type="noConversion"/>
  </si>
  <si>
    <t>宝邸幼儿园</t>
    <phoneticPr fontId="15" type="noConversion"/>
  </si>
  <si>
    <t>闸航幼</t>
    <phoneticPr fontId="15" type="noConversion"/>
  </si>
  <si>
    <t>浦江镇社区学校</t>
    <phoneticPr fontId="15" type="noConversion"/>
  </si>
  <si>
    <t xml:space="preserve">
无车辆按32000元编制预算
机关局有编制的车辆，每分校增加10000元，每个分园增加5000元编制预算</t>
    <phoneticPr fontId="15" type="noConversion"/>
  </si>
  <si>
    <t>填写2020年9月在编教职工人数</t>
    <phoneticPr fontId="15" type="noConversion"/>
  </si>
  <si>
    <t>填写2020年秋季学期学生人数，以招办人数为准（待下发）</t>
    <phoneticPr fontId="15" type="noConversion"/>
  </si>
  <si>
    <t xml:space="preserve">
无车辆按32000元编制预算
机关局有编制的车辆，每分校增加10000元，每个分园增加5000元编制预算</t>
    <phoneticPr fontId="15" type="noConversion"/>
  </si>
  <si>
    <t>华漕幼儿园</t>
    <phoneticPr fontId="15" type="noConversion"/>
  </si>
  <si>
    <t>华漕学校</t>
    <phoneticPr fontId="15" type="noConversion"/>
  </si>
  <si>
    <t>诸翟幼儿园</t>
    <phoneticPr fontId="15" type="noConversion"/>
  </si>
  <si>
    <t>纪王学校</t>
    <phoneticPr fontId="15" type="noConversion"/>
  </si>
  <si>
    <t>诸翟学校</t>
    <phoneticPr fontId="15" type="noConversion"/>
  </si>
  <si>
    <t>金色幼儿园</t>
    <phoneticPr fontId="15" type="noConversion"/>
  </si>
  <si>
    <t>纪王幼儿园</t>
    <phoneticPr fontId="15" type="noConversion"/>
  </si>
  <si>
    <t>华漕社区学校</t>
    <phoneticPr fontId="15" type="noConversion"/>
  </si>
  <si>
    <t>　　　　3、失业保险0.5%</t>
    <phoneticPr fontId="15" type="noConversion"/>
  </si>
  <si>
    <t>　　　　1、基本养老保险16%</t>
    <phoneticPr fontId="15" type="noConversion"/>
  </si>
  <si>
    <t>2021年基本支出预算表</t>
    <phoneticPr fontId="2" type="noConversion"/>
  </si>
  <si>
    <t>社区学校</t>
    <phoneticPr fontId="2" type="noConversion"/>
  </si>
  <si>
    <t>强恕学校</t>
    <phoneticPr fontId="2" type="noConversion"/>
  </si>
  <si>
    <t>实中</t>
    <phoneticPr fontId="2" type="noConversion"/>
  </si>
  <si>
    <t>实小</t>
    <phoneticPr fontId="2" type="noConversion"/>
  </si>
  <si>
    <t>文来外小</t>
    <phoneticPr fontId="2" type="noConversion"/>
  </si>
  <si>
    <t>中心幼</t>
    <phoneticPr fontId="2" type="noConversion"/>
  </si>
  <si>
    <t>元祥幼</t>
    <phoneticPr fontId="2" type="noConversion"/>
  </si>
  <si>
    <t>实幼</t>
    <phoneticPr fontId="2" type="noConversion"/>
  </si>
  <si>
    <t>启英</t>
    <phoneticPr fontId="2" type="noConversion"/>
  </si>
  <si>
    <t>富杰</t>
    <phoneticPr fontId="2" type="noConversion"/>
  </si>
  <si>
    <t>富卓</t>
    <phoneticPr fontId="2" type="noConversion"/>
  </si>
  <si>
    <t>富国</t>
    <phoneticPr fontId="2" type="noConversion"/>
  </si>
  <si>
    <t>　　　　1、残疾人就业保障金1.5%</t>
    <phoneticPr fontId="2" type="noConversion"/>
  </si>
  <si>
    <t>　　　　2、工伤保险费0.5%</t>
    <phoneticPr fontId="2" type="noConversion"/>
  </si>
  <si>
    <t>　　　　3、失业保险0.5%</t>
    <phoneticPr fontId="2" type="noConversion"/>
  </si>
  <si>
    <t xml:space="preserve">        1、医疗保险费10%</t>
    <phoneticPr fontId="2" type="noConversion"/>
  </si>
  <si>
    <r>
      <t xml:space="preserve">          (</t>
    </r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)其他保险2%(统筹)</t>
    </r>
  </si>
  <si>
    <r>
      <t xml:space="preserve">          (</t>
    </r>
    <r>
      <rPr>
        <sz val="9"/>
        <color indexed="8"/>
        <rFont val="宋体"/>
        <family val="3"/>
        <charset val="134"/>
      </rPr>
      <t>2</t>
    </r>
    <r>
      <rPr>
        <sz val="9"/>
        <color indexed="8"/>
        <rFont val="宋体"/>
        <family val="3"/>
        <charset val="134"/>
      </rPr>
      <t>)其他保险2%(单位)</t>
    </r>
  </si>
  <si>
    <t>　　　　1、基本养老保险16%</t>
    <phoneticPr fontId="2" type="noConversion"/>
  </si>
  <si>
    <t xml:space="preserve">       10、培训费</t>
    <phoneticPr fontId="2" type="noConversion"/>
  </si>
  <si>
    <t>主款项</t>
    <phoneticPr fontId="2" type="noConversion"/>
  </si>
  <si>
    <t>生均定额5%</t>
    <phoneticPr fontId="2" type="noConversion"/>
  </si>
  <si>
    <t xml:space="preserve">
无车辆按32000元编制预算
机关局有编制的车辆，每分校增加10000元，每个分园增加5000元编制预算</t>
    <phoneticPr fontId="2" type="noConversion"/>
  </si>
  <si>
    <t>填写2020年9月在编教职工人数</t>
    <phoneticPr fontId="2" type="noConversion"/>
  </si>
  <si>
    <t>填写2020年秋季学期学生人数，以招办人数为准（待下发）</t>
    <phoneticPr fontId="2" type="noConversion"/>
  </si>
  <si>
    <t>学校</t>
    <phoneticPr fontId="15" type="noConversion"/>
  </si>
  <si>
    <t>备注</t>
  </si>
  <si>
    <t xml:space="preserve">
有车但机关局无编制的车辆按32000元编制预算
机关局有编制的车辆，每分校增加10000元，每个分园增加5000元编制预算</t>
  </si>
  <si>
    <t>合计</t>
    <phoneticPr fontId="2" type="noConversion"/>
  </si>
  <si>
    <t>序号</t>
    <phoneticPr fontId="2" type="noConversion"/>
  </si>
  <si>
    <t>项目</t>
    <phoneticPr fontId="2" type="noConversion"/>
  </si>
  <si>
    <t>设备更新与购置</t>
    <phoneticPr fontId="1" type="noConversion"/>
  </si>
  <si>
    <t>2022年教育统筹经费第三次分配明细表</t>
    <phoneticPr fontId="1" type="noConversion"/>
  </si>
  <si>
    <r>
      <rPr>
        <b/>
        <sz val="10"/>
        <rFont val="宋体"/>
        <family val="3"/>
        <charset val="134"/>
      </rPr>
      <t>所在街镇</t>
    </r>
  </si>
  <si>
    <r>
      <rPr>
        <b/>
        <sz val="10"/>
        <rFont val="宋体"/>
        <family val="3"/>
        <charset val="134"/>
      </rPr>
      <t>学校</t>
    </r>
  </si>
  <si>
    <r>
      <rPr>
        <b/>
        <sz val="10"/>
        <rFont val="宋体"/>
        <family val="3"/>
        <charset val="134"/>
      </rPr>
      <t>项目名称</t>
    </r>
  </si>
  <si>
    <r>
      <rPr>
        <b/>
        <sz val="10"/>
        <rFont val="宋体"/>
        <family val="3"/>
        <charset val="134"/>
      </rPr>
      <t>项目内容</t>
    </r>
  </si>
  <si>
    <r>
      <rPr>
        <b/>
        <sz val="10"/>
        <rFont val="宋体"/>
        <family val="3"/>
        <charset val="134"/>
      </rPr>
      <t>项目明细</t>
    </r>
  </si>
  <si>
    <r>
      <rPr>
        <b/>
        <sz val="10"/>
        <rFont val="宋体"/>
        <family val="3"/>
        <charset val="134"/>
      </rPr>
      <t>规格型号或数量单位</t>
    </r>
  </si>
  <si>
    <r>
      <rPr>
        <sz val="10"/>
        <rFont val="宋体"/>
        <family val="3"/>
        <charset val="134"/>
      </rPr>
      <t>设备购置与更新</t>
    </r>
  </si>
  <si>
    <t>华漕镇：</t>
    <phoneticPr fontId="2" type="noConversion"/>
  </si>
  <si>
    <r>
      <t>2022</t>
    </r>
    <r>
      <rPr>
        <sz val="16"/>
        <rFont val="宋体"/>
        <family val="3"/>
        <charset val="134"/>
      </rPr>
      <t>年闵行区华漕镇设备专项申报明细汇总表</t>
    </r>
    <phoneticPr fontId="1" type="noConversion"/>
  </si>
  <si>
    <t>数量</t>
  </si>
  <si>
    <t>单价</t>
  </si>
  <si>
    <t>金额</t>
  </si>
  <si>
    <t>华漕镇</t>
  </si>
  <si>
    <t>闵行区华漕镇中心幼儿园</t>
  </si>
  <si>
    <t>空调设备</t>
  </si>
  <si>
    <r>
      <rPr>
        <sz val="10"/>
        <rFont val="宋体"/>
        <family val="3"/>
        <charset val="134"/>
      </rPr>
      <t>幼儿活动室</t>
    </r>
    <r>
      <rPr>
        <sz val="10"/>
        <rFont val="Times New Roman"/>
        <family val="1"/>
      </rPr>
      <t>5</t>
    </r>
    <r>
      <rPr>
        <sz val="10"/>
        <rFont val="宋体"/>
        <family val="3"/>
        <charset val="134"/>
      </rPr>
      <t>匹</t>
    </r>
    <r>
      <rPr>
        <sz val="10"/>
        <rFont val="宋体"/>
        <family val="3"/>
        <charset val="134"/>
      </rPr>
      <t>空调</t>
    </r>
  </si>
  <si>
    <t xml:space="preserve">   </t>
  </si>
  <si>
    <r>
      <rPr>
        <sz val="10"/>
        <rFont val="宋体"/>
        <family val="3"/>
        <charset val="134"/>
      </rPr>
      <t>上海市闵行区华漕镇金色幼儿园</t>
    </r>
  </si>
  <si>
    <r>
      <rPr>
        <sz val="10"/>
        <rFont val="宋体"/>
        <family val="3"/>
        <charset val="134"/>
      </rPr>
      <t>教室</t>
    </r>
    <r>
      <rPr>
        <sz val="10"/>
        <rFont val="宋体"/>
        <family val="3"/>
        <charset val="134"/>
      </rPr>
      <t>交互式触控一体机</t>
    </r>
  </si>
  <si>
    <r>
      <t>65</t>
    </r>
    <r>
      <rPr>
        <sz val="10"/>
        <rFont val="宋体"/>
        <family val="3"/>
        <charset val="134"/>
      </rPr>
      <t>寸交互式触控一体机</t>
    </r>
  </si>
  <si>
    <t>分园</t>
  </si>
  <si>
    <r>
      <rPr>
        <sz val="10"/>
        <rFont val="宋体"/>
        <family val="3"/>
        <charset val="134"/>
      </rPr>
      <t>幼儿专用活动室</t>
    </r>
    <r>
      <rPr>
        <sz val="10"/>
        <rFont val="Times New Roman"/>
        <family val="1"/>
      </rPr>
      <t>5</t>
    </r>
    <r>
      <rPr>
        <sz val="10"/>
        <rFont val="宋体"/>
        <family val="3"/>
        <charset val="134"/>
      </rPr>
      <t>匹</t>
    </r>
    <r>
      <rPr>
        <sz val="10"/>
        <rFont val="宋体"/>
        <family val="3"/>
        <charset val="134"/>
      </rPr>
      <t>空调</t>
    </r>
  </si>
  <si>
    <t>厨房设备</t>
  </si>
  <si>
    <t>批</t>
  </si>
  <si>
    <t>户外运动器械</t>
  </si>
  <si>
    <t>户外小型运动器械</t>
  </si>
  <si>
    <t>小    计</t>
  </si>
  <si>
    <t>核定金额</t>
    <phoneticPr fontId="1" type="noConversion"/>
  </si>
  <si>
    <t>减：历年下达</t>
    <phoneticPr fontId="1" type="noConversion"/>
  </si>
  <si>
    <t>三次分配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</si>
</sst>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2" formatCode="_ &quot;¥&quot;* #,##0_ ;_ &quot;¥&quot;* \-#,##0_ ;_ &quot;¥&quot;* &quot;-&quot;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  <numFmt numFmtId="178" formatCode="0.00_ ;\-0.00;;"/>
    <numFmt numFmtId="179" formatCode="0.00_);[Red]\(0.00\)"/>
    <numFmt numFmtId="180" formatCode="0.000000000_ "/>
    <numFmt numFmtId="181" formatCode="_-* #,##0_-;\-* #,##0_-;_-* &quot;-&quot;_-;_-@_-"/>
    <numFmt numFmtId="182" formatCode="[$-F800]dddd\,\ mmmm\ dd\,\ yyyy"/>
    <numFmt numFmtId="183" formatCode="_ &quot;￥&quot;* #,##0_ ;_ &quot;￥&quot;* \-#,##0_ ;_ &quot;￥&quot;* &quot;-&quot;_ ;_ @_ "/>
    <numFmt numFmtId="184" formatCode="#,###,###,###"/>
  </numFmts>
  <fonts count="9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8"/>
      <color theme="1"/>
      <name val="宋体"/>
      <family val="2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</font>
    <font>
      <b/>
      <sz val="20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b/>
      <sz val="14"/>
      <color theme="1"/>
      <name val="微软雅黑"/>
      <family val="2"/>
      <charset val="134"/>
    </font>
    <font>
      <sz val="11"/>
      <color theme="1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14"/>
      <color theme="1"/>
      <name val="宋体"/>
      <family val="2"/>
      <charset val="134"/>
      <scheme val="minor"/>
    </font>
    <font>
      <sz val="9"/>
      <color theme="1"/>
      <name val="Arial"/>
      <family val="2"/>
    </font>
    <font>
      <sz val="11"/>
      <color theme="1"/>
      <name val="宋体"/>
      <family val="2"/>
      <charset val="134"/>
    </font>
    <font>
      <sz val="11"/>
      <name val="Arial"/>
      <family val="2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微软雅黑"/>
      <family val="2"/>
      <charset val="134"/>
    </font>
    <font>
      <sz val="11"/>
      <color theme="1"/>
      <name val="宋体"/>
      <family val="3"/>
      <charset val="134"/>
    </font>
    <font>
      <b/>
      <sz val="9"/>
      <name val="Arial"/>
      <family val="2"/>
    </font>
    <font>
      <sz val="9"/>
      <name val="Arial"/>
      <family val="2"/>
    </font>
    <font>
      <b/>
      <sz val="9"/>
      <name val="宋体"/>
      <family val="3"/>
      <charset val="134"/>
    </font>
    <font>
      <b/>
      <sz val="20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Arial"/>
      <family val="2"/>
    </font>
    <font>
      <sz val="11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color indexed="14"/>
      <name val="宋体"/>
      <family val="3"/>
      <charset val="134"/>
    </font>
    <font>
      <sz val="11"/>
      <color indexed="14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color theme="1"/>
      <name val="等线"/>
      <family val="3"/>
      <charset val="134"/>
    </font>
    <font>
      <sz val="10"/>
      <name val="Helv"/>
      <family val="2"/>
    </font>
    <font>
      <sz val="11"/>
      <color theme="1"/>
      <name val="宋体"/>
      <family val="3"/>
      <charset val="134"/>
      <scheme val="minor"/>
    </font>
    <font>
      <sz val="12"/>
      <name val="仿宋"/>
      <family val="3"/>
      <charset val="134"/>
    </font>
    <font>
      <sz val="14"/>
      <name val="仿宋"/>
      <family val="3"/>
      <charset val="134"/>
    </font>
    <font>
      <sz val="12"/>
      <color theme="1"/>
      <name val="仿宋"/>
      <family val="3"/>
      <charset val="134"/>
    </font>
    <font>
      <sz val="11"/>
      <color theme="1"/>
      <name val="仿宋"/>
      <family val="3"/>
      <charset val="134"/>
    </font>
    <font>
      <b/>
      <sz val="10"/>
      <name val="宋体"/>
      <family val="3"/>
      <charset val="134"/>
    </font>
    <font>
      <b/>
      <sz val="10"/>
      <name val="Times New Roman"/>
      <family val="1"/>
    </font>
    <font>
      <sz val="16"/>
      <name val="Times New Roman"/>
      <family val="1"/>
    </font>
    <font>
      <sz val="16"/>
      <name val="宋体"/>
      <family val="3"/>
      <charset val="134"/>
    </font>
    <font>
      <sz val="16"/>
      <color theme="1"/>
      <name val="宋体"/>
      <family val="2"/>
      <charset val="134"/>
      <scheme val="minor"/>
    </font>
    <font>
      <sz val="10"/>
      <color theme="1"/>
      <name val="Times New Roman"/>
      <family val="1"/>
    </font>
    <font>
      <sz val="16"/>
      <name val="方正小标宋简体"/>
      <family val="4"/>
      <charset val="134"/>
    </font>
    <font>
      <sz val="11"/>
      <color theme="1"/>
      <name val="方正小标宋简体"/>
      <family val="4"/>
      <charset val="134"/>
    </font>
  </fonts>
  <fills count="6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328">
    <xf numFmtId="182" fontId="0" fillId="0" borderId="0">
      <alignment vertical="center"/>
    </xf>
    <xf numFmtId="182" fontId="4" fillId="0" borderId="0"/>
    <xf numFmtId="182" fontId="4" fillId="0" borderId="0"/>
    <xf numFmtId="43" fontId="4" fillId="0" borderId="0" applyFont="0" applyFill="0" applyBorder="0" applyAlignment="0" applyProtection="0">
      <alignment vertical="center"/>
    </xf>
    <xf numFmtId="182" fontId="5" fillId="0" borderId="0"/>
    <xf numFmtId="182" fontId="6" fillId="0" borderId="0"/>
    <xf numFmtId="182" fontId="7" fillId="0" borderId="0"/>
    <xf numFmtId="182" fontId="5" fillId="0" borderId="0"/>
    <xf numFmtId="182" fontId="8" fillId="0" borderId="0">
      <alignment vertical="center"/>
    </xf>
    <xf numFmtId="182" fontId="8" fillId="0" borderId="0"/>
    <xf numFmtId="182" fontId="3" fillId="0" borderId="0"/>
    <xf numFmtId="182" fontId="4" fillId="0" borderId="0"/>
    <xf numFmtId="182" fontId="8" fillId="0" borderId="0"/>
    <xf numFmtId="182" fontId="3" fillId="0" borderId="0"/>
    <xf numFmtId="182" fontId="8" fillId="0" borderId="0">
      <alignment vertical="center"/>
    </xf>
    <xf numFmtId="182" fontId="3" fillId="0" borderId="0"/>
    <xf numFmtId="43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182" fontId="7" fillId="0" borderId="0"/>
    <xf numFmtId="182" fontId="20" fillId="0" borderId="0">
      <alignment vertical="center"/>
    </xf>
    <xf numFmtId="182" fontId="20" fillId="0" borderId="0">
      <alignment vertical="center"/>
    </xf>
    <xf numFmtId="182" fontId="4" fillId="0" borderId="0"/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8" fillId="0" borderId="0">
      <alignment vertical="center"/>
    </xf>
    <xf numFmtId="182" fontId="24" fillId="0" borderId="0"/>
    <xf numFmtId="182" fontId="20" fillId="0" borderId="0">
      <alignment vertical="center"/>
    </xf>
    <xf numFmtId="43" fontId="42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>
      <alignment vertical="center"/>
    </xf>
    <xf numFmtId="182" fontId="3" fillId="0" borderId="0"/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182" fontId="3" fillId="0" borderId="0"/>
    <xf numFmtId="182" fontId="20" fillId="0" borderId="0">
      <alignment vertical="center"/>
    </xf>
    <xf numFmtId="182" fontId="20" fillId="0" borderId="0">
      <alignment vertical="center"/>
    </xf>
    <xf numFmtId="182" fontId="3" fillId="0" borderId="0">
      <alignment vertical="center"/>
    </xf>
    <xf numFmtId="182" fontId="54" fillId="58" borderId="11" applyNumberFormat="0" applyAlignment="0" applyProtection="0">
      <alignment vertical="center"/>
    </xf>
    <xf numFmtId="182" fontId="3" fillId="0" borderId="0"/>
    <xf numFmtId="43" fontId="42" fillId="0" borderId="0" applyFont="0" applyFill="0" applyBorder="0" applyAlignment="0" applyProtection="0">
      <alignment vertical="center"/>
    </xf>
    <xf numFmtId="182" fontId="41" fillId="0" borderId="0"/>
    <xf numFmtId="182" fontId="55" fillId="44" borderId="0" applyNumberFormat="0" applyBorder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57" fillId="57" borderId="22" applyNumberFormat="0" applyAlignment="0" applyProtection="0">
      <alignment vertical="center"/>
    </xf>
    <xf numFmtId="182" fontId="58" fillId="0" borderId="0" applyNumberFormat="0" applyFill="0" applyBorder="0" applyAlignment="0" applyProtection="0">
      <alignment vertical="center"/>
    </xf>
    <xf numFmtId="182" fontId="52" fillId="0" borderId="0" applyNumberFormat="0" applyFill="0" applyBorder="0" applyAlignment="0" applyProtection="0">
      <alignment vertical="center"/>
    </xf>
    <xf numFmtId="182" fontId="59" fillId="0" borderId="23" applyNumberFormat="0" applyFill="0" applyAlignment="0" applyProtection="0">
      <alignment vertical="center"/>
    </xf>
    <xf numFmtId="182" fontId="44" fillId="59" borderId="0" applyNumberFormat="0" applyBorder="0" applyAlignment="0" applyProtection="0">
      <alignment vertical="center"/>
    </xf>
    <xf numFmtId="182" fontId="44" fillId="60" borderId="0" applyNumberFormat="0" applyBorder="0" applyAlignment="0" applyProtection="0">
      <alignment vertical="center"/>
    </xf>
    <xf numFmtId="182" fontId="44" fillId="61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62" borderId="0" applyNumberFormat="0" applyBorder="0" applyAlignment="0" applyProtection="0">
      <alignment vertical="center"/>
    </xf>
    <xf numFmtId="182" fontId="60" fillId="63" borderId="0" applyNumberFormat="0" applyBorder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8" fillId="0" borderId="0">
      <alignment vertical="center"/>
    </xf>
    <xf numFmtId="182" fontId="3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77" fillId="0" borderId="0">
      <alignment vertical="center"/>
    </xf>
    <xf numFmtId="182" fontId="3" fillId="0" borderId="0"/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182" fontId="42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41" fillId="0" borderId="0" applyNumberFormat="0" applyFont="0" applyFill="0" applyBorder="0" applyAlignment="0" applyProtection="0"/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8" fillId="0" borderId="0"/>
    <xf numFmtId="182" fontId="42" fillId="0" borderId="0"/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41" fillId="0" borderId="0" applyNumberFormat="0" applyFont="0" applyFill="0" applyBorder="0" applyAlignment="0" applyProtection="0"/>
    <xf numFmtId="182" fontId="3" fillId="0" borderId="0"/>
    <xf numFmtId="43" fontId="3" fillId="0" borderId="0" applyFont="0" applyFill="0" applyBorder="0" applyAlignment="0" applyProtection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1" fontId="3" fillId="0" borderId="0" applyFont="0" applyFill="0" applyBorder="0" applyAlignment="0" applyProtection="0">
      <alignment vertical="center"/>
    </xf>
    <xf numFmtId="182" fontId="3" fillId="0" borderId="0"/>
    <xf numFmtId="182" fontId="78" fillId="0" borderId="0"/>
    <xf numFmtId="181" fontId="3" fillId="0" borderId="0" applyFont="0" applyFill="0" applyBorder="0" applyAlignment="0" applyProtection="0">
      <alignment vertical="center"/>
    </xf>
    <xf numFmtId="181" fontId="3" fillId="0" borderId="0" applyFont="0" applyFill="0" applyBorder="0" applyAlignment="0" applyProtection="0">
      <alignment vertical="center"/>
    </xf>
    <xf numFmtId="182" fontId="3" fillId="0" borderId="0"/>
    <xf numFmtId="182" fontId="3" fillId="0" borderId="0"/>
    <xf numFmtId="182" fontId="3" fillId="0" borderId="0"/>
    <xf numFmtId="182" fontId="60" fillId="63" borderId="0" applyNumberFormat="0" applyBorder="0" applyAlignment="0" applyProtection="0">
      <alignment vertical="center"/>
    </xf>
    <xf numFmtId="182" fontId="3" fillId="0" borderId="0"/>
    <xf numFmtId="181" fontId="3" fillId="0" borderId="0" applyFon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65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55" fillId="66" borderId="0" applyNumberFormat="0" applyBorder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57" fillId="57" borderId="22" applyNumberFormat="0" applyAlignment="0" applyProtection="0">
      <alignment vertical="center"/>
    </xf>
    <xf numFmtId="182" fontId="58" fillId="0" borderId="0" applyNumberFormat="0" applyFill="0" applyBorder="0" applyAlignment="0" applyProtection="0">
      <alignment vertical="center"/>
    </xf>
    <xf numFmtId="182" fontId="52" fillId="0" borderId="0" applyNumberFormat="0" applyFill="0" applyBorder="0" applyAlignment="0" applyProtection="0">
      <alignment vertical="center"/>
    </xf>
    <xf numFmtId="182" fontId="59" fillId="0" borderId="23" applyNumberFormat="0" applyFill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182" fontId="41" fillId="0" borderId="0" applyNumberFormat="0" applyFont="0" applyFill="0" applyBorder="0" applyAlignment="0" applyProtection="0"/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20" fillId="0" borderId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3" fillId="0" borderId="0"/>
    <xf numFmtId="182" fontId="53" fillId="0" borderId="0"/>
    <xf numFmtId="182" fontId="48" fillId="0" borderId="17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8" fillId="0" borderId="0">
      <alignment vertical="center"/>
    </xf>
    <xf numFmtId="182" fontId="3" fillId="0" borderId="0"/>
    <xf numFmtId="182" fontId="3" fillId="0" borderId="0"/>
    <xf numFmtId="182" fontId="3" fillId="0" borderId="0"/>
    <xf numFmtId="182" fontId="3" fillId="0" borderId="0"/>
    <xf numFmtId="182" fontId="3" fillId="0" borderId="0">
      <alignment vertical="center"/>
    </xf>
    <xf numFmtId="182" fontId="3" fillId="0" borderId="0"/>
    <xf numFmtId="182" fontId="3" fillId="0" borderId="0"/>
    <xf numFmtId="182" fontId="8" fillId="0" borderId="0">
      <alignment vertical="center"/>
    </xf>
    <xf numFmtId="182" fontId="55" fillId="44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57" fillId="57" borderId="22" applyNumberFormat="0" applyAlignment="0" applyProtection="0">
      <alignment vertical="center"/>
    </xf>
    <xf numFmtId="182" fontId="58" fillId="0" borderId="0" applyNumberFormat="0" applyFill="0" applyBorder="0" applyAlignment="0" applyProtection="0">
      <alignment vertical="center"/>
    </xf>
    <xf numFmtId="182" fontId="52" fillId="0" borderId="0" applyNumberFormat="0" applyFill="0" applyBorder="0" applyAlignment="0" applyProtection="0">
      <alignment vertical="center"/>
    </xf>
    <xf numFmtId="182" fontId="59" fillId="0" borderId="23" applyNumberFormat="0" applyFill="0" applyAlignment="0" applyProtection="0">
      <alignment vertical="center"/>
    </xf>
    <xf numFmtId="182" fontId="60" fillId="63" borderId="0" applyNumberFormat="0" applyBorder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3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182" fontId="8" fillId="0" borderId="0">
      <alignment vertical="center"/>
    </xf>
    <xf numFmtId="182" fontId="3" fillId="0" borderId="0"/>
    <xf numFmtId="182" fontId="8" fillId="0" borderId="0"/>
    <xf numFmtId="182" fontId="8" fillId="0" borderId="0"/>
    <xf numFmtId="182" fontId="8" fillId="0" borderId="0"/>
    <xf numFmtId="182" fontId="8" fillId="0" borderId="0"/>
    <xf numFmtId="182" fontId="8" fillId="0" borderId="0"/>
    <xf numFmtId="182" fontId="8" fillId="0" borderId="0"/>
    <xf numFmtId="183" fontId="42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182" fontId="3" fillId="0" borderId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42" fontId="42" fillId="0" borderId="0" applyFont="0" applyFill="0" applyBorder="0" applyAlignment="0" applyProtection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3" fillId="0" borderId="0"/>
    <xf numFmtId="43" fontId="79" fillId="0" borderId="0" applyFont="0" applyFill="0" applyBorder="0" applyAlignment="0" applyProtection="0">
      <alignment vertical="center"/>
    </xf>
    <xf numFmtId="182" fontId="3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41" fillId="0" borderId="0" applyNumberFormat="0" applyFont="0" applyFill="0" applyBorder="0" applyAlignment="0" applyProtection="0"/>
    <xf numFmtId="182" fontId="80" fillId="0" borderId="0">
      <alignment vertical="center"/>
    </xf>
    <xf numFmtId="182" fontId="80" fillId="0" borderId="0">
      <alignment vertical="center"/>
    </xf>
    <xf numFmtId="182" fontId="41" fillId="0" borderId="0" applyNumberFormat="0" applyFont="0" applyFill="0" applyBorder="0" applyAlignment="0" applyProtection="0"/>
    <xf numFmtId="182" fontId="80" fillId="0" borderId="0">
      <alignment vertical="center"/>
    </xf>
    <xf numFmtId="182" fontId="80" fillId="0" borderId="0">
      <alignment vertical="center"/>
    </xf>
    <xf numFmtId="182" fontId="80" fillId="0" borderId="0">
      <alignment vertical="center"/>
    </xf>
    <xf numFmtId="0" fontId="41" fillId="0" borderId="0" applyNumberFormat="0" applyFont="0" applyFill="0" applyBorder="0" applyAlignment="0" applyProtection="0"/>
    <xf numFmtId="0" fontId="5" fillId="0" borderId="0">
      <alignment vertical="center"/>
    </xf>
    <xf numFmtId="182" fontId="5" fillId="0" borderId="0">
      <alignment vertical="center"/>
    </xf>
    <xf numFmtId="0" fontId="5" fillId="0" borderId="0">
      <alignment vertical="center"/>
    </xf>
    <xf numFmtId="0" fontId="41" fillId="0" borderId="0" applyNumberFormat="0" applyFont="0" applyFill="0" applyBorder="0" applyAlignment="0" applyProtection="0"/>
    <xf numFmtId="182" fontId="5" fillId="0" borderId="0">
      <alignment vertical="center"/>
    </xf>
    <xf numFmtId="182" fontId="5" fillId="0" borderId="0"/>
    <xf numFmtId="182" fontId="5" fillId="0" borderId="0"/>
    <xf numFmtId="182" fontId="5" fillId="0" borderId="0">
      <alignment vertical="center"/>
    </xf>
    <xf numFmtId="182" fontId="5" fillId="0" borderId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17" borderId="15" applyNumberFormat="0" applyFont="0" applyAlignment="0" applyProtection="0">
      <alignment vertical="center"/>
    </xf>
    <xf numFmtId="182" fontId="5" fillId="17" borderId="15" applyNumberFormat="0" applyFont="0" applyAlignment="0" applyProtection="0">
      <alignment vertical="center"/>
    </xf>
    <xf numFmtId="182" fontId="5" fillId="17" borderId="15" applyNumberFormat="0" applyFont="0" applyAlignment="0" applyProtection="0">
      <alignment vertical="center"/>
    </xf>
    <xf numFmtId="182" fontId="5" fillId="17" borderId="15" applyNumberFormat="0" applyFont="0" applyAlignment="0" applyProtection="0">
      <alignment vertical="center"/>
    </xf>
    <xf numFmtId="182" fontId="5" fillId="17" borderId="15" applyNumberFormat="0" applyFont="0" applyAlignment="0" applyProtection="0">
      <alignment vertical="center"/>
    </xf>
    <xf numFmtId="182" fontId="5" fillId="17" borderId="15" applyNumberFormat="0" applyFont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0" borderId="0">
      <alignment vertical="center"/>
    </xf>
    <xf numFmtId="182" fontId="5" fillId="0" borderId="0"/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</cellStyleXfs>
  <cellXfs count="241">
    <xf numFmtId="182" fontId="0" fillId="0" borderId="0" xfId="0">
      <alignment vertical="center"/>
    </xf>
    <xf numFmtId="182" fontId="0" fillId="0" borderId="0" xfId="0" applyAlignment="1"/>
    <xf numFmtId="182" fontId="0" fillId="0" borderId="1" xfId="0" applyBorder="1">
      <alignment vertical="center"/>
    </xf>
    <xf numFmtId="182" fontId="0" fillId="0" borderId="1" xfId="0" applyBorder="1" applyAlignment="1">
      <alignment horizontal="center" vertical="center"/>
    </xf>
    <xf numFmtId="182" fontId="4" fillId="0" borderId="1" xfId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182" fontId="4" fillId="0" borderId="1" xfId="1" applyFont="1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82" fontId="0" fillId="2" borderId="1" xfId="0" applyFill="1" applyBorder="1" applyAlignment="1">
      <alignment horizontal="center" vertical="center"/>
    </xf>
    <xf numFmtId="182" fontId="0" fillId="0" borderId="1" xfId="0" applyBorder="1" applyAlignment="1"/>
    <xf numFmtId="43" fontId="0" fillId="0" borderId="1" xfId="3" applyFont="1" applyBorder="1" applyAlignment="1"/>
    <xf numFmtId="182" fontId="0" fillId="2" borderId="1" xfId="0" applyFill="1" applyBorder="1" applyAlignment="1"/>
    <xf numFmtId="43" fontId="0" fillId="2" borderId="1" xfId="3" applyFont="1" applyFill="1" applyBorder="1" applyAlignment="1"/>
    <xf numFmtId="182" fontId="0" fillId="0" borderId="0" xfId="0" applyAlignment="1">
      <alignment horizontal="center" vertical="center"/>
    </xf>
    <xf numFmtId="43" fontId="0" fillId="0" borderId="0" xfId="3" applyFont="1" applyAlignment="1"/>
    <xf numFmtId="182" fontId="0" fillId="0" borderId="0" xfId="0" applyAlignment="1">
      <alignment vertical="center"/>
    </xf>
    <xf numFmtId="182" fontId="0" fillId="3" borderId="4" xfId="0" applyFill="1" applyBorder="1" applyAlignment="1">
      <alignment horizontal="center" vertical="center"/>
    </xf>
    <xf numFmtId="177" fontId="0" fillId="3" borderId="4" xfId="0" applyNumberFormat="1" applyFill="1" applyBorder="1" applyAlignment="1">
      <alignment horizontal="center" vertical="center"/>
    </xf>
    <xf numFmtId="182" fontId="0" fillId="4" borderId="4" xfId="0" applyFill="1" applyBorder="1" applyAlignment="1">
      <alignment vertical="center"/>
    </xf>
    <xf numFmtId="177" fontId="0" fillId="4" borderId="4" xfId="0" applyNumberFormat="1" applyFill="1" applyBorder="1" applyAlignment="1">
      <alignment vertical="center"/>
    </xf>
    <xf numFmtId="182" fontId="0" fillId="4" borderId="0" xfId="0" applyFill="1" applyAlignment="1">
      <alignment vertical="center"/>
    </xf>
    <xf numFmtId="182" fontId="0" fillId="3" borderId="4" xfId="0" applyNumberFormat="1" applyFill="1" applyBorder="1" applyAlignment="1">
      <alignment horizontal="center" vertical="center"/>
    </xf>
    <xf numFmtId="182" fontId="11" fillId="0" borderId="1" xfId="0" applyFont="1" applyBorder="1" applyAlignment="1">
      <alignment horizontal="center" vertical="center"/>
    </xf>
    <xf numFmtId="182" fontId="11" fillId="2" borderId="1" xfId="0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182" fontId="0" fillId="4" borderId="4" xfId="0" applyFill="1" applyBorder="1" applyAlignment="1">
      <alignment horizontal="left" vertical="center" wrapText="1"/>
    </xf>
    <xf numFmtId="182" fontId="0" fillId="4" borderId="4" xfId="0" applyNumberFormat="1" applyFill="1" applyBorder="1" applyAlignment="1">
      <alignment horizontal="right" vertical="center"/>
    </xf>
    <xf numFmtId="182" fontId="0" fillId="4" borderId="4" xfId="0" applyNumberFormat="1" applyFill="1" applyBorder="1" applyAlignment="1">
      <alignment horizontal="right" vertical="center" wrapText="1"/>
    </xf>
    <xf numFmtId="182" fontId="0" fillId="3" borderId="4" xfId="0" applyNumberFormat="1" applyFill="1" applyBorder="1" applyAlignment="1">
      <alignment horizontal="right" vertical="center"/>
    </xf>
    <xf numFmtId="182" fontId="0" fillId="0" borderId="0" xfId="0" applyNumberFormat="1" applyAlignment="1">
      <alignment vertical="center"/>
    </xf>
    <xf numFmtId="182" fontId="15" fillId="5" borderId="0" xfId="0" applyFont="1" applyFill="1" applyAlignment="1" applyProtection="1">
      <protection locked="0"/>
    </xf>
    <xf numFmtId="182" fontId="17" fillId="5" borderId="1" xfId="0" applyNumberFormat="1" applyFont="1" applyFill="1" applyBorder="1" applyAlignment="1" applyProtection="1">
      <alignment horizontal="center" vertical="center"/>
      <protection locked="0"/>
    </xf>
    <xf numFmtId="182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182" fontId="18" fillId="5" borderId="1" xfId="0" applyNumberFormat="1" applyFont="1" applyFill="1" applyBorder="1" applyAlignment="1" applyProtection="1">
      <protection locked="0"/>
    </xf>
    <xf numFmtId="49" fontId="18" fillId="5" borderId="1" xfId="0" applyNumberFormat="1" applyFont="1" applyFill="1" applyBorder="1" applyAlignment="1" applyProtection="1">
      <protection locked="0"/>
    </xf>
    <xf numFmtId="49" fontId="18" fillId="5" borderId="1" xfId="0" applyNumberFormat="1" applyFont="1" applyFill="1" applyBorder="1" applyAlignment="1" applyProtection="1">
      <alignment wrapText="1"/>
      <protection locked="0"/>
    </xf>
    <xf numFmtId="178" fontId="19" fillId="5" borderId="1" xfId="0" applyNumberFormat="1" applyFont="1" applyFill="1" applyBorder="1" applyAlignment="1" applyProtection="1"/>
    <xf numFmtId="178" fontId="19" fillId="5" borderId="1" xfId="0" applyNumberFormat="1" applyFont="1" applyFill="1" applyBorder="1" applyAlignment="1" applyProtection="1">
      <protection locked="0"/>
    </xf>
    <xf numFmtId="49" fontId="19" fillId="5" borderId="1" xfId="0" applyNumberFormat="1" applyFont="1" applyFill="1" applyBorder="1" applyAlignment="1" applyProtection="1">
      <protection locked="0"/>
    </xf>
    <xf numFmtId="49" fontId="19" fillId="5" borderId="1" xfId="0" applyNumberFormat="1" applyFont="1" applyFill="1" applyBorder="1" applyAlignment="1" applyProtection="1">
      <alignment wrapText="1"/>
      <protection locked="0"/>
    </xf>
    <xf numFmtId="182" fontId="19" fillId="5" borderId="0" xfId="0" applyFont="1" applyFill="1" applyAlignment="1" applyProtection="1">
      <protection locked="0"/>
    </xf>
    <xf numFmtId="49" fontId="15" fillId="5" borderId="1" xfId="0" applyNumberFormat="1" applyFont="1" applyFill="1" applyBorder="1" applyAlignment="1" applyProtection="1">
      <protection locked="0"/>
    </xf>
    <xf numFmtId="49" fontId="15" fillId="5" borderId="1" xfId="0" applyNumberFormat="1" applyFont="1" applyFill="1" applyBorder="1" applyAlignment="1" applyProtection="1">
      <alignment wrapText="1"/>
      <protection locked="0"/>
    </xf>
    <xf numFmtId="178" fontId="15" fillId="5" borderId="1" xfId="0" applyNumberFormat="1" applyFont="1" applyFill="1" applyBorder="1" applyAlignment="1" applyProtection="1">
      <protection locked="0"/>
    </xf>
    <xf numFmtId="178" fontId="15" fillId="5" borderId="6" xfId="0" applyNumberFormat="1" applyFont="1" applyFill="1" applyBorder="1" applyAlignment="1" applyProtection="1">
      <protection locked="0"/>
    </xf>
    <xf numFmtId="178" fontId="15" fillId="5" borderId="1" xfId="0" applyNumberFormat="1" applyFont="1" applyFill="1" applyBorder="1" applyAlignment="1" applyProtection="1"/>
    <xf numFmtId="179" fontId="19" fillId="5" borderId="1" xfId="0" applyNumberFormat="1" applyFont="1" applyFill="1" applyBorder="1" applyAlignment="1" applyProtection="1">
      <protection locked="0"/>
    </xf>
    <xf numFmtId="182" fontId="15" fillId="5" borderId="1" xfId="0" applyFont="1" applyFill="1" applyBorder="1" applyAlignment="1" applyProtection="1">
      <alignment wrapText="1"/>
      <protection locked="0"/>
    </xf>
    <xf numFmtId="182" fontId="19" fillId="5" borderId="1" xfId="0" applyFont="1" applyFill="1" applyBorder="1" applyAlignment="1" applyProtection="1">
      <alignment wrapText="1"/>
      <protection locked="0"/>
    </xf>
    <xf numFmtId="179" fontId="15" fillId="5" borderId="1" xfId="0" applyNumberFormat="1" applyFont="1" applyFill="1" applyBorder="1" applyAlignment="1" applyProtection="1">
      <protection locked="0"/>
    </xf>
    <xf numFmtId="49" fontId="18" fillId="5" borderId="7" xfId="0" applyNumberFormat="1" applyFont="1" applyFill="1" applyBorder="1" applyAlignment="1" applyProtection="1">
      <alignment vertical="center"/>
      <protection locked="0"/>
    </xf>
    <xf numFmtId="182" fontId="15" fillId="5" borderId="7" xfId="0" applyFont="1" applyFill="1" applyBorder="1" applyAlignment="1" applyProtection="1">
      <alignment wrapText="1"/>
      <protection locked="0"/>
    </xf>
    <xf numFmtId="178" fontId="15" fillId="5" borderId="7" xfId="0" applyNumberFormat="1" applyFont="1" applyFill="1" applyBorder="1" applyAlignment="1" applyProtection="1">
      <protection locked="0"/>
    </xf>
    <xf numFmtId="49" fontId="18" fillId="5" borderId="5" xfId="0" applyNumberFormat="1" applyFont="1" applyFill="1" applyBorder="1" applyAlignment="1" applyProtection="1">
      <alignment vertical="center"/>
      <protection locked="0"/>
    </xf>
    <xf numFmtId="182" fontId="15" fillId="5" borderId="5" xfId="0" applyFont="1" applyFill="1" applyBorder="1" applyAlignment="1" applyProtection="1">
      <alignment wrapText="1"/>
      <protection locked="0"/>
    </xf>
    <xf numFmtId="178" fontId="15" fillId="5" borderId="5" xfId="0" applyNumberFormat="1" applyFont="1" applyFill="1" applyBorder="1" applyAlignment="1" applyProtection="1">
      <protection locked="0"/>
    </xf>
    <xf numFmtId="49" fontId="18" fillId="5" borderId="1" xfId="0" applyNumberFormat="1" applyFont="1" applyFill="1" applyBorder="1" applyAlignment="1" applyProtection="1">
      <alignment horizontal="left"/>
      <protection locked="0"/>
    </xf>
    <xf numFmtId="177" fontId="15" fillId="5" borderId="1" xfId="0" applyNumberFormat="1" applyFont="1" applyFill="1" applyBorder="1" applyAlignment="1" applyProtection="1">
      <protection locked="0"/>
    </xf>
    <xf numFmtId="182" fontId="15" fillId="5" borderId="0" xfId="0" applyFont="1" applyFill="1" applyAlignment="1" applyProtection="1">
      <alignment wrapText="1"/>
      <protection locked="0"/>
    </xf>
    <xf numFmtId="182" fontId="18" fillId="4" borderId="1" xfId="0" applyNumberFormat="1" applyFont="1" applyFill="1" applyBorder="1" applyAlignment="1" applyProtection="1">
      <protection locked="0"/>
    </xf>
    <xf numFmtId="178" fontId="19" fillId="4" borderId="1" xfId="0" applyNumberFormat="1" applyFont="1" applyFill="1" applyBorder="1" applyAlignment="1" applyProtection="1"/>
    <xf numFmtId="182" fontId="15" fillId="4" borderId="0" xfId="0" applyFont="1" applyFill="1" applyAlignment="1" applyProtection="1">
      <protection locked="0"/>
    </xf>
    <xf numFmtId="178" fontId="19" fillId="4" borderId="1" xfId="0" applyNumberFormat="1" applyFont="1" applyFill="1" applyBorder="1" applyAlignment="1" applyProtection="1">
      <protection locked="0"/>
    </xf>
    <xf numFmtId="49" fontId="18" fillId="4" borderId="1" xfId="0" applyNumberFormat="1" applyFont="1" applyFill="1" applyBorder="1" applyAlignment="1" applyProtection="1">
      <protection locked="0"/>
    </xf>
    <xf numFmtId="49" fontId="18" fillId="4" borderId="1" xfId="0" applyNumberFormat="1" applyFont="1" applyFill="1" applyBorder="1" applyAlignment="1" applyProtection="1">
      <alignment wrapText="1"/>
      <protection locked="0"/>
    </xf>
    <xf numFmtId="182" fontId="22" fillId="4" borderId="0" xfId="0" applyFont="1" applyFill="1" applyAlignment="1">
      <alignment horizontal="center" vertical="center"/>
    </xf>
    <xf numFmtId="182" fontId="26" fillId="4" borderId="0" xfId="0" applyFont="1" applyFill="1" applyAlignment="1">
      <alignment horizontal="center" vertical="center"/>
    </xf>
    <xf numFmtId="182" fontId="0" fillId="3" borderId="1" xfId="0" applyFont="1" applyFill="1" applyBorder="1" applyAlignment="1">
      <alignment horizontal="center" vertical="center"/>
    </xf>
    <xf numFmtId="182" fontId="28" fillId="3" borderId="1" xfId="0" applyFont="1" applyFill="1" applyBorder="1" applyAlignment="1">
      <alignment horizontal="center" vertical="center" wrapText="1"/>
    </xf>
    <xf numFmtId="179" fontId="30" fillId="3" borderId="1" xfId="16" applyNumberFormat="1" applyFont="1" applyFill="1" applyBorder="1" applyAlignment="1">
      <alignment horizontal="center" vertical="center" wrapText="1"/>
    </xf>
    <xf numFmtId="179" fontId="30" fillId="3" borderId="1" xfId="0" applyNumberFormat="1" applyFont="1" applyFill="1" applyBorder="1" applyAlignment="1">
      <alignment horizontal="center" vertical="center" wrapText="1"/>
    </xf>
    <xf numFmtId="182" fontId="30" fillId="3" borderId="1" xfId="0" applyFont="1" applyFill="1" applyBorder="1" applyAlignment="1">
      <alignment horizontal="center" vertical="center" wrapText="1"/>
    </xf>
    <xf numFmtId="182" fontId="31" fillId="3" borderId="1" xfId="0" applyFont="1" applyFill="1" applyBorder="1" applyAlignment="1">
      <alignment horizontal="center" vertical="center" wrapText="1"/>
    </xf>
    <xf numFmtId="182" fontId="28" fillId="3" borderId="1" xfId="0" applyFont="1" applyFill="1" applyBorder="1" applyAlignment="1">
      <alignment horizontal="center" vertical="center"/>
    </xf>
    <xf numFmtId="182" fontId="29" fillId="3" borderId="1" xfId="0" applyFont="1" applyFill="1" applyBorder="1" applyAlignment="1">
      <alignment horizontal="center" vertical="center" wrapText="1"/>
    </xf>
    <xf numFmtId="182" fontId="32" fillId="3" borderId="1" xfId="0" applyFont="1" applyFill="1" applyBorder="1" applyAlignment="1">
      <alignment horizontal="center" vertical="center"/>
    </xf>
    <xf numFmtId="182" fontId="34" fillId="4" borderId="1" xfId="0" applyFont="1" applyFill="1" applyBorder="1" applyAlignment="1">
      <alignment horizontal="center" vertical="center"/>
    </xf>
    <xf numFmtId="179" fontId="34" fillId="4" borderId="1" xfId="16" applyNumberFormat="1" applyFont="1" applyFill="1" applyBorder="1" applyAlignment="1">
      <alignment horizontal="center" vertical="center"/>
    </xf>
    <xf numFmtId="43" fontId="34" fillId="4" borderId="1" xfId="16" applyFont="1" applyFill="1" applyBorder="1" applyAlignment="1">
      <alignment horizontal="center" vertical="center"/>
    </xf>
    <xf numFmtId="182" fontId="26" fillId="4" borderId="1" xfId="0" applyFont="1" applyFill="1" applyBorder="1" applyAlignment="1">
      <alignment horizontal="center" vertical="center"/>
    </xf>
    <xf numFmtId="43" fontId="26" fillId="4" borderId="1" xfId="0" applyNumberFormat="1" applyFont="1" applyFill="1" applyBorder="1" applyAlignment="1">
      <alignment horizontal="center" vertical="center"/>
    </xf>
    <xf numFmtId="182" fontId="34" fillId="4" borderId="1" xfId="0" applyFont="1" applyFill="1" applyBorder="1" applyAlignment="1">
      <alignment horizontal="center" vertical="center" wrapText="1"/>
    </xf>
    <xf numFmtId="182" fontId="33" fillId="2" borderId="1" xfId="0" applyFont="1" applyFill="1" applyBorder="1" applyAlignment="1">
      <alignment horizontal="center" vertical="center"/>
    </xf>
    <xf numFmtId="177" fontId="34" fillId="4" borderId="1" xfId="0" applyNumberFormat="1" applyFont="1" applyFill="1" applyBorder="1" applyAlignment="1">
      <alignment horizontal="right" vertical="center"/>
    </xf>
    <xf numFmtId="182" fontId="2" fillId="4" borderId="1" xfId="0" applyFont="1" applyFill="1" applyBorder="1" applyAlignment="1">
      <alignment horizontal="center" vertical="center" wrapText="1"/>
    </xf>
    <xf numFmtId="179" fontId="26" fillId="4" borderId="0" xfId="16" applyNumberFormat="1" applyFont="1" applyFill="1" applyAlignment="1">
      <alignment horizontal="center" vertical="center"/>
    </xf>
    <xf numFmtId="179" fontId="26" fillId="4" borderId="0" xfId="0" applyNumberFormat="1" applyFont="1" applyFill="1" applyAlignment="1">
      <alignment horizontal="center" vertical="center"/>
    </xf>
    <xf numFmtId="182" fontId="33" fillId="4" borderId="1" xfId="0" applyFont="1" applyFill="1" applyBorder="1" applyAlignment="1">
      <alignment horizontal="center" vertical="center"/>
    </xf>
    <xf numFmtId="182" fontId="34" fillId="4" borderId="0" xfId="0" applyFont="1" applyFill="1" applyAlignment="1">
      <alignment horizontal="center" vertical="center"/>
    </xf>
    <xf numFmtId="178" fontId="19" fillId="6" borderId="1" xfId="0" applyNumberFormat="1" applyFont="1" applyFill="1" applyBorder="1" applyAlignment="1" applyProtection="1">
      <protection locked="0"/>
    </xf>
    <xf numFmtId="9" fontId="15" fillId="5" borderId="0" xfId="0" applyNumberFormat="1" applyFont="1" applyFill="1" applyAlignment="1" applyProtection="1">
      <protection locked="0"/>
    </xf>
    <xf numFmtId="178" fontId="19" fillId="5" borderId="1" xfId="0" applyNumberFormat="1" applyFont="1" applyFill="1" applyBorder="1" applyAlignment="1" applyProtection="1">
      <alignment vertical="center"/>
      <protection locked="0"/>
    </xf>
    <xf numFmtId="178" fontId="15" fillId="5" borderId="1" xfId="0" applyNumberFormat="1" applyFont="1" applyFill="1" applyBorder="1" applyAlignment="1" applyProtection="1">
      <alignment vertical="center"/>
      <protection locked="0"/>
    </xf>
    <xf numFmtId="182" fontId="17" fillId="5" borderId="1" xfId="18" applyNumberFormat="1" applyFont="1" applyFill="1" applyBorder="1" applyAlignment="1" applyProtection="1">
      <alignment horizontal="center" vertical="center" wrapText="1"/>
      <protection locked="0"/>
    </xf>
    <xf numFmtId="177" fontId="19" fillId="5" borderId="1" xfId="0" applyNumberFormat="1" applyFont="1" applyFill="1" applyBorder="1" applyAlignment="1" applyProtection="1"/>
    <xf numFmtId="180" fontId="15" fillId="5" borderId="0" xfId="0" applyNumberFormat="1" applyFont="1" applyFill="1" applyAlignment="1" applyProtection="1">
      <protection locked="0"/>
    </xf>
    <xf numFmtId="178" fontId="19" fillId="5" borderId="1" xfId="18" applyNumberFormat="1" applyFont="1" applyFill="1" applyBorder="1" applyAlignment="1" applyProtection="1">
      <protection locked="0"/>
    </xf>
    <xf numFmtId="178" fontId="19" fillId="0" borderId="1" xfId="0" applyNumberFormat="1" applyFont="1" applyFill="1" applyBorder="1" applyAlignment="1" applyProtection="1"/>
    <xf numFmtId="178" fontId="19" fillId="5" borderId="1" xfId="18" applyNumberFormat="1" applyFont="1" applyFill="1" applyBorder="1" applyAlignment="1" applyProtection="1"/>
    <xf numFmtId="178" fontId="19" fillId="0" borderId="1" xfId="18" applyNumberFormat="1" applyFont="1" applyFill="1" applyBorder="1" applyAlignment="1" applyProtection="1"/>
    <xf numFmtId="178" fontId="19" fillId="7" borderId="1" xfId="0" applyNumberFormat="1" applyFont="1" applyFill="1" applyBorder="1" applyAlignment="1" applyProtection="1"/>
    <xf numFmtId="182" fontId="18" fillId="7" borderId="1" xfId="0" applyNumberFormat="1" applyFont="1" applyFill="1" applyBorder="1" applyAlignment="1" applyProtection="1">
      <protection locked="0"/>
    </xf>
    <xf numFmtId="49" fontId="19" fillId="7" borderId="1" xfId="0" applyNumberFormat="1" applyFont="1" applyFill="1" applyBorder="1" applyAlignment="1" applyProtection="1">
      <protection locked="0"/>
    </xf>
    <xf numFmtId="49" fontId="19" fillId="7" borderId="1" xfId="0" applyNumberFormat="1" applyFont="1" applyFill="1" applyBorder="1" applyAlignment="1" applyProtection="1">
      <alignment wrapText="1"/>
      <protection locked="0"/>
    </xf>
    <xf numFmtId="177" fontId="19" fillId="7" borderId="1" xfId="0" applyNumberFormat="1" applyFont="1" applyFill="1" applyBorder="1" applyAlignment="1" applyProtection="1"/>
    <xf numFmtId="182" fontId="19" fillId="7" borderId="0" xfId="0" applyFont="1" applyFill="1" applyAlignment="1" applyProtection="1">
      <protection locked="0"/>
    </xf>
    <xf numFmtId="178" fontId="15" fillId="6" borderId="1" xfId="0" applyNumberFormat="1" applyFont="1" applyFill="1" applyBorder="1" applyAlignment="1" applyProtection="1"/>
    <xf numFmtId="178" fontId="19" fillId="6" borderId="1" xfId="0" applyNumberFormat="1" applyFont="1" applyFill="1" applyBorder="1" applyAlignment="1" applyProtection="1"/>
    <xf numFmtId="177" fontId="15" fillId="6" borderId="1" xfId="18" applyNumberFormat="1" applyFont="1" applyFill="1" applyBorder="1" applyAlignment="1" applyProtection="1">
      <protection locked="0"/>
    </xf>
    <xf numFmtId="177" fontId="19" fillId="6" borderId="1" xfId="18" applyNumberFormat="1" applyFont="1" applyFill="1" applyBorder="1" applyAlignment="1" applyProtection="1">
      <protection locked="0"/>
    </xf>
    <xf numFmtId="177" fontId="19" fillId="7" borderId="1" xfId="0" applyNumberFormat="1" applyFont="1" applyFill="1" applyBorder="1" applyAlignment="1" applyProtection="1">
      <protection locked="0"/>
    </xf>
    <xf numFmtId="177" fontId="19" fillId="7" borderId="1" xfId="18" applyNumberFormat="1" applyFont="1" applyFill="1" applyBorder="1" applyAlignment="1" applyProtection="1">
      <protection locked="0"/>
    </xf>
    <xf numFmtId="177" fontId="19" fillId="6" borderId="1" xfId="0" applyNumberFormat="1" applyFont="1" applyFill="1" applyBorder="1" applyAlignment="1" applyProtection="1">
      <protection locked="0"/>
    </xf>
    <xf numFmtId="178" fontId="15" fillId="0" borderId="1" xfId="0" applyNumberFormat="1" applyFont="1" applyFill="1" applyBorder="1" applyAlignment="1" applyProtection="1">
      <protection locked="0"/>
    </xf>
    <xf numFmtId="178" fontId="15" fillId="5" borderId="1" xfId="18" applyNumberFormat="1" applyFont="1" applyFill="1" applyBorder="1" applyAlignment="1" applyProtection="1">
      <protection locked="0"/>
    </xf>
    <xf numFmtId="178" fontId="15" fillId="0" borderId="1" xfId="18" applyNumberFormat="1" applyFont="1" applyFill="1" applyBorder="1" applyAlignment="1" applyProtection="1">
      <protection locked="0"/>
    </xf>
    <xf numFmtId="43" fontId="23" fillId="0" borderId="1" xfId="17" applyNumberFormat="1" applyFont="1" applyFill="1" applyBorder="1" applyAlignment="1" applyProtection="1">
      <alignment horizontal="right" vertical="center" shrinkToFit="1"/>
      <protection locked="0"/>
    </xf>
    <xf numFmtId="178" fontId="15" fillId="0" borderId="1" xfId="0" applyNumberFormat="1" applyFont="1" applyFill="1" applyBorder="1" applyAlignment="1" applyProtection="1"/>
    <xf numFmtId="179" fontId="19" fillId="0" borderId="1" xfId="0" applyNumberFormat="1" applyFont="1" applyFill="1" applyBorder="1" applyAlignment="1" applyProtection="1">
      <protection locked="0"/>
    </xf>
    <xf numFmtId="179" fontId="19" fillId="5" borderId="1" xfId="18" applyNumberFormat="1" applyFont="1" applyFill="1" applyBorder="1" applyAlignment="1" applyProtection="1">
      <protection locked="0"/>
    </xf>
    <xf numFmtId="179" fontId="19" fillId="0" borderId="1" xfId="18" applyNumberFormat="1" applyFont="1" applyFill="1" applyBorder="1" applyAlignment="1" applyProtection="1">
      <protection locked="0"/>
    </xf>
    <xf numFmtId="178" fontId="19" fillId="0" borderId="1" xfId="18" applyNumberFormat="1" applyFont="1" applyFill="1" applyBorder="1" applyAlignment="1" applyProtection="1">
      <protection locked="0"/>
    </xf>
    <xf numFmtId="178" fontId="19" fillId="0" borderId="1" xfId="0" applyNumberFormat="1" applyFont="1" applyFill="1" applyBorder="1" applyAlignment="1" applyProtection="1">
      <protection locked="0"/>
    </xf>
    <xf numFmtId="49" fontId="18" fillId="7" borderId="1" xfId="0" applyNumberFormat="1" applyFont="1" applyFill="1" applyBorder="1" applyAlignment="1" applyProtection="1">
      <protection locked="0"/>
    </xf>
    <xf numFmtId="49" fontId="18" fillId="7" borderId="1" xfId="0" applyNumberFormat="1" applyFont="1" applyFill="1" applyBorder="1" applyAlignment="1" applyProtection="1">
      <alignment wrapText="1"/>
      <protection locked="0"/>
    </xf>
    <xf numFmtId="182" fontId="15" fillId="7" borderId="0" xfId="0" applyFont="1" applyFill="1" applyAlignment="1" applyProtection="1">
      <protection locked="0"/>
    </xf>
    <xf numFmtId="178" fontId="19" fillId="8" borderId="1" xfId="0" applyNumberFormat="1" applyFont="1" applyFill="1" applyBorder="1" applyAlignment="1" applyProtection="1">
      <protection locked="0"/>
    </xf>
    <xf numFmtId="182" fontId="18" fillId="6" borderId="1" xfId="0" applyNumberFormat="1" applyFont="1" applyFill="1" applyBorder="1" applyAlignment="1" applyProtection="1">
      <protection locked="0"/>
    </xf>
    <xf numFmtId="49" fontId="19" fillId="6" borderId="1" xfId="0" applyNumberFormat="1" applyFont="1" applyFill="1" applyBorder="1" applyAlignment="1" applyProtection="1">
      <protection locked="0"/>
    </xf>
    <xf numFmtId="49" fontId="19" fillId="6" borderId="1" xfId="0" applyNumberFormat="1" applyFont="1" applyFill="1" applyBorder="1" applyAlignment="1" applyProtection="1">
      <alignment wrapText="1"/>
      <protection locked="0"/>
    </xf>
    <xf numFmtId="177" fontId="19" fillId="6" borderId="1" xfId="0" applyNumberFormat="1" applyFont="1" applyFill="1" applyBorder="1" applyAlignment="1" applyProtection="1"/>
    <xf numFmtId="182" fontId="19" fillId="6" borderId="2" xfId="0" applyFont="1" applyFill="1" applyBorder="1" applyAlignment="1" applyProtection="1">
      <protection locked="0"/>
    </xf>
    <xf numFmtId="182" fontId="18" fillId="5" borderId="5" xfId="0" applyNumberFormat="1" applyFont="1" applyFill="1" applyBorder="1" applyAlignment="1" applyProtection="1">
      <protection locked="0"/>
    </xf>
    <xf numFmtId="49" fontId="18" fillId="5" borderId="5" xfId="0" applyNumberFormat="1" applyFont="1" applyFill="1" applyBorder="1" applyAlignment="1" applyProtection="1">
      <protection locked="0"/>
    </xf>
    <xf numFmtId="49" fontId="18" fillId="5" borderId="5" xfId="0" applyNumberFormat="1" applyFont="1" applyFill="1" applyBorder="1" applyAlignment="1" applyProtection="1">
      <alignment wrapText="1"/>
      <protection locked="0"/>
    </xf>
    <xf numFmtId="178" fontId="19" fillId="5" borderId="5" xfId="0" applyNumberFormat="1" applyFont="1" applyFill="1" applyBorder="1" applyAlignment="1" applyProtection="1"/>
    <xf numFmtId="177" fontId="19" fillId="5" borderId="5" xfId="0" applyNumberFormat="1" applyFont="1" applyFill="1" applyBorder="1" applyAlignment="1" applyProtection="1"/>
    <xf numFmtId="179" fontId="15" fillId="5" borderId="1" xfId="18" applyNumberFormat="1" applyFont="1" applyFill="1" applyBorder="1" applyAlignment="1" applyProtection="1">
      <protection locked="0"/>
    </xf>
    <xf numFmtId="178" fontId="15" fillId="5" borderId="7" xfId="18" applyNumberFormat="1" applyFont="1" applyFill="1" applyBorder="1" applyAlignment="1" applyProtection="1">
      <protection locked="0"/>
    </xf>
    <xf numFmtId="178" fontId="15" fillId="5" borderId="5" xfId="18" applyNumberFormat="1" applyFont="1" applyFill="1" applyBorder="1" applyAlignment="1" applyProtection="1">
      <protection locked="0"/>
    </xf>
    <xf numFmtId="177" fontId="15" fillId="5" borderId="1" xfId="18" applyNumberFormat="1" applyFont="1" applyFill="1" applyBorder="1" applyProtection="1">
      <protection locked="0"/>
    </xf>
    <xf numFmtId="182" fontId="24" fillId="0" borderId="0" xfId="0" applyFont="1" applyFill="1" applyAlignment="1"/>
    <xf numFmtId="182" fontId="0" fillId="9" borderId="1" xfId="0" applyFill="1" applyBorder="1" applyAlignment="1" applyProtection="1">
      <alignment horizontal="center" vertical="center"/>
      <protection locked="0"/>
    </xf>
    <xf numFmtId="178" fontId="15" fillId="5" borderId="0" xfId="0" applyNumberFormat="1" applyFont="1" applyFill="1" applyAlignment="1" applyProtection="1">
      <protection locked="0"/>
    </xf>
    <xf numFmtId="178" fontId="19" fillId="10" borderId="1" xfId="0" applyNumberFormat="1" applyFont="1" applyFill="1" applyBorder="1" applyAlignment="1" applyProtection="1">
      <protection locked="0"/>
    </xf>
    <xf numFmtId="182" fontId="2" fillId="5" borderId="0" xfId="0" applyFont="1" applyFill="1" applyAlignment="1" applyProtection="1">
      <protection locked="0"/>
    </xf>
    <xf numFmtId="182" fontId="37" fillId="5" borderId="1" xfId="0" applyNumberFormat="1" applyFont="1" applyFill="1" applyBorder="1" applyAlignment="1" applyProtection="1">
      <alignment horizontal="center" vertical="center"/>
      <protection locked="0"/>
    </xf>
    <xf numFmtId="182" fontId="37" fillId="5" borderId="1" xfId="0" applyNumberFormat="1" applyFont="1" applyFill="1" applyBorder="1" applyAlignment="1" applyProtection="1">
      <alignment horizontal="center" vertical="center" wrapText="1"/>
      <protection locked="0"/>
    </xf>
    <xf numFmtId="182" fontId="2" fillId="5" borderId="0" xfId="0" applyFont="1" applyFill="1" applyAlignment="1" applyProtection="1">
      <alignment horizontal="center"/>
      <protection locked="0"/>
    </xf>
    <xf numFmtId="182" fontId="38" fillId="5" borderId="1" xfId="0" applyNumberFormat="1" applyFont="1" applyFill="1" applyBorder="1" applyAlignment="1" applyProtection="1">
      <protection locked="0"/>
    </xf>
    <xf numFmtId="49" fontId="38" fillId="5" borderId="1" xfId="0" applyNumberFormat="1" applyFont="1" applyFill="1" applyBorder="1" applyAlignment="1" applyProtection="1">
      <protection locked="0"/>
    </xf>
    <xf numFmtId="49" fontId="38" fillId="5" borderId="1" xfId="0" applyNumberFormat="1" applyFont="1" applyFill="1" applyBorder="1" applyAlignment="1" applyProtection="1">
      <alignment wrapText="1"/>
      <protection locked="0"/>
    </xf>
    <xf numFmtId="178" fontId="39" fillId="5" borderId="1" xfId="0" applyNumberFormat="1" applyFont="1" applyFill="1" applyBorder="1" applyAlignment="1" applyProtection="1"/>
    <xf numFmtId="178" fontId="2" fillId="5" borderId="0" xfId="0" applyNumberFormat="1" applyFont="1" applyFill="1" applyAlignment="1" applyProtection="1">
      <protection locked="0"/>
    </xf>
    <xf numFmtId="178" fontId="39" fillId="5" borderId="1" xfId="0" applyNumberFormat="1" applyFont="1" applyFill="1" applyBorder="1" applyAlignment="1" applyProtection="1">
      <protection locked="0"/>
    </xf>
    <xf numFmtId="49" fontId="39" fillId="5" borderId="1" xfId="0" applyNumberFormat="1" applyFont="1" applyFill="1" applyBorder="1" applyAlignment="1" applyProtection="1">
      <protection locked="0"/>
    </xf>
    <xf numFmtId="49" fontId="39" fillId="5" borderId="1" xfId="0" applyNumberFormat="1" applyFont="1" applyFill="1" applyBorder="1" applyAlignment="1" applyProtection="1">
      <alignment wrapText="1"/>
      <protection locked="0"/>
    </xf>
    <xf numFmtId="182" fontId="39" fillId="5" borderId="0" xfId="0" applyFont="1" applyFill="1" applyAlignment="1" applyProtection="1">
      <protection locked="0"/>
    </xf>
    <xf numFmtId="49" fontId="2" fillId="5" borderId="1" xfId="0" applyNumberFormat="1" applyFont="1" applyFill="1" applyBorder="1" applyAlignment="1" applyProtection="1">
      <protection locked="0"/>
    </xf>
    <xf numFmtId="49" fontId="2" fillId="5" borderId="1" xfId="0" applyNumberFormat="1" applyFont="1" applyFill="1" applyBorder="1" applyAlignment="1" applyProtection="1">
      <alignment wrapText="1"/>
      <protection locked="0"/>
    </xf>
    <xf numFmtId="178" fontId="2" fillId="5" borderId="1" xfId="0" applyNumberFormat="1" applyFont="1" applyFill="1" applyBorder="1" applyAlignment="1" applyProtection="1">
      <protection locked="0"/>
    </xf>
    <xf numFmtId="178" fontId="2" fillId="5" borderId="6" xfId="0" applyNumberFormat="1" applyFont="1" applyFill="1" applyBorder="1" applyAlignment="1" applyProtection="1">
      <protection locked="0"/>
    </xf>
    <xf numFmtId="178" fontId="2" fillId="5" borderId="1" xfId="0" applyNumberFormat="1" applyFont="1" applyFill="1" applyBorder="1" applyAlignment="1" applyProtection="1"/>
    <xf numFmtId="179" fontId="39" fillId="5" borderId="1" xfId="0" applyNumberFormat="1" applyFont="1" applyFill="1" applyBorder="1" applyAlignment="1" applyProtection="1">
      <protection locked="0"/>
    </xf>
    <xf numFmtId="182" fontId="2" fillId="5" borderId="1" xfId="0" applyFont="1" applyFill="1" applyBorder="1" applyAlignment="1" applyProtection="1">
      <alignment wrapText="1"/>
      <protection locked="0"/>
    </xf>
    <xf numFmtId="182" fontId="39" fillId="5" borderId="1" xfId="0" applyFont="1" applyFill="1" applyBorder="1" applyAlignment="1" applyProtection="1">
      <alignment wrapText="1"/>
      <protection locked="0"/>
    </xf>
    <xf numFmtId="179" fontId="2" fillId="5" borderId="1" xfId="0" applyNumberFormat="1" applyFont="1" applyFill="1" applyBorder="1" applyAlignment="1" applyProtection="1">
      <protection locked="0"/>
    </xf>
    <xf numFmtId="49" fontId="38" fillId="5" borderId="7" xfId="0" applyNumberFormat="1" applyFont="1" applyFill="1" applyBorder="1" applyAlignment="1" applyProtection="1">
      <alignment vertical="center"/>
      <protection locked="0"/>
    </xf>
    <xf numFmtId="182" fontId="2" fillId="5" borderId="7" xfId="0" applyFont="1" applyFill="1" applyBorder="1" applyAlignment="1" applyProtection="1">
      <alignment wrapText="1"/>
      <protection locked="0"/>
    </xf>
    <xf numFmtId="178" fontId="2" fillId="5" borderId="7" xfId="0" applyNumberFormat="1" applyFont="1" applyFill="1" applyBorder="1" applyAlignment="1" applyProtection="1">
      <protection locked="0"/>
    </xf>
    <xf numFmtId="49" fontId="38" fillId="5" borderId="5" xfId="0" applyNumberFormat="1" applyFont="1" applyFill="1" applyBorder="1" applyAlignment="1" applyProtection="1">
      <alignment vertical="center"/>
      <protection locked="0"/>
    </xf>
    <xf numFmtId="182" fontId="2" fillId="5" borderId="5" xfId="0" applyFont="1" applyFill="1" applyBorder="1" applyAlignment="1" applyProtection="1">
      <alignment wrapText="1"/>
      <protection locked="0"/>
    </xf>
    <xf numFmtId="178" fontId="2" fillId="5" borderId="5" xfId="0" applyNumberFormat="1" applyFont="1" applyFill="1" applyBorder="1" applyAlignment="1" applyProtection="1">
      <protection locked="0"/>
    </xf>
    <xf numFmtId="49" fontId="38" fillId="5" borderId="1" xfId="0" applyNumberFormat="1" applyFont="1" applyFill="1" applyBorder="1" applyAlignment="1" applyProtection="1">
      <alignment horizontal="left"/>
      <protection locked="0"/>
    </xf>
    <xf numFmtId="177" fontId="2" fillId="5" borderId="1" xfId="0" applyNumberFormat="1" applyFont="1" applyFill="1" applyBorder="1" applyAlignment="1" applyProtection="1">
      <protection locked="0"/>
    </xf>
    <xf numFmtId="182" fontId="2" fillId="5" borderId="0" xfId="0" applyFont="1" applyFill="1" applyAlignment="1" applyProtection="1">
      <alignment wrapText="1"/>
      <protection locked="0"/>
    </xf>
    <xf numFmtId="49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9" fillId="5" borderId="1" xfId="0" applyNumberFormat="1" applyFont="1" applyFill="1" applyBorder="1" applyAlignment="1" applyProtection="1">
      <alignment horizontal="left" wrapText="1"/>
      <protection locked="0"/>
    </xf>
    <xf numFmtId="49" fontId="15" fillId="5" borderId="7" xfId="0" applyNumberFormat="1" applyFont="1" applyFill="1" applyBorder="1" applyAlignment="1" applyProtection="1">
      <alignment wrapText="1"/>
      <protection locked="0"/>
    </xf>
    <xf numFmtId="49" fontId="15" fillId="5" borderId="5" xfId="0" applyNumberFormat="1" applyFont="1" applyFill="1" applyBorder="1" applyAlignment="1" applyProtection="1">
      <alignment wrapText="1"/>
      <protection locked="0"/>
    </xf>
    <xf numFmtId="0" fontId="81" fillId="0" borderId="1" xfId="0" applyNumberFormat="1" applyFont="1" applyBorder="1" applyAlignment="1">
      <alignment horizontal="center" vertical="center"/>
    </xf>
    <xf numFmtId="0" fontId="81" fillId="0" borderId="1" xfId="0" applyNumberFormat="1" applyFont="1" applyFill="1" applyBorder="1" applyAlignment="1">
      <alignment horizontal="center" vertical="center"/>
    </xf>
    <xf numFmtId="177" fontId="83" fillId="0" borderId="1" xfId="0" applyNumberFormat="1" applyFont="1" applyBorder="1">
      <alignment vertical="center"/>
    </xf>
    <xf numFmtId="177" fontId="81" fillId="0" borderId="1" xfId="0" applyNumberFormat="1" applyFont="1" applyBorder="1">
      <alignment vertical="center"/>
    </xf>
    <xf numFmtId="0" fontId="84" fillId="0" borderId="0" xfId="0" applyNumberFormat="1" applyFont="1">
      <alignment vertical="center"/>
    </xf>
    <xf numFmtId="0" fontId="84" fillId="0" borderId="0" xfId="0" applyNumberFormat="1" applyFont="1" applyAlignment="1">
      <alignment horizontal="center" vertical="center"/>
    </xf>
    <xf numFmtId="0" fontId="86" fillId="4" borderId="27" xfId="0" applyNumberFormat="1" applyFont="1" applyFill="1" applyBorder="1" applyAlignment="1">
      <alignment horizontal="center" vertical="center" wrapText="1"/>
    </xf>
    <xf numFmtId="0" fontId="86" fillId="4" borderId="27" xfId="0" applyNumberFormat="1" applyFont="1" applyFill="1" applyBorder="1" applyAlignment="1">
      <alignment horizontal="center" vertical="center" wrapText="1" shrinkToFit="1"/>
    </xf>
    <xf numFmtId="0" fontId="85" fillId="4" borderId="27" xfId="0" applyNumberFormat="1" applyFont="1" applyFill="1" applyBorder="1" applyAlignment="1">
      <alignment horizontal="center" vertical="center" wrapText="1"/>
    </xf>
    <xf numFmtId="0" fontId="86" fillId="4" borderId="0" xfId="0" applyNumberFormat="1" applyFont="1" applyFill="1" applyBorder="1" applyAlignment="1">
      <alignment vertical="center"/>
    </xf>
    <xf numFmtId="0" fontId="23" fillId="4" borderId="27" xfId="0" applyNumberFormat="1" applyFont="1" applyFill="1" applyBorder="1" applyAlignment="1">
      <alignment horizontal="center" vertical="center"/>
    </xf>
    <xf numFmtId="0" fontId="23" fillId="4" borderId="27" xfId="0" applyNumberFormat="1" applyFont="1" applyFill="1" applyBorder="1" applyAlignment="1">
      <alignment horizontal="left" vertical="center" wrapText="1"/>
    </xf>
    <xf numFmtId="0" fontId="86" fillId="4" borderId="27" xfId="0" applyNumberFormat="1" applyFont="1" applyFill="1" applyBorder="1" applyAlignment="1">
      <alignment vertical="center"/>
    </xf>
    <xf numFmtId="0" fontId="23" fillId="4" borderId="0" xfId="0" applyNumberFormat="1" applyFont="1" applyFill="1" applyBorder="1" applyAlignment="1"/>
    <xf numFmtId="0" fontId="23" fillId="4" borderId="27" xfId="0" applyNumberFormat="1" applyFont="1" applyFill="1" applyBorder="1" applyAlignment="1">
      <alignment horizontal="left" vertical="center"/>
    </xf>
    <xf numFmtId="184" fontId="23" fillId="4" borderId="27" xfId="0" applyNumberFormat="1" applyFont="1" applyFill="1" applyBorder="1" applyAlignment="1">
      <alignment horizontal="center" vertical="center"/>
    </xf>
    <xf numFmtId="179" fontId="23" fillId="4" borderId="27" xfId="0" applyNumberFormat="1" applyFont="1" applyFill="1" applyBorder="1" applyAlignment="1">
      <alignment horizontal="right" vertical="center"/>
    </xf>
    <xf numFmtId="0" fontId="23" fillId="4" borderId="28" xfId="0" applyNumberFormat="1" applyFont="1" applyFill="1" applyBorder="1" applyAlignment="1">
      <alignment horizontal="left" vertical="center" wrapText="1"/>
    </xf>
    <xf numFmtId="184" fontId="23" fillId="4" borderId="28" xfId="0" applyNumberFormat="1" applyFont="1" applyFill="1" applyBorder="1" applyAlignment="1">
      <alignment horizontal="center" vertical="center"/>
    </xf>
    <xf numFmtId="179" fontId="23" fillId="4" borderId="28" xfId="0" applyNumberFormat="1" applyFont="1" applyFill="1" applyBorder="1" applyAlignment="1">
      <alignment horizontal="right" vertical="center"/>
    </xf>
    <xf numFmtId="0" fontId="23" fillId="4" borderId="0" xfId="0" applyNumberFormat="1" applyFont="1" applyFill="1" applyBorder="1" applyAlignment="1">
      <alignment horizontal="left"/>
    </xf>
    <xf numFmtId="0" fontId="23" fillId="4" borderId="0" xfId="0" applyNumberFormat="1" applyFont="1" applyFill="1" applyBorder="1" applyAlignment="1">
      <alignment horizontal="center"/>
    </xf>
    <xf numFmtId="179" fontId="23" fillId="4" borderId="0" xfId="0" applyNumberFormat="1" applyFont="1" applyFill="1" applyBorder="1" applyAlignment="1">
      <alignment horizontal="right"/>
    </xf>
    <xf numFmtId="0" fontId="85" fillId="4" borderId="27" xfId="0" applyNumberFormat="1" applyFont="1" applyFill="1" applyBorder="1" applyAlignment="1">
      <alignment horizontal="center" vertical="center"/>
    </xf>
    <xf numFmtId="0" fontId="85" fillId="4" borderId="27" xfId="0" applyNumberFormat="1" applyFont="1" applyFill="1" applyBorder="1" applyAlignment="1">
      <alignment horizontal="center" vertical="center" wrapText="1" shrinkToFit="1"/>
    </xf>
    <xf numFmtId="179" fontId="85" fillId="4" borderId="27" xfId="0" applyNumberFormat="1" applyFont="1" applyFill="1" applyBorder="1" applyAlignment="1">
      <alignment horizontal="center" vertical="center" wrapText="1" shrinkToFit="1"/>
    </xf>
    <xf numFmtId="0" fontId="86" fillId="4" borderId="0" xfId="0" applyNumberFormat="1" applyFont="1" applyFill="1" applyBorder="1" applyAlignment="1"/>
    <xf numFmtId="0" fontId="4" fillId="4" borderId="27" xfId="0" applyNumberFormat="1" applyFont="1" applyFill="1" applyBorder="1" applyAlignment="1">
      <alignment horizontal="center" vertical="center" wrapText="1"/>
    </xf>
    <xf numFmtId="0" fontId="4" fillId="4" borderId="28" xfId="0" applyNumberFormat="1" applyFont="1" applyFill="1" applyBorder="1" applyAlignment="1">
      <alignment horizontal="left" vertical="center"/>
    </xf>
    <xf numFmtId="0" fontId="4" fillId="4" borderId="28" xfId="0" applyNumberFormat="1" applyFont="1" applyFill="1" applyBorder="1" applyAlignment="1">
      <alignment horizontal="left" vertical="center" wrapText="1"/>
    </xf>
    <xf numFmtId="179" fontId="90" fillId="0" borderId="27" xfId="0" applyNumberFormat="1" applyFont="1" applyBorder="1" applyAlignment="1">
      <alignment horizontal="right" vertical="center" wrapText="1"/>
    </xf>
    <xf numFmtId="0" fontId="4" fillId="4" borderId="27" xfId="0" applyNumberFormat="1" applyFont="1" applyFill="1" applyBorder="1" applyAlignment="1">
      <alignment horizontal="left" vertical="center" wrapText="1"/>
    </xf>
    <xf numFmtId="0" fontId="4" fillId="4" borderId="27" xfId="0" applyNumberFormat="1" applyFont="1" applyFill="1" applyBorder="1" applyAlignment="1">
      <alignment horizontal="left" vertical="center"/>
    </xf>
    <xf numFmtId="179" fontId="86" fillId="4" borderId="27" xfId="0" applyNumberFormat="1" applyFont="1" applyFill="1" applyBorder="1" applyAlignment="1">
      <alignment vertical="center"/>
    </xf>
    <xf numFmtId="179" fontId="86" fillId="4" borderId="27" xfId="0" applyNumberFormat="1" applyFont="1" applyFill="1" applyBorder="1" applyAlignment="1">
      <alignment horizontal="right" vertical="center"/>
    </xf>
    <xf numFmtId="0" fontId="86" fillId="4" borderId="27" xfId="0" applyNumberFormat="1" applyFont="1" applyFill="1" applyBorder="1" applyAlignment="1">
      <alignment horizontal="left" vertical="center"/>
    </xf>
    <xf numFmtId="0" fontId="23" fillId="4" borderId="0" xfId="0" applyNumberFormat="1" applyFont="1" applyFill="1" applyBorder="1" applyAlignment="1">
      <alignment horizontal="center" wrapText="1"/>
    </xf>
    <xf numFmtId="179" fontId="23" fillId="4" borderId="0" xfId="0" applyNumberFormat="1" applyFont="1" applyFill="1" applyBorder="1" applyAlignment="1"/>
    <xf numFmtId="182" fontId="84" fillId="0" borderId="0" xfId="0" applyNumberFormat="1" applyFont="1" applyBorder="1" applyAlignment="1">
      <alignment vertical="center"/>
    </xf>
    <xf numFmtId="182" fontId="14" fillId="5" borderId="0" xfId="0" applyNumberFormat="1" applyFont="1" applyFill="1" applyBorder="1" applyAlignment="1" applyProtection="1">
      <alignment horizontal="center" vertical="center"/>
      <protection locked="0"/>
    </xf>
    <xf numFmtId="182" fontId="16" fillId="5" borderId="0" xfId="0" applyNumberFormat="1" applyFont="1" applyFill="1" applyBorder="1" applyAlignment="1" applyProtection="1">
      <alignment horizontal="center" vertical="center"/>
      <protection locked="0"/>
    </xf>
    <xf numFmtId="182" fontId="10" fillId="0" borderId="0" xfId="0" applyFont="1" applyAlignment="1">
      <alignment horizontal="center" vertical="center"/>
    </xf>
    <xf numFmtId="182" fontId="9" fillId="0" borderId="2" xfId="0" applyFont="1" applyBorder="1" applyAlignment="1">
      <alignment horizontal="center"/>
    </xf>
    <xf numFmtId="182" fontId="12" fillId="0" borderId="3" xfId="0" applyFont="1" applyBorder="1" applyAlignment="1">
      <alignment horizontal="center" vertical="center"/>
    </xf>
    <xf numFmtId="182" fontId="13" fillId="0" borderId="3" xfId="0" applyFont="1" applyBorder="1" applyAlignment="1">
      <alignment horizontal="center" vertical="center"/>
    </xf>
    <xf numFmtId="182" fontId="0" fillId="3" borderId="1" xfId="0" applyFill="1" applyBorder="1" applyAlignment="1">
      <alignment horizontal="center" vertical="center"/>
    </xf>
    <xf numFmtId="182" fontId="0" fillId="3" borderId="1" xfId="0" applyFont="1" applyFill="1" applyBorder="1" applyAlignment="1">
      <alignment horizontal="center" vertical="center"/>
    </xf>
    <xf numFmtId="182" fontId="21" fillId="4" borderId="2" xfId="0" applyFont="1" applyFill="1" applyBorder="1" applyAlignment="1">
      <alignment horizontal="center" vertical="center"/>
    </xf>
    <xf numFmtId="182" fontId="25" fillId="0" borderId="2" xfId="0" applyFont="1" applyBorder="1" applyAlignment="1">
      <alignment horizontal="center" vertical="center"/>
    </xf>
    <xf numFmtId="182" fontId="33" fillId="4" borderId="1" xfId="0" applyFont="1" applyFill="1" applyBorder="1" applyAlignment="1">
      <alignment horizontal="center" vertical="center"/>
    </xf>
    <xf numFmtId="182" fontId="35" fillId="2" borderId="1" xfId="0" applyFont="1" applyFill="1" applyBorder="1" applyAlignment="1">
      <alignment horizontal="center" vertical="center"/>
    </xf>
    <xf numFmtId="182" fontId="33" fillId="2" borderId="1" xfId="0" applyFont="1" applyFill="1" applyBorder="1" applyAlignment="1">
      <alignment horizontal="center" vertical="center"/>
    </xf>
    <xf numFmtId="182" fontId="2" fillId="4" borderId="1" xfId="0" applyFont="1" applyFill="1" applyBorder="1" applyAlignment="1">
      <alignment horizontal="center" vertical="center" wrapText="1"/>
    </xf>
    <xf numFmtId="182" fontId="34" fillId="4" borderId="1" xfId="0" applyFont="1" applyFill="1" applyBorder="1" applyAlignment="1">
      <alignment horizontal="center" vertical="center" wrapText="1"/>
    </xf>
    <xf numFmtId="182" fontId="36" fillId="5" borderId="0" xfId="0" applyNumberFormat="1" applyFont="1" applyFill="1" applyBorder="1" applyAlignment="1" applyProtection="1">
      <alignment horizontal="center" vertical="center"/>
      <protection locked="0"/>
    </xf>
    <xf numFmtId="0" fontId="82" fillId="0" borderId="26" xfId="0" applyNumberFormat="1" applyFont="1" applyBorder="1" applyAlignment="1">
      <alignment vertical="center"/>
    </xf>
    <xf numFmtId="182" fontId="84" fillId="0" borderId="26" xfId="0" applyNumberFormat="1" applyFont="1" applyBorder="1" applyAlignment="1">
      <alignment vertical="center"/>
    </xf>
    <xf numFmtId="0" fontId="87" fillId="0" borderId="26" xfId="0" applyNumberFormat="1" applyFont="1" applyFill="1" applyBorder="1" applyAlignment="1">
      <alignment horizontal="center" vertical="center"/>
    </xf>
    <xf numFmtId="0" fontId="89" fillId="0" borderId="26" xfId="0" applyNumberFormat="1" applyFont="1" applyBorder="1" applyAlignment="1">
      <alignment horizontal="center" vertical="center"/>
    </xf>
    <xf numFmtId="0" fontId="91" fillId="0" borderId="0" xfId="0" applyNumberFormat="1" applyFont="1" applyBorder="1" applyAlignment="1">
      <alignment horizontal="center" vertical="center"/>
    </xf>
    <xf numFmtId="182" fontId="92" fillId="0" borderId="0" xfId="0" applyNumberFormat="1" applyFont="1" applyAlignment="1">
      <alignment vertical="center"/>
    </xf>
  </cellXfs>
  <cellStyles count="9328">
    <cellStyle name="0,0_x000d__x000a_NA_x000d__x000a_" xfId="8904"/>
    <cellStyle name="20% - 强调文字颜色 1 2" xfId="22"/>
    <cellStyle name="20% - 强调文字颜色 1 2 2" xfId="23"/>
    <cellStyle name="20% - 强调文字颜色 1 2 2 2" xfId="24"/>
    <cellStyle name="20% - 强调文字颜色 1 2 2 2 2" xfId="25"/>
    <cellStyle name="20% - 强调文字颜色 1 2 2 2 2 2" xfId="26"/>
    <cellStyle name="20% - 强调文字颜色 1 2 2 2 3" xfId="27"/>
    <cellStyle name="20% - 强调文字颜色 1 2 2 2 4" xfId="28"/>
    <cellStyle name="20% - 强调文字颜色 1 2 2 3" xfId="29"/>
    <cellStyle name="20% - 强调文字颜色 1 2 2 3 2" xfId="30"/>
    <cellStyle name="20% - 强调文字颜色 1 2 2 4" xfId="31"/>
    <cellStyle name="20% - 强调文字颜色 1 2 2 4 2" xfId="32"/>
    <cellStyle name="20% - 强调文字颜色 1 2 2 5" xfId="33"/>
    <cellStyle name="20% - 强调文字颜色 1 2 2 6" xfId="34"/>
    <cellStyle name="20% - 强调文字颜色 1 2 2 7" xfId="8878"/>
    <cellStyle name="20% - 强调文字颜色 1 2 2 7 2" xfId="9303"/>
    <cellStyle name="20% - 强调文字颜色 1 2 3" xfId="35"/>
    <cellStyle name="20% - 强调文字颜色 1 2 3 2" xfId="36"/>
    <cellStyle name="20% - 强调文字颜色 1 2 3 2 2" xfId="37"/>
    <cellStyle name="20% - 强调文字颜色 1 2 3 3" xfId="38"/>
    <cellStyle name="20% - 强调文字颜色 1 2 3 4" xfId="39"/>
    <cellStyle name="20% - 强调文字颜色 1 2 4" xfId="40"/>
    <cellStyle name="20% - 强调文字颜色 1 2 4 2" xfId="41"/>
    <cellStyle name="20% - 强调文字颜色 1 2 5" xfId="42"/>
    <cellStyle name="20% - 强调文字颜色 1 2 5 2" xfId="43"/>
    <cellStyle name="20% - 强调文字颜色 1 2 6" xfId="44"/>
    <cellStyle name="20% - 强调文字颜色 1 2 7" xfId="45"/>
    <cellStyle name="20% - 强调文字颜色 1 2 8" xfId="8879"/>
    <cellStyle name="20% - 强调文字颜色 1 2 8 2" xfId="9304"/>
    <cellStyle name="20% - 强调文字颜色 1 3" xfId="46"/>
    <cellStyle name="20% - 强调文字颜色 1 3 2" xfId="47"/>
    <cellStyle name="20% - 强调文字颜色 1 3 2 2" xfId="48"/>
    <cellStyle name="20% - 强调文字颜色 1 3 2 2 2" xfId="49"/>
    <cellStyle name="20% - 强调文字颜色 1 3 2 2 2 2" xfId="50"/>
    <cellStyle name="20% - 强调文字颜色 1 3 2 2 3" xfId="51"/>
    <cellStyle name="20% - 强调文字颜色 1 3 2 2 4" xfId="52"/>
    <cellStyle name="20% - 强调文字颜色 1 3 2 3" xfId="53"/>
    <cellStyle name="20% - 强调文字颜色 1 3 2 3 2" xfId="54"/>
    <cellStyle name="20% - 强调文字颜色 1 3 2 4" xfId="55"/>
    <cellStyle name="20% - 强调文字颜色 1 3 2 4 2" xfId="56"/>
    <cellStyle name="20% - 强调文字颜色 1 3 2 5" xfId="57"/>
    <cellStyle name="20% - 强调文字颜色 1 3 2 6" xfId="58"/>
    <cellStyle name="20% - 强调文字颜色 1 3 2 7" xfId="8876"/>
    <cellStyle name="20% - 强调文字颜色 1 3 2 7 2" xfId="9301"/>
    <cellStyle name="20% - 强调文字颜色 1 3 3" xfId="59"/>
    <cellStyle name="20% - 强调文字颜色 1 3 3 2" xfId="60"/>
    <cellStyle name="20% - 强调文字颜色 1 3 3 2 2" xfId="61"/>
    <cellStyle name="20% - 强调文字颜色 1 3 3 3" xfId="62"/>
    <cellStyle name="20% - 强调文字颜色 1 3 3 4" xfId="63"/>
    <cellStyle name="20% - 强调文字颜色 1 3 4" xfId="64"/>
    <cellStyle name="20% - 强调文字颜色 1 3 4 2" xfId="65"/>
    <cellStyle name="20% - 强调文字颜色 1 3 5" xfId="66"/>
    <cellStyle name="20% - 强调文字颜色 1 3 5 2" xfId="67"/>
    <cellStyle name="20% - 强调文字颜色 1 3 6" xfId="68"/>
    <cellStyle name="20% - 强调文字颜色 1 3 7" xfId="69"/>
    <cellStyle name="20% - 强调文字颜色 1 3 8" xfId="8877"/>
    <cellStyle name="20% - 强调文字颜色 1 3 8 2" xfId="9302"/>
    <cellStyle name="20% - 强调文字颜色 1 4" xfId="70"/>
    <cellStyle name="20% - 强调文字颜色 1 4 2" xfId="71"/>
    <cellStyle name="20% - 强调文字颜色 1 4 2 2" xfId="72"/>
    <cellStyle name="20% - 强调文字颜色 1 4 2 2 2" xfId="73"/>
    <cellStyle name="20% - 强调文字颜色 1 4 2 2 2 2" xfId="74"/>
    <cellStyle name="20% - 强调文字颜色 1 4 2 2 3" xfId="75"/>
    <cellStyle name="20% - 强调文字颜色 1 4 2 2 4" xfId="76"/>
    <cellStyle name="20% - 强调文字颜色 1 4 2 3" xfId="77"/>
    <cellStyle name="20% - 强调文字颜色 1 4 2 3 2" xfId="78"/>
    <cellStyle name="20% - 强调文字颜色 1 4 2 4" xfId="79"/>
    <cellStyle name="20% - 强调文字颜色 1 4 2 4 2" xfId="80"/>
    <cellStyle name="20% - 强调文字颜色 1 4 2 5" xfId="81"/>
    <cellStyle name="20% - 强调文字颜色 1 4 2 6" xfId="82"/>
    <cellStyle name="20% - 强调文字颜色 1 4 2 7" xfId="8874"/>
    <cellStyle name="20% - 强调文字颜色 1 4 2 7 2" xfId="9299"/>
    <cellStyle name="20% - 强调文字颜色 1 4 3" xfId="83"/>
    <cellStyle name="20% - 强调文字颜色 1 4 3 2" xfId="84"/>
    <cellStyle name="20% - 强调文字颜色 1 4 3 2 2" xfId="85"/>
    <cellStyle name="20% - 强调文字颜色 1 4 3 3" xfId="86"/>
    <cellStyle name="20% - 强调文字颜色 1 4 3 4" xfId="87"/>
    <cellStyle name="20% - 强调文字颜色 1 4 4" xfId="88"/>
    <cellStyle name="20% - 强调文字颜色 1 4 4 2" xfId="89"/>
    <cellStyle name="20% - 强调文字颜色 1 4 5" xfId="90"/>
    <cellStyle name="20% - 强调文字颜色 1 4 5 2" xfId="91"/>
    <cellStyle name="20% - 强调文字颜色 1 4 6" xfId="92"/>
    <cellStyle name="20% - 强调文字颜色 1 4 7" xfId="93"/>
    <cellStyle name="20% - 强调文字颜色 1 4 8" xfId="8875"/>
    <cellStyle name="20% - 强调文字颜色 1 4 8 2" xfId="9300"/>
    <cellStyle name="20% - 强调文字颜色 1 5" xfId="94"/>
    <cellStyle name="20% - 强调文字颜色 1 5 2" xfId="95"/>
    <cellStyle name="20% - 强调文字颜色 1 5 2 2" xfId="96"/>
    <cellStyle name="20% - 强调文字颜色 1 5 2 2 2" xfId="97"/>
    <cellStyle name="20% - 强调文字颜色 1 5 2 3" xfId="98"/>
    <cellStyle name="20% - 强调文字颜色 1 5 2 4" xfId="99"/>
    <cellStyle name="20% - 强调文字颜色 1 5 3" xfId="100"/>
    <cellStyle name="20% - 强调文字颜色 1 5 3 2" xfId="101"/>
    <cellStyle name="20% - 强调文字颜色 1 5 4" xfId="102"/>
    <cellStyle name="20% - 强调文字颜色 1 5 4 2" xfId="103"/>
    <cellStyle name="20% - 强调文字颜色 1 5 5" xfId="104"/>
    <cellStyle name="20% - 强调文字颜色 1 5 6" xfId="105"/>
    <cellStyle name="20% - 强调文字颜色 1 6" xfId="106"/>
    <cellStyle name="20% - 强调文字颜色 1 6 2" xfId="107"/>
    <cellStyle name="20% - 强调文字颜色 1 6 2 2" xfId="108"/>
    <cellStyle name="20% - 强调文字颜色 1 6 2 2 2" xfId="109"/>
    <cellStyle name="20% - 强调文字颜色 1 6 2 3" xfId="110"/>
    <cellStyle name="20% - 强调文字颜色 1 6 2 4" xfId="111"/>
    <cellStyle name="20% - 强调文字颜色 1 6 3" xfId="112"/>
    <cellStyle name="20% - 强调文字颜色 1 6 3 2" xfId="113"/>
    <cellStyle name="20% - 强调文字颜色 1 6 4" xfId="114"/>
    <cellStyle name="20% - 强调文字颜色 1 6 4 2" xfId="115"/>
    <cellStyle name="20% - 强调文字颜色 1 6 5" xfId="116"/>
    <cellStyle name="20% - 强调文字颜色 1 6 6" xfId="117"/>
    <cellStyle name="20% - 强调文字颜色 1 7" xfId="118"/>
    <cellStyle name="20% - 强调文字颜色 1 7 2" xfId="119"/>
    <cellStyle name="20% - 强调文字颜色 1 7 2 2" xfId="120"/>
    <cellStyle name="20% - 强调文字颜色 1 7 2 2 2" xfId="121"/>
    <cellStyle name="20% - 强调文字颜色 1 7 2 3" xfId="122"/>
    <cellStyle name="20% - 强调文字颜色 1 7 2 4" xfId="123"/>
    <cellStyle name="20% - 强调文字颜色 1 7 3" xfId="124"/>
    <cellStyle name="20% - 强调文字颜色 1 7 3 2" xfId="125"/>
    <cellStyle name="20% - 强调文字颜色 1 7 4" xfId="126"/>
    <cellStyle name="20% - 强调文字颜色 1 7 4 2" xfId="127"/>
    <cellStyle name="20% - 强调文字颜色 1 7 5" xfId="128"/>
    <cellStyle name="20% - 强调文字颜色 1 7 6" xfId="129"/>
    <cellStyle name="20% - 强调文字颜色 2 2" xfId="130"/>
    <cellStyle name="20% - 强调文字颜色 2 2 2" xfId="131"/>
    <cellStyle name="20% - 强调文字颜色 2 2 2 2" xfId="132"/>
    <cellStyle name="20% - 强调文字颜色 2 2 2 2 2" xfId="133"/>
    <cellStyle name="20% - 强调文字颜色 2 2 2 2 2 2" xfId="134"/>
    <cellStyle name="20% - 强调文字颜色 2 2 2 2 3" xfId="135"/>
    <cellStyle name="20% - 强调文字颜色 2 2 2 2 4" xfId="136"/>
    <cellStyle name="20% - 强调文字颜色 2 2 2 3" xfId="137"/>
    <cellStyle name="20% - 强调文字颜色 2 2 2 3 2" xfId="138"/>
    <cellStyle name="20% - 强调文字颜色 2 2 2 4" xfId="139"/>
    <cellStyle name="20% - 强调文字颜色 2 2 2 4 2" xfId="140"/>
    <cellStyle name="20% - 强调文字颜色 2 2 2 5" xfId="141"/>
    <cellStyle name="20% - 强调文字颜色 2 2 2 6" xfId="142"/>
    <cellStyle name="20% - 强调文字颜色 2 2 2 7" xfId="8872"/>
    <cellStyle name="20% - 强调文字颜色 2 2 2 7 2" xfId="9297"/>
    <cellStyle name="20% - 强调文字颜色 2 2 3" xfId="143"/>
    <cellStyle name="20% - 强调文字颜色 2 2 3 2" xfId="144"/>
    <cellStyle name="20% - 强调文字颜色 2 2 3 2 2" xfId="145"/>
    <cellStyle name="20% - 强调文字颜色 2 2 3 3" xfId="146"/>
    <cellStyle name="20% - 强调文字颜色 2 2 3 4" xfId="147"/>
    <cellStyle name="20% - 强调文字颜色 2 2 4" xfId="148"/>
    <cellStyle name="20% - 强调文字颜色 2 2 4 2" xfId="149"/>
    <cellStyle name="20% - 强调文字颜色 2 2 5" xfId="150"/>
    <cellStyle name="20% - 强调文字颜色 2 2 5 2" xfId="151"/>
    <cellStyle name="20% - 强调文字颜色 2 2 6" xfId="152"/>
    <cellStyle name="20% - 强调文字颜色 2 2 7" xfId="153"/>
    <cellStyle name="20% - 强调文字颜色 2 2 8" xfId="8873"/>
    <cellStyle name="20% - 强调文字颜色 2 2 8 2" xfId="9298"/>
    <cellStyle name="20% - 强调文字颜色 2 3" xfId="154"/>
    <cellStyle name="20% - 强调文字颜色 2 3 2" xfId="155"/>
    <cellStyle name="20% - 强调文字颜色 2 3 2 2" xfId="156"/>
    <cellStyle name="20% - 强调文字颜色 2 3 2 2 2" xfId="157"/>
    <cellStyle name="20% - 强调文字颜色 2 3 2 2 2 2" xfId="158"/>
    <cellStyle name="20% - 强调文字颜色 2 3 2 2 3" xfId="159"/>
    <cellStyle name="20% - 强调文字颜色 2 3 2 2 4" xfId="160"/>
    <cellStyle name="20% - 强调文字颜色 2 3 2 3" xfId="161"/>
    <cellStyle name="20% - 强调文字颜色 2 3 2 3 2" xfId="162"/>
    <cellStyle name="20% - 强调文字颜色 2 3 2 4" xfId="163"/>
    <cellStyle name="20% - 强调文字颜色 2 3 2 4 2" xfId="164"/>
    <cellStyle name="20% - 强调文字颜色 2 3 2 5" xfId="165"/>
    <cellStyle name="20% - 强调文字颜色 2 3 2 6" xfId="166"/>
    <cellStyle name="20% - 强调文字颜色 2 3 2 7" xfId="8870"/>
    <cellStyle name="20% - 强调文字颜色 2 3 2 7 2" xfId="9295"/>
    <cellStyle name="20% - 强调文字颜色 2 3 3" xfId="167"/>
    <cellStyle name="20% - 强调文字颜色 2 3 3 2" xfId="168"/>
    <cellStyle name="20% - 强调文字颜色 2 3 3 2 2" xfId="169"/>
    <cellStyle name="20% - 强调文字颜色 2 3 3 3" xfId="170"/>
    <cellStyle name="20% - 强调文字颜色 2 3 3 4" xfId="171"/>
    <cellStyle name="20% - 强调文字颜色 2 3 4" xfId="172"/>
    <cellStyle name="20% - 强调文字颜色 2 3 4 2" xfId="173"/>
    <cellStyle name="20% - 强调文字颜色 2 3 5" xfId="174"/>
    <cellStyle name="20% - 强调文字颜色 2 3 5 2" xfId="175"/>
    <cellStyle name="20% - 强调文字颜色 2 3 6" xfId="176"/>
    <cellStyle name="20% - 强调文字颜色 2 3 7" xfId="177"/>
    <cellStyle name="20% - 强调文字颜色 2 3 8" xfId="8871"/>
    <cellStyle name="20% - 强调文字颜色 2 3 8 2" xfId="9296"/>
    <cellStyle name="20% - 强调文字颜色 2 4" xfId="178"/>
    <cellStyle name="20% - 强调文字颜色 2 4 2" xfId="179"/>
    <cellStyle name="20% - 强调文字颜色 2 4 2 2" xfId="180"/>
    <cellStyle name="20% - 强调文字颜色 2 4 2 2 2" xfId="181"/>
    <cellStyle name="20% - 强调文字颜色 2 4 2 2 2 2" xfId="182"/>
    <cellStyle name="20% - 强调文字颜色 2 4 2 2 3" xfId="183"/>
    <cellStyle name="20% - 强调文字颜色 2 4 2 2 4" xfId="184"/>
    <cellStyle name="20% - 强调文字颜色 2 4 2 3" xfId="185"/>
    <cellStyle name="20% - 强调文字颜色 2 4 2 3 2" xfId="186"/>
    <cellStyle name="20% - 强调文字颜色 2 4 2 4" xfId="187"/>
    <cellStyle name="20% - 强调文字颜色 2 4 2 4 2" xfId="188"/>
    <cellStyle name="20% - 强调文字颜色 2 4 2 5" xfId="189"/>
    <cellStyle name="20% - 强调文字颜色 2 4 2 6" xfId="190"/>
    <cellStyle name="20% - 强调文字颜色 2 4 2 7" xfId="8868"/>
    <cellStyle name="20% - 强调文字颜色 2 4 2 7 2" xfId="9293"/>
    <cellStyle name="20% - 强调文字颜色 2 4 3" xfId="191"/>
    <cellStyle name="20% - 强调文字颜色 2 4 3 2" xfId="192"/>
    <cellStyle name="20% - 强调文字颜色 2 4 3 2 2" xfId="193"/>
    <cellStyle name="20% - 强调文字颜色 2 4 3 3" xfId="194"/>
    <cellStyle name="20% - 强调文字颜色 2 4 3 4" xfId="195"/>
    <cellStyle name="20% - 强调文字颜色 2 4 4" xfId="196"/>
    <cellStyle name="20% - 强调文字颜色 2 4 4 2" xfId="197"/>
    <cellStyle name="20% - 强调文字颜色 2 4 5" xfId="198"/>
    <cellStyle name="20% - 强调文字颜色 2 4 5 2" xfId="199"/>
    <cellStyle name="20% - 强调文字颜色 2 4 6" xfId="200"/>
    <cellStyle name="20% - 强调文字颜色 2 4 7" xfId="201"/>
    <cellStyle name="20% - 强调文字颜色 2 4 8" xfId="8869"/>
    <cellStyle name="20% - 强调文字颜色 2 4 8 2" xfId="9294"/>
    <cellStyle name="20% - 强调文字颜色 2 5" xfId="202"/>
    <cellStyle name="20% - 强调文字颜色 2 5 2" xfId="203"/>
    <cellStyle name="20% - 强调文字颜色 2 5 2 2" xfId="204"/>
    <cellStyle name="20% - 强调文字颜色 2 5 2 2 2" xfId="205"/>
    <cellStyle name="20% - 强调文字颜色 2 5 2 3" xfId="206"/>
    <cellStyle name="20% - 强调文字颜色 2 5 2 4" xfId="207"/>
    <cellStyle name="20% - 强调文字颜色 2 5 3" xfId="208"/>
    <cellStyle name="20% - 强调文字颜色 2 5 3 2" xfId="209"/>
    <cellStyle name="20% - 强调文字颜色 2 5 4" xfId="210"/>
    <cellStyle name="20% - 强调文字颜色 2 5 4 2" xfId="211"/>
    <cellStyle name="20% - 强调文字颜色 2 5 5" xfId="212"/>
    <cellStyle name="20% - 强调文字颜色 2 5 6" xfId="213"/>
    <cellStyle name="20% - 强调文字颜色 2 6" xfId="214"/>
    <cellStyle name="20% - 强调文字颜色 2 6 2" xfId="215"/>
    <cellStyle name="20% - 强调文字颜色 2 6 2 2" xfId="216"/>
    <cellStyle name="20% - 强调文字颜色 2 6 2 2 2" xfId="217"/>
    <cellStyle name="20% - 强调文字颜色 2 6 2 3" xfId="218"/>
    <cellStyle name="20% - 强调文字颜色 2 6 2 4" xfId="219"/>
    <cellStyle name="20% - 强调文字颜色 2 6 3" xfId="220"/>
    <cellStyle name="20% - 强调文字颜色 2 6 3 2" xfId="221"/>
    <cellStyle name="20% - 强调文字颜色 2 6 4" xfId="222"/>
    <cellStyle name="20% - 强调文字颜色 2 6 4 2" xfId="223"/>
    <cellStyle name="20% - 强调文字颜色 2 6 5" xfId="224"/>
    <cellStyle name="20% - 强调文字颜色 2 6 6" xfId="225"/>
    <cellStyle name="20% - 强调文字颜色 2 7" xfId="226"/>
    <cellStyle name="20% - 强调文字颜色 2 7 2" xfId="227"/>
    <cellStyle name="20% - 强调文字颜色 2 7 2 2" xfId="228"/>
    <cellStyle name="20% - 强调文字颜色 2 7 2 2 2" xfId="229"/>
    <cellStyle name="20% - 强调文字颜色 2 7 2 3" xfId="230"/>
    <cellStyle name="20% - 强调文字颜色 2 7 2 4" xfId="231"/>
    <cellStyle name="20% - 强调文字颜色 2 7 3" xfId="232"/>
    <cellStyle name="20% - 强调文字颜色 2 7 3 2" xfId="233"/>
    <cellStyle name="20% - 强调文字颜色 2 7 4" xfId="234"/>
    <cellStyle name="20% - 强调文字颜色 2 7 4 2" xfId="235"/>
    <cellStyle name="20% - 强调文字颜色 2 7 5" xfId="236"/>
    <cellStyle name="20% - 强调文字颜色 2 7 6" xfId="237"/>
    <cellStyle name="20% - 强调文字颜色 3 2" xfId="238"/>
    <cellStyle name="20% - 强调文字颜色 3 2 2" xfId="239"/>
    <cellStyle name="20% - 强调文字颜色 3 2 2 2" xfId="240"/>
    <cellStyle name="20% - 强调文字颜色 3 2 2 2 2" xfId="241"/>
    <cellStyle name="20% - 强调文字颜色 3 2 2 2 2 2" xfId="242"/>
    <cellStyle name="20% - 强调文字颜色 3 2 2 2 3" xfId="243"/>
    <cellStyle name="20% - 强调文字颜色 3 2 2 2 4" xfId="244"/>
    <cellStyle name="20% - 强调文字颜色 3 2 2 3" xfId="245"/>
    <cellStyle name="20% - 强调文字颜色 3 2 2 3 2" xfId="246"/>
    <cellStyle name="20% - 强调文字颜色 3 2 2 4" xfId="247"/>
    <cellStyle name="20% - 强调文字颜色 3 2 2 4 2" xfId="248"/>
    <cellStyle name="20% - 强调文字颜色 3 2 2 5" xfId="249"/>
    <cellStyle name="20% - 强调文字颜色 3 2 2 6" xfId="250"/>
    <cellStyle name="20% - 强调文字颜色 3 2 2 7" xfId="8627"/>
    <cellStyle name="20% - 强调文字颜色 3 2 2 7 2" xfId="9223"/>
    <cellStyle name="20% - 强调文字颜色 3 2 3" xfId="251"/>
    <cellStyle name="20% - 强调文字颜色 3 2 3 2" xfId="252"/>
    <cellStyle name="20% - 强调文字颜色 3 2 3 2 2" xfId="253"/>
    <cellStyle name="20% - 强调文字颜色 3 2 3 3" xfId="254"/>
    <cellStyle name="20% - 强调文字颜色 3 2 3 4" xfId="255"/>
    <cellStyle name="20% - 强调文字颜色 3 2 4" xfId="256"/>
    <cellStyle name="20% - 强调文字颜色 3 2 4 2" xfId="257"/>
    <cellStyle name="20% - 强调文字颜色 3 2 5" xfId="258"/>
    <cellStyle name="20% - 强调文字颜色 3 2 5 2" xfId="259"/>
    <cellStyle name="20% - 强调文字颜色 3 2 6" xfId="260"/>
    <cellStyle name="20% - 强调文字颜色 3 2 7" xfId="261"/>
    <cellStyle name="20% - 强调文字颜色 3 2 8" xfId="8867"/>
    <cellStyle name="20% - 强调文字颜色 3 2 8 2" xfId="9292"/>
    <cellStyle name="20% - 强调文字颜色 3 3" xfId="262"/>
    <cellStyle name="20% - 强调文字颜色 3 3 2" xfId="263"/>
    <cellStyle name="20% - 强调文字颜色 3 3 2 2" xfId="264"/>
    <cellStyle name="20% - 强调文字颜色 3 3 2 2 2" xfId="265"/>
    <cellStyle name="20% - 强调文字颜色 3 3 2 2 2 2" xfId="266"/>
    <cellStyle name="20% - 强调文字颜色 3 3 2 2 3" xfId="267"/>
    <cellStyle name="20% - 强调文字颜色 3 3 2 2 4" xfId="268"/>
    <cellStyle name="20% - 强调文字颜色 3 3 2 3" xfId="269"/>
    <cellStyle name="20% - 强调文字颜色 3 3 2 3 2" xfId="270"/>
    <cellStyle name="20% - 强调文字颜色 3 3 2 4" xfId="271"/>
    <cellStyle name="20% - 强调文字颜色 3 3 2 4 2" xfId="272"/>
    <cellStyle name="20% - 强调文字颜色 3 3 2 5" xfId="273"/>
    <cellStyle name="20% - 强调文字颜色 3 3 2 6" xfId="274"/>
    <cellStyle name="20% - 强调文字颜色 3 3 2 7" xfId="8629"/>
    <cellStyle name="20% - 强调文字颜色 3 3 2 7 2" xfId="9225"/>
    <cellStyle name="20% - 强调文字颜色 3 3 3" xfId="275"/>
    <cellStyle name="20% - 强调文字颜色 3 3 3 2" xfId="276"/>
    <cellStyle name="20% - 强调文字颜色 3 3 3 2 2" xfId="277"/>
    <cellStyle name="20% - 强调文字颜色 3 3 3 3" xfId="278"/>
    <cellStyle name="20% - 强调文字颜色 3 3 3 4" xfId="279"/>
    <cellStyle name="20% - 强调文字颜色 3 3 4" xfId="280"/>
    <cellStyle name="20% - 强调文字颜色 3 3 4 2" xfId="281"/>
    <cellStyle name="20% - 强调文字颜色 3 3 5" xfId="282"/>
    <cellStyle name="20% - 强调文字颜色 3 3 5 2" xfId="283"/>
    <cellStyle name="20% - 强调文字颜色 3 3 6" xfId="284"/>
    <cellStyle name="20% - 强调文字颜色 3 3 7" xfId="285"/>
    <cellStyle name="20% - 强调文字颜色 3 3 8" xfId="8628"/>
    <cellStyle name="20% - 强调文字颜色 3 3 8 2" xfId="9224"/>
    <cellStyle name="20% - 强调文字颜色 3 4" xfId="286"/>
    <cellStyle name="20% - 强调文字颜色 3 4 2" xfId="287"/>
    <cellStyle name="20% - 强调文字颜色 3 4 2 2" xfId="288"/>
    <cellStyle name="20% - 强调文字颜色 3 4 2 2 2" xfId="289"/>
    <cellStyle name="20% - 强调文字颜色 3 4 2 2 2 2" xfId="290"/>
    <cellStyle name="20% - 强调文字颜色 3 4 2 2 3" xfId="291"/>
    <cellStyle name="20% - 强调文字颜色 3 4 2 2 4" xfId="292"/>
    <cellStyle name="20% - 强调文字颜色 3 4 2 3" xfId="293"/>
    <cellStyle name="20% - 强调文字颜色 3 4 2 3 2" xfId="294"/>
    <cellStyle name="20% - 强调文字颜色 3 4 2 4" xfId="295"/>
    <cellStyle name="20% - 强调文字颜色 3 4 2 4 2" xfId="296"/>
    <cellStyle name="20% - 强调文字颜色 3 4 2 5" xfId="297"/>
    <cellStyle name="20% - 强调文字颜色 3 4 2 6" xfId="298"/>
    <cellStyle name="20% - 强调文字颜色 3 4 2 7" xfId="8631"/>
    <cellStyle name="20% - 强调文字颜色 3 4 2 7 2" xfId="9227"/>
    <cellStyle name="20% - 强调文字颜色 3 4 3" xfId="299"/>
    <cellStyle name="20% - 强调文字颜色 3 4 3 2" xfId="300"/>
    <cellStyle name="20% - 强调文字颜色 3 4 3 2 2" xfId="301"/>
    <cellStyle name="20% - 强调文字颜色 3 4 3 3" xfId="302"/>
    <cellStyle name="20% - 强调文字颜色 3 4 3 4" xfId="303"/>
    <cellStyle name="20% - 强调文字颜色 3 4 4" xfId="304"/>
    <cellStyle name="20% - 强调文字颜色 3 4 4 2" xfId="305"/>
    <cellStyle name="20% - 强调文字颜色 3 4 5" xfId="306"/>
    <cellStyle name="20% - 强调文字颜色 3 4 5 2" xfId="307"/>
    <cellStyle name="20% - 强调文字颜色 3 4 6" xfId="308"/>
    <cellStyle name="20% - 强调文字颜色 3 4 7" xfId="309"/>
    <cellStyle name="20% - 强调文字颜色 3 4 8" xfId="8630"/>
    <cellStyle name="20% - 强调文字颜色 3 4 8 2" xfId="9226"/>
    <cellStyle name="20% - 强调文字颜色 3 5" xfId="310"/>
    <cellStyle name="20% - 强调文字颜色 3 5 2" xfId="311"/>
    <cellStyle name="20% - 强调文字颜色 3 5 2 2" xfId="312"/>
    <cellStyle name="20% - 强调文字颜色 3 5 2 2 2" xfId="313"/>
    <cellStyle name="20% - 强调文字颜色 3 5 2 3" xfId="314"/>
    <cellStyle name="20% - 强调文字颜色 3 5 2 4" xfId="315"/>
    <cellStyle name="20% - 强调文字颜色 3 5 3" xfId="316"/>
    <cellStyle name="20% - 强调文字颜色 3 5 3 2" xfId="317"/>
    <cellStyle name="20% - 强调文字颜色 3 5 4" xfId="318"/>
    <cellStyle name="20% - 强调文字颜色 3 5 4 2" xfId="319"/>
    <cellStyle name="20% - 强调文字颜色 3 5 5" xfId="320"/>
    <cellStyle name="20% - 强调文字颜色 3 5 6" xfId="321"/>
    <cellStyle name="20% - 强调文字颜色 3 6" xfId="322"/>
    <cellStyle name="20% - 强调文字颜色 3 6 2" xfId="323"/>
    <cellStyle name="20% - 强调文字颜色 3 6 2 2" xfId="324"/>
    <cellStyle name="20% - 强调文字颜色 3 6 2 2 2" xfId="325"/>
    <cellStyle name="20% - 强调文字颜色 3 6 2 3" xfId="326"/>
    <cellStyle name="20% - 强调文字颜色 3 6 2 4" xfId="327"/>
    <cellStyle name="20% - 强调文字颜色 3 6 3" xfId="328"/>
    <cellStyle name="20% - 强调文字颜色 3 6 3 2" xfId="329"/>
    <cellStyle name="20% - 强调文字颜色 3 6 4" xfId="330"/>
    <cellStyle name="20% - 强调文字颜色 3 6 4 2" xfId="331"/>
    <cellStyle name="20% - 强调文字颜色 3 6 5" xfId="332"/>
    <cellStyle name="20% - 强调文字颜色 3 6 6" xfId="333"/>
    <cellStyle name="20% - 强调文字颜色 3 7" xfId="334"/>
    <cellStyle name="20% - 强调文字颜色 3 7 2" xfId="335"/>
    <cellStyle name="20% - 强调文字颜色 3 7 2 2" xfId="336"/>
    <cellStyle name="20% - 强调文字颜色 3 7 2 2 2" xfId="337"/>
    <cellStyle name="20% - 强调文字颜色 3 7 2 3" xfId="338"/>
    <cellStyle name="20% - 强调文字颜色 3 7 2 4" xfId="339"/>
    <cellStyle name="20% - 强调文字颜色 3 7 3" xfId="340"/>
    <cellStyle name="20% - 强调文字颜色 3 7 3 2" xfId="341"/>
    <cellStyle name="20% - 强调文字颜色 3 7 4" xfId="342"/>
    <cellStyle name="20% - 强调文字颜色 3 7 4 2" xfId="343"/>
    <cellStyle name="20% - 强调文字颜色 3 7 5" xfId="344"/>
    <cellStyle name="20% - 强调文字颜色 3 7 6" xfId="345"/>
    <cellStyle name="20% - 强调文字颜色 4 2" xfId="346"/>
    <cellStyle name="20% - 强调文字颜色 4 2 2" xfId="347"/>
    <cellStyle name="20% - 强调文字颜色 4 2 2 2" xfId="348"/>
    <cellStyle name="20% - 强调文字颜色 4 2 2 2 2" xfId="349"/>
    <cellStyle name="20% - 强调文字颜色 4 2 2 2 2 2" xfId="350"/>
    <cellStyle name="20% - 强调文字颜色 4 2 2 2 3" xfId="351"/>
    <cellStyle name="20% - 强调文字颜色 4 2 2 2 4" xfId="352"/>
    <cellStyle name="20% - 强调文字颜色 4 2 2 3" xfId="353"/>
    <cellStyle name="20% - 强调文字颜色 4 2 2 3 2" xfId="354"/>
    <cellStyle name="20% - 强调文字颜色 4 2 2 4" xfId="355"/>
    <cellStyle name="20% - 强调文字颜色 4 2 2 4 2" xfId="356"/>
    <cellStyle name="20% - 强调文字颜色 4 2 2 5" xfId="357"/>
    <cellStyle name="20% - 强调文字颜色 4 2 2 6" xfId="358"/>
    <cellStyle name="20% - 强调文字颜色 4 2 2 7" xfId="8633"/>
    <cellStyle name="20% - 强调文字颜色 4 2 2 7 2" xfId="9229"/>
    <cellStyle name="20% - 强调文字颜色 4 2 3" xfId="359"/>
    <cellStyle name="20% - 强调文字颜色 4 2 3 2" xfId="360"/>
    <cellStyle name="20% - 强调文字颜色 4 2 3 2 2" xfId="361"/>
    <cellStyle name="20% - 强调文字颜色 4 2 3 3" xfId="362"/>
    <cellStyle name="20% - 强调文字颜色 4 2 3 4" xfId="363"/>
    <cellStyle name="20% - 强调文字颜色 4 2 4" xfId="364"/>
    <cellStyle name="20% - 强调文字颜色 4 2 4 2" xfId="365"/>
    <cellStyle name="20% - 强调文字颜色 4 2 5" xfId="366"/>
    <cellStyle name="20% - 强调文字颜色 4 2 5 2" xfId="367"/>
    <cellStyle name="20% - 强调文字颜色 4 2 6" xfId="368"/>
    <cellStyle name="20% - 强调文字颜色 4 2 7" xfId="369"/>
    <cellStyle name="20% - 强调文字颜色 4 2 8" xfId="8632"/>
    <cellStyle name="20% - 强调文字颜色 4 2 8 2" xfId="9228"/>
    <cellStyle name="20% - 强调文字颜色 4 3" xfId="370"/>
    <cellStyle name="20% - 强调文字颜色 4 3 2" xfId="371"/>
    <cellStyle name="20% - 强调文字颜色 4 3 2 2" xfId="372"/>
    <cellStyle name="20% - 强调文字颜色 4 3 2 2 2" xfId="373"/>
    <cellStyle name="20% - 强调文字颜色 4 3 2 2 2 2" xfId="374"/>
    <cellStyle name="20% - 强调文字颜色 4 3 2 2 3" xfId="375"/>
    <cellStyle name="20% - 强调文字颜色 4 3 2 2 4" xfId="376"/>
    <cellStyle name="20% - 强调文字颜色 4 3 2 3" xfId="377"/>
    <cellStyle name="20% - 强调文字颜色 4 3 2 3 2" xfId="378"/>
    <cellStyle name="20% - 强调文字颜色 4 3 2 4" xfId="379"/>
    <cellStyle name="20% - 强调文字颜色 4 3 2 4 2" xfId="380"/>
    <cellStyle name="20% - 强调文字颜色 4 3 2 5" xfId="381"/>
    <cellStyle name="20% - 强调文字颜色 4 3 2 6" xfId="382"/>
    <cellStyle name="20% - 强调文字颜色 4 3 2 7" xfId="8635"/>
    <cellStyle name="20% - 强调文字颜色 4 3 2 7 2" xfId="9231"/>
    <cellStyle name="20% - 强调文字颜色 4 3 3" xfId="383"/>
    <cellStyle name="20% - 强调文字颜色 4 3 3 2" xfId="384"/>
    <cellStyle name="20% - 强调文字颜色 4 3 3 2 2" xfId="385"/>
    <cellStyle name="20% - 强调文字颜色 4 3 3 3" xfId="386"/>
    <cellStyle name="20% - 强调文字颜色 4 3 3 4" xfId="387"/>
    <cellStyle name="20% - 强调文字颜色 4 3 4" xfId="388"/>
    <cellStyle name="20% - 强调文字颜色 4 3 4 2" xfId="389"/>
    <cellStyle name="20% - 强调文字颜色 4 3 5" xfId="390"/>
    <cellStyle name="20% - 强调文字颜色 4 3 5 2" xfId="391"/>
    <cellStyle name="20% - 强调文字颜色 4 3 6" xfId="392"/>
    <cellStyle name="20% - 强调文字颜色 4 3 7" xfId="393"/>
    <cellStyle name="20% - 强调文字颜色 4 3 8" xfId="8634"/>
    <cellStyle name="20% - 强调文字颜色 4 3 8 2" xfId="9230"/>
    <cellStyle name="20% - 强调文字颜色 4 4" xfId="394"/>
    <cellStyle name="20% - 强调文字颜色 4 4 2" xfId="395"/>
    <cellStyle name="20% - 强调文字颜色 4 4 2 2" xfId="396"/>
    <cellStyle name="20% - 强调文字颜色 4 4 2 2 2" xfId="397"/>
    <cellStyle name="20% - 强调文字颜色 4 4 2 2 2 2" xfId="398"/>
    <cellStyle name="20% - 强调文字颜色 4 4 2 2 3" xfId="399"/>
    <cellStyle name="20% - 强调文字颜色 4 4 2 2 4" xfId="400"/>
    <cellStyle name="20% - 强调文字颜色 4 4 2 3" xfId="401"/>
    <cellStyle name="20% - 强调文字颜色 4 4 2 3 2" xfId="402"/>
    <cellStyle name="20% - 强调文字颜色 4 4 2 4" xfId="403"/>
    <cellStyle name="20% - 强调文字颜色 4 4 2 4 2" xfId="404"/>
    <cellStyle name="20% - 强调文字颜色 4 4 2 5" xfId="405"/>
    <cellStyle name="20% - 强调文字颜色 4 4 2 6" xfId="406"/>
    <cellStyle name="20% - 强调文字颜色 4 4 2 7" xfId="8637"/>
    <cellStyle name="20% - 强调文字颜色 4 4 2 7 2" xfId="9233"/>
    <cellStyle name="20% - 强调文字颜色 4 4 3" xfId="407"/>
    <cellStyle name="20% - 强调文字颜色 4 4 3 2" xfId="408"/>
    <cellStyle name="20% - 强调文字颜色 4 4 3 2 2" xfId="409"/>
    <cellStyle name="20% - 强调文字颜色 4 4 3 3" xfId="410"/>
    <cellStyle name="20% - 强调文字颜色 4 4 3 4" xfId="411"/>
    <cellStyle name="20% - 强调文字颜色 4 4 4" xfId="412"/>
    <cellStyle name="20% - 强调文字颜色 4 4 4 2" xfId="413"/>
    <cellStyle name="20% - 强调文字颜色 4 4 5" xfId="414"/>
    <cellStyle name="20% - 强调文字颜色 4 4 5 2" xfId="415"/>
    <cellStyle name="20% - 强调文字颜色 4 4 6" xfId="416"/>
    <cellStyle name="20% - 强调文字颜色 4 4 7" xfId="417"/>
    <cellStyle name="20% - 强调文字颜色 4 4 8" xfId="8636"/>
    <cellStyle name="20% - 强调文字颜色 4 4 8 2" xfId="9232"/>
    <cellStyle name="20% - 强调文字颜色 4 5" xfId="418"/>
    <cellStyle name="20% - 强调文字颜色 4 5 2" xfId="419"/>
    <cellStyle name="20% - 强调文字颜色 4 5 2 2" xfId="420"/>
    <cellStyle name="20% - 强调文字颜色 4 5 2 2 2" xfId="421"/>
    <cellStyle name="20% - 强调文字颜色 4 5 2 3" xfId="422"/>
    <cellStyle name="20% - 强调文字颜色 4 5 2 4" xfId="423"/>
    <cellStyle name="20% - 强调文字颜色 4 5 3" xfId="424"/>
    <cellStyle name="20% - 强调文字颜色 4 5 3 2" xfId="425"/>
    <cellStyle name="20% - 强调文字颜色 4 5 4" xfId="426"/>
    <cellStyle name="20% - 强调文字颜色 4 5 4 2" xfId="427"/>
    <cellStyle name="20% - 强调文字颜色 4 5 5" xfId="428"/>
    <cellStyle name="20% - 强调文字颜色 4 5 6" xfId="429"/>
    <cellStyle name="20% - 强调文字颜色 4 6" xfId="430"/>
    <cellStyle name="20% - 强调文字颜色 4 6 2" xfId="431"/>
    <cellStyle name="20% - 强调文字颜色 4 6 2 2" xfId="432"/>
    <cellStyle name="20% - 强调文字颜色 4 6 2 2 2" xfId="433"/>
    <cellStyle name="20% - 强调文字颜色 4 6 2 3" xfId="434"/>
    <cellStyle name="20% - 强调文字颜色 4 6 2 4" xfId="435"/>
    <cellStyle name="20% - 强调文字颜色 4 6 3" xfId="436"/>
    <cellStyle name="20% - 强调文字颜色 4 6 3 2" xfId="437"/>
    <cellStyle name="20% - 强调文字颜色 4 6 4" xfId="438"/>
    <cellStyle name="20% - 强调文字颜色 4 6 4 2" xfId="439"/>
    <cellStyle name="20% - 强调文字颜色 4 6 5" xfId="440"/>
    <cellStyle name="20% - 强调文字颜色 4 6 6" xfId="441"/>
    <cellStyle name="20% - 强调文字颜色 4 7" xfId="442"/>
    <cellStyle name="20% - 强调文字颜色 4 7 2" xfId="443"/>
    <cellStyle name="20% - 强调文字颜色 4 7 2 2" xfId="444"/>
    <cellStyle name="20% - 强调文字颜色 4 7 2 2 2" xfId="445"/>
    <cellStyle name="20% - 强调文字颜色 4 7 2 3" xfId="446"/>
    <cellStyle name="20% - 强调文字颜色 4 7 2 4" xfId="447"/>
    <cellStyle name="20% - 强调文字颜色 4 7 3" xfId="448"/>
    <cellStyle name="20% - 强调文字颜色 4 7 3 2" xfId="449"/>
    <cellStyle name="20% - 强调文字颜色 4 7 4" xfId="450"/>
    <cellStyle name="20% - 强调文字颜色 4 7 4 2" xfId="451"/>
    <cellStyle name="20% - 强调文字颜色 4 7 5" xfId="452"/>
    <cellStyle name="20% - 强调文字颜色 4 7 6" xfId="453"/>
    <cellStyle name="20% - 强调文字颜色 5 2" xfId="454"/>
    <cellStyle name="20% - 强调文字颜色 5 2 2" xfId="455"/>
    <cellStyle name="20% - 强调文字颜色 5 2 2 2" xfId="456"/>
    <cellStyle name="20% - 强调文字颜色 5 2 2 2 2" xfId="457"/>
    <cellStyle name="20% - 强调文字颜色 5 2 2 2 2 2" xfId="458"/>
    <cellStyle name="20% - 强调文字颜色 5 2 2 2 3" xfId="459"/>
    <cellStyle name="20% - 强调文字颜色 5 2 2 2 4" xfId="460"/>
    <cellStyle name="20% - 强调文字颜色 5 2 2 3" xfId="461"/>
    <cellStyle name="20% - 强调文字颜色 5 2 2 3 2" xfId="462"/>
    <cellStyle name="20% - 强调文字颜色 5 2 2 4" xfId="463"/>
    <cellStyle name="20% - 强调文字颜色 5 2 2 4 2" xfId="464"/>
    <cellStyle name="20% - 强调文字颜色 5 2 2 5" xfId="465"/>
    <cellStyle name="20% - 强调文字颜色 5 2 2 6" xfId="466"/>
    <cellStyle name="20% - 强调文字颜色 5 2 2 7" xfId="8639"/>
    <cellStyle name="20% - 强调文字颜色 5 2 2 7 2" xfId="9235"/>
    <cellStyle name="20% - 强调文字颜色 5 2 3" xfId="467"/>
    <cellStyle name="20% - 强调文字颜色 5 2 3 2" xfId="468"/>
    <cellStyle name="20% - 强调文字颜色 5 2 3 2 2" xfId="469"/>
    <cellStyle name="20% - 强调文字颜色 5 2 3 3" xfId="470"/>
    <cellStyle name="20% - 强调文字颜色 5 2 3 4" xfId="471"/>
    <cellStyle name="20% - 强调文字颜色 5 2 4" xfId="472"/>
    <cellStyle name="20% - 强调文字颜色 5 2 4 2" xfId="473"/>
    <cellStyle name="20% - 强调文字颜色 5 2 5" xfId="474"/>
    <cellStyle name="20% - 强调文字颜色 5 2 5 2" xfId="475"/>
    <cellStyle name="20% - 强调文字颜色 5 2 6" xfId="476"/>
    <cellStyle name="20% - 强调文字颜色 5 2 7" xfId="477"/>
    <cellStyle name="20% - 强调文字颜色 5 2 8" xfId="8638"/>
    <cellStyle name="20% - 强调文字颜色 5 2 8 2" xfId="9234"/>
    <cellStyle name="20% - 强调文字颜色 5 3" xfId="478"/>
    <cellStyle name="20% - 强调文字颜色 5 3 2" xfId="479"/>
    <cellStyle name="20% - 强调文字颜色 5 3 2 2" xfId="480"/>
    <cellStyle name="20% - 强调文字颜色 5 3 2 2 2" xfId="481"/>
    <cellStyle name="20% - 强调文字颜色 5 3 2 2 2 2" xfId="482"/>
    <cellStyle name="20% - 强调文字颜色 5 3 2 2 3" xfId="483"/>
    <cellStyle name="20% - 强调文字颜色 5 3 2 2 4" xfId="484"/>
    <cellStyle name="20% - 强调文字颜色 5 3 2 3" xfId="485"/>
    <cellStyle name="20% - 强调文字颜色 5 3 2 3 2" xfId="486"/>
    <cellStyle name="20% - 强调文字颜色 5 3 2 4" xfId="487"/>
    <cellStyle name="20% - 强调文字颜色 5 3 2 4 2" xfId="488"/>
    <cellStyle name="20% - 强调文字颜色 5 3 2 5" xfId="489"/>
    <cellStyle name="20% - 强调文字颜色 5 3 2 6" xfId="490"/>
    <cellStyle name="20% - 强调文字颜色 5 3 2 7" xfId="8641"/>
    <cellStyle name="20% - 强调文字颜色 5 3 2 7 2" xfId="9237"/>
    <cellStyle name="20% - 强调文字颜色 5 3 3" xfId="491"/>
    <cellStyle name="20% - 强调文字颜色 5 3 3 2" xfId="492"/>
    <cellStyle name="20% - 强调文字颜色 5 3 3 2 2" xfId="493"/>
    <cellStyle name="20% - 强调文字颜色 5 3 3 3" xfId="494"/>
    <cellStyle name="20% - 强调文字颜色 5 3 3 4" xfId="495"/>
    <cellStyle name="20% - 强调文字颜色 5 3 4" xfId="496"/>
    <cellStyle name="20% - 强调文字颜色 5 3 4 2" xfId="497"/>
    <cellStyle name="20% - 强调文字颜色 5 3 5" xfId="498"/>
    <cellStyle name="20% - 强调文字颜色 5 3 5 2" xfId="499"/>
    <cellStyle name="20% - 强调文字颜色 5 3 6" xfId="500"/>
    <cellStyle name="20% - 强调文字颜色 5 3 7" xfId="501"/>
    <cellStyle name="20% - 强调文字颜色 5 3 8" xfId="8640"/>
    <cellStyle name="20% - 强调文字颜色 5 3 8 2" xfId="9236"/>
    <cellStyle name="20% - 强调文字颜色 5 4" xfId="502"/>
    <cellStyle name="20% - 强调文字颜色 5 4 2" xfId="503"/>
    <cellStyle name="20% - 强调文字颜色 5 4 2 2" xfId="504"/>
    <cellStyle name="20% - 强调文字颜色 5 4 2 2 2" xfId="505"/>
    <cellStyle name="20% - 强调文字颜色 5 4 2 2 2 2" xfId="506"/>
    <cellStyle name="20% - 强调文字颜色 5 4 2 2 3" xfId="507"/>
    <cellStyle name="20% - 强调文字颜色 5 4 2 2 4" xfId="508"/>
    <cellStyle name="20% - 强调文字颜色 5 4 2 3" xfId="509"/>
    <cellStyle name="20% - 强调文字颜色 5 4 2 3 2" xfId="510"/>
    <cellStyle name="20% - 强调文字颜色 5 4 2 4" xfId="511"/>
    <cellStyle name="20% - 强调文字颜色 5 4 2 4 2" xfId="512"/>
    <cellStyle name="20% - 强调文字颜色 5 4 2 5" xfId="513"/>
    <cellStyle name="20% - 强调文字颜色 5 4 2 6" xfId="514"/>
    <cellStyle name="20% - 强调文字颜色 5 4 2 7" xfId="8643"/>
    <cellStyle name="20% - 强调文字颜色 5 4 2 7 2" xfId="9239"/>
    <cellStyle name="20% - 强调文字颜色 5 4 3" xfId="515"/>
    <cellStyle name="20% - 强调文字颜色 5 4 3 2" xfId="516"/>
    <cellStyle name="20% - 强调文字颜色 5 4 3 2 2" xfId="517"/>
    <cellStyle name="20% - 强调文字颜色 5 4 3 3" xfId="518"/>
    <cellStyle name="20% - 强调文字颜色 5 4 3 4" xfId="519"/>
    <cellStyle name="20% - 强调文字颜色 5 4 4" xfId="520"/>
    <cellStyle name="20% - 强调文字颜色 5 4 4 2" xfId="521"/>
    <cellStyle name="20% - 强调文字颜色 5 4 5" xfId="522"/>
    <cellStyle name="20% - 强调文字颜色 5 4 5 2" xfId="523"/>
    <cellStyle name="20% - 强调文字颜色 5 4 6" xfId="524"/>
    <cellStyle name="20% - 强调文字颜色 5 4 7" xfId="525"/>
    <cellStyle name="20% - 强调文字颜色 5 4 8" xfId="8642"/>
    <cellStyle name="20% - 强调文字颜色 5 4 8 2" xfId="9238"/>
    <cellStyle name="20% - 强调文字颜色 5 5" xfId="526"/>
    <cellStyle name="20% - 强调文字颜色 5 5 2" xfId="527"/>
    <cellStyle name="20% - 强调文字颜色 5 5 2 2" xfId="528"/>
    <cellStyle name="20% - 强调文字颜色 5 5 2 2 2" xfId="529"/>
    <cellStyle name="20% - 强调文字颜色 5 5 2 3" xfId="530"/>
    <cellStyle name="20% - 强调文字颜色 5 5 2 4" xfId="531"/>
    <cellStyle name="20% - 强调文字颜色 5 5 3" xfId="532"/>
    <cellStyle name="20% - 强调文字颜色 5 5 3 2" xfId="533"/>
    <cellStyle name="20% - 强调文字颜色 5 5 4" xfId="534"/>
    <cellStyle name="20% - 强调文字颜色 5 5 4 2" xfId="535"/>
    <cellStyle name="20% - 强调文字颜色 5 5 5" xfId="536"/>
    <cellStyle name="20% - 强调文字颜色 5 5 6" xfId="537"/>
    <cellStyle name="20% - 强调文字颜色 5 6" xfId="538"/>
    <cellStyle name="20% - 强调文字颜色 5 6 2" xfId="539"/>
    <cellStyle name="20% - 强调文字颜色 5 6 2 2" xfId="540"/>
    <cellStyle name="20% - 强调文字颜色 5 6 2 2 2" xfId="541"/>
    <cellStyle name="20% - 强调文字颜色 5 6 2 3" xfId="542"/>
    <cellStyle name="20% - 强调文字颜色 5 6 2 4" xfId="543"/>
    <cellStyle name="20% - 强调文字颜色 5 6 3" xfId="544"/>
    <cellStyle name="20% - 强调文字颜色 5 6 3 2" xfId="545"/>
    <cellStyle name="20% - 强调文字颜色 5 6 4" xfId="546"/>
    <cellStyle name="20% - 强调文字颜色 5 6 4 2" xfId="547"/>
    <cellStyle name="20% - 强调文字颜色 5 6 5" xfId="548"/>
    <cellStyle name="20% - 强调文字颜色 5 6 6" xfId="549"/>
    <cellStyle name="20% - 强调文字颜色 5 7" xfId="550"/>
    <cellStyle name="20% - 强调文字颜色 5 7 2" xfId="551"/>
    <cellStyle name="20% - 强调文字颜色 5 7 2 2" xfId="552"/>
    <cellStyle name="20% - 强调文字颜色 5 7 2 2 2" xfId="553"/>
    <cellStyle name="20% - 强调文字颜色 5 7 2 3" xfId="554"/>
    <cellStyle name="20% - 强调文字颜色 5 7 2 4" xfId="555"/>
    <cellStyle name="20% - 强调文字颜色 5 7 3" xfId="556"/>
    <cellStyle name="20% - 强调文字颜色 5 7 3 2" xfId="557"/>
    <cellStyle name="20% - 强调文字颜色 5 7 4" xfId="558"/>
    <cellStyle name="20% - 强调文字颜色 5 7 4 2" xfId="559"/>
    <cellStyle name="20% - 强调文字颜色 5 7 5" xfId="560"/>
    <cellStyle name="20% - 强调文字颜色 5 7 6" xfId="561"/>
    <cellStyle name="20% - 强调文字颜色 6 2" xfId="562"/>
    <cellStyle name="20% - 强调文字颜色 6 2 2" xfId="563"/>
    <cellStyle name="20% - 强调文字颜色 6 2 2 2" xfId="564"/>
    <cellStyle name="20% - 强调文字颜色 6 2 2 2 2" xfId="565"/>
    <cellStyle name="20% - 强调文字颜色 6 2 2 2 2 2" xfId="566"/>
    <cellStyle name="20% - 强调文字颜色 6 2 2 2 3" xfId="567"/>
    <cellStyle name="20% - 强调文字颜色 6 2 2 2 4" xfId="568"/>
    <cellStyle name="20% - 强调文字颜色 6 2 2 3" xfId="569"/>
    <cellStyle name="20% - 强调文字颜色 6 2 2 3 2" xfId="570"/>
    <cellStyle name="20% - 强调文字颜色 6 2 2 4" xfId="571"/>
    <cellStyle name="20% - 强调文字颜色 6 2 2 4 2" xfId="572"/>
    <cellStyle name="20% - 强调文字颜色 6 2 2 5" xfId="573"/>
    <cellStyle name="20% - 强调文字颜色 6 2 2 6" xfId="574"/>
    <cellStyle name="20% - 强调文字颜色 6 2 2 7" xfId="8645"/>
    <cellStyle name="20% - 强调文字颜色 6 2 2 7 2" xfId="9241"/>
    <cellStyle name="20% - 强调文字颜色 6 2 3" xfId="575"/>
    <cellStyle name="20% - 强调文字颜色 6 2 3 2" xfId="576"/>
    <cellStyle name="20% - 强调文字颜色 6 2 3 2 2" xfId="577"/>
    <cellStyle name="20% - 强调文字颜色 6 2 3 3" xfId="578"/>
    <cellStyle name="20% - 强调文字颜色 6 2 3 4" xfId="579"/>
    <cellStyle name="20% - 强调文字颜色 6 2 4" xfId="580"/>
    <cellStyle name="20% - 强调文字颜色 6 2 4 2" xfId="581"/>
    <cellStyle name="20% - 强调文字颜色 6 2 5" xfId="582"/>
    <cellStyle name="20% - 强调文字颜色 6 2 5 2" xfId="583"/>
    <cellStyle name="20% - 强调文字颜色 6 2 6" xfId="584"/>
    <cellStyle name="20% - 强调文字颜色 6 2 7" xfId="585"/>
    <cellStyle name="20% - 强调文字颜色 6 2 8" xfId="8644"/>
    <cellStyle name="20% - 强调文字颜色 6 2 8 2" xfId="9240"/>
    <cellStyle name="20% - 强调文字颜色 6 3" xfId="586"/>
    <cellStyle name="20% - 强调文字颜色 6 3 2" xfId="587"/>
    <cellStyle name="20% - 强调文字颜色 6 3 2 2" xfId="588"/>
    <cellStyle name="20% - 强调文字颜色 6 3 2 2 2" xfId="589"/>
    <cellStyle name="20% - 强调文字颜色 6 3 2 2 2 2" xfId="590"/>
    <cellStyle name="20% - 强调文字颜色 6 3 2 2 3" xfId="591"/>
    <cellStyle name="20% - 强调文字颜色 6 3 2 2 4" xfId="592"/>
    <cellStyle name="20% - 强调文字颜色 6 3 2 3" xfId="593"/>
    <cellStyle name="20% - 强调文字颜色 6 3 2 3 2" xfId="594"/>
    <cellStyle name="20% - 强调文字颜色 6 3 2 4" xfId="595"/>
    <cellStyle name="20% - 强调文字颜色 6 3 2 4 2" xfId="596"/>
    <cellStyle name="20% - 强调文字颜色 6 3 2 5" xfId="597"/>
    <cellStyle name="20% - 强调文字颜色 6 3 2 6" xfId="598"/>
    <cellStyle name="20% - 强调文字颜色 6 3 2 7" xfId="8647"/>
    <cellStyle name="20% - 强调文字颜色 6 3 2 7 2" xfId="9243"/>
    <cellStyle name="20% - 强调文字颜色 6 3 3" xfId="599"/>
    <cellStyle name="20% - 强调文字颜色 6 3 3 2" xfId="600"/>
    <cellStyle name="20% - 强调文字颜色 6 3 3 2 2" xfId="601"/>
    <cellStyle name="20% - 强调文字颜色 6 3 3 3" xfId="602"/>
    <cellStyle name="20% - 强调文字颜色 6 3 3 4" xfId="603"/>
    <cellStyle name="20% - 强调文字颜色 6 3 4" xfId="604"/>
    <cellStyle name="20% - 强调文字颜色 6 3 4 2" xfId="605"/>
    <cellStyle name="20% - 强调文字颜色 6 3 5" xfId="606"/>
    <cellStyle name="20% - 强调文字颜色 6 3 5 2" xfId="607"/>
    <cellStyle name="20% - 强调文字颜色 6 3 6" xfId="608"/>
    <cellStyle name="20% - 强调文字颜色 6 3 7" xfId="609"/>
    <cellStyle name="20% - 强调文字颜色 6 3 8" xfId="8646"/>
    <cellStyle name="20% - 强调文字颜色 6 3 8 2" xfId="9242"/>
    <cellStyle name="20% - 强调文字颜色 6 4" xfId="610"/>
    <cellStyle name="20% - 强调文字颜色 6 4 2" xfId="611"/>
    <cellStyle name="20% - 强调文字颜色 6 4 2 2" xfId="612"/>
    <cellStyle name="20% - 强调文字颜色 6 4 2 2 2" xfId="613"/>
    <cellStyle name="20% - 强调文字颜色 6 4 2 2 2 2" xfId="614"/>
    <cellStyle name="20% - 强调文字颜色 6 4 2 2 3" xfId="615"/>
    <cellStyle name="20% - 强调文字颜色 6 4 2 2 4" xfId="616"/>
    <cellStyle name="20% - 强调文字颜色 6 4 2 3" xfId="617"/>
    <cellStyle name="20% - 强调文字颜色 6 4 2 3 2" xfId="618"/>
    <cellStyle name="20% - 强调文字颜色 6 4 2 4" xfId="619"/>
    <cellStyle name="20% - 强调文字颜色 6 4 2 4 2" xfId="620"/>
    <cellStyle name="20% - 强调文字颜色 6 4 2 5" xfId="621"/>
    <cellStyle name="20% - 强调文字颜色 6 4 2 6" xfId="622"/>
    <cellStyle name="20% - 强调文字颜色 6 4 2 7" xfId="8649"/>
    <cellStyle name="20% - 强调文字颜色 6 4 2 7 2" xfId="9245"/>
    <cellStyle name="20% - 强调文字颜色 6 4 3" xfId="623"/>
    <cellStyle name="20% - 强调文字颜色 6 4 3 2" xfId="624"/>
    <cellStyle name="20% - 强调文字颜色 6 4 3 2 2" xfId="625"/>
    <cellStyle name="20% - 强调文字颜色 6 4 3 3" xfId="626"/>
    <cellStyle name="20% - 强调文字颜色 6 4 3 4" xfId="627"/>
    <cellStyle name="20% - 强调文字颜色 6 4 4" xfId="628"/>
    <cellStyle name="20% - 强调文字颜色 6 4 4 2" xfId="629"/>
    <cellStyle name="20% - 强调文字颜色 6 4 5" xfId="630"/>
    <cellStyle name="20% - 强调文字颜色 6 4 5 2" xfId="631"/>
    <cellStyle name="20% - 强调文字颜色 6 4 6" xfId="632"/>
    <cellStyle name="20% - 强调文字颜色 6 4 7" xfId="633"/>
    <cellStyle name="20% - 强调文字颜色 6 4 8" xfId="8648"/>
    <cellStyle name="20% - 强调文字颜色 6 4 8 2" xfId="9244"/>
    <cellStyle name="20% - 强调文字颜色 6 5" xfId="634"/>
    <cellStyle name="20% - 强调文字颜色 6 5 2" xfId="635"/>
    <cellStyle name="20% - 强调文字颜色 6 5 2 2" xfId="636"/>
    <cellStyle name="20% - 强调文字颜色 6 5 2 2 2" xfId="637"/>
    <cellStyle name="20% - 强调文字颜色 6 5 2 3" xfId="638"/>
    <cellStyle name="20% - 强调文字颜色 6 5 2 4" xfId="639"/>
    <cellStyle name="20% - 强调文字颜色 6 5 3" xfId="640"/>
    <cellStyle name="20% - 强调文字颜色 6 5 3 2" xfId="641"/>
    <cellStyle name="20% - 强调文字颜色 6 5 4" xfId="642"/>
    <cellStyle name="20% - 强调文字颜色 6 5 4 2" xfId="643"/>
    <cellStyle name="20% - 强调文字颜色 6 5 5" xfId="644"/>
    <cellStyle name="20% - 强调文字颜色 6 5 6" xfId="645"/>
    <cellStyle name="20% - 强调文字颜色 6 6" xfId="646"/>
    <cellStyle name="20% - 强调文字颜色 6 6 2" xfId="647"/>
    <cellStyle name="20% - 强调文字颜色 6 6 2 2" xfId="648"/>
    <cellStyle name="20% - 强调文字颜色 6 6 2 2 2" xfId="649"/>
    <cellStyle name="20% - 强调文字颜色 6 6 2 3" xfId="650"/>
    <cellStyle name="20% - 强调文字颜色 6 6 2 4" xfId="651"/>
    <cellStyle name="20% - 强调文字颜色 6 6 3" xfId="652"/>
    <cellStyle name="20% - 强调文字颜色 6 6 3 2" xfId="653"/>
    <cellStyle name="20% - 强调文字颜色 6 6 4" xfId="654"/>
    <cellStyle name="20% - 强调文字颜色 6 6 4 2" xfId="655"/>
    <cellStyle name="20% - 强调文字颜色 6 6 5" xfId="656"/>
    <cellStyle name="20% - 强调文字颜色 6 6 6" xfId="657"/>
    <cellStyle name="20% - 强调文字颜色 6 7" xfId="658"/>
    <cellStyle name="20% - 强调文字颜色 6 7 2" xfId="659"/>
    <cellStyle name="20% - 强调文字颜色 6 7 2 2" xfId="660"/>
    <cellStyle name="20% - 强调文字颜色 6 7 2 2 2" xfId="661"/>
    <cellStyle name="20% - 强调文字颜色 6 7 2 3" xfId="662"/>
    <cellStyle name="20% - 强调文字颜色 6 7 2 4" xfId="663"/>
    <cellStyle name="20% - 强调文字颜色 6 7 3" xfId="664"/>
    <cellStyle name="20% - 强调文字颜色 6 7 3 2" xfId="665"/>
    <cellStyle name="20% - 强调文字颜色 6 7 4" xfId="666"/>
    <cellStyle name="20% - 强调文字颜色 6 7 4 2" xfId="667"/>
    <cellStyle name="20% - 强调文字颜色 6 7 5" xfId="668"/>
    <cellStyle name="20% - 强调文字颜色 6 7 6" xfId="669"/>
    <cellStyle name="20% - 着色 1" xfId="670"/>
    <cellStyle name="20% - 着色 1 10" xfId="671"/>
    <cellStyle name="20% - 着色 1 2" xfId="672"/>
    <cellStyle name="20% - 着色 1 2 2" xfId="673"/>
    <cellStyle name="20% - 着色 1 2 2 2" xfId="674"/>
    <cellStyle name="20% - 着色 1 2 2 2 2" xfId="675"/>
    <cellStyle name="20% - 着色 1 2 2 2 2 2" xfId="676"/>
    <cellStyle name="20% - 着色 1 2 2 2 3" xfId="677"/>
    <cellStyle name="20% - 着色 1 2 2 2 4" xfId="678"/>
    <cellStyle name="20% - 着色 1 2 2 3" xfId="679"/>
    <cellStyle name="20% - 着色 1 2 2 3 2" xfId="680"/>
    <cellStyle name="20% - 着色 1 2 2 4" xfId="681"/>
    <cellStyle name="20% - 着色 1 2 2 4 2" xfId="682"/>
    <cellStyle name="20% - 着色 1 2 2 5" xfId="683"/>
    <cellStyle name="20% - 着色 1 2 2 6" xfId="684"/>
    <cellStyle name="20% - 着色 1 2 3" xfId="685"/>
    <cellStyle name="20% - 着色 1 2 3 2" xfId="686"/>
    <cellStyle name="20% - 着色 1 2 3 2 2" xfId="687"/>
    <cellStyle name="20% - 着色 1 2 3 3" xfId="688"/>
    <cellStyle name="20% - 着色 1 2 3 4" xfId="689"/>
    <cellStyle name="20% - 着色 1 2 4" xfId="690"/>
    <cellStyle name="20% - 着色 1 2 4 2" xfId="691"/>
    <cellStyle name="20% - 着色 1 2 5" xfId="692"/>
    <cellStyle name="20% - 着色 1 2 5 2" xfId="693"/>
    <cellStyle name="20% - 着色 1 2 6" xfId="694"/>
    <cellStyle name="20% - 着色 1 2 7" xfId="695"/>
    <cellStyle name="20% - 着色 1 3" xfId="696"/>
    <cellStyle name="20% - 着色 1 3 2" xfId="697"/>
    <cellStyle name="20% - 着色 1 3 2 2" xfId="698"/>
    <cellStyle name="20% - 着色 1 3 2 2 2" xfId="699"/>
    <cellStyle name="20% - 着色 1 3 2 3" xfId="700"/>
    <cellStyle name="20% - 着色 1 3 2 4" xfId="701"/>
    <cellStyle name="20% - 着色 1 3 3" xfId="702"/>
    <cellStyle name="20% - 着色 1 3 3 2" xfId="703"/>
    <cellStyle name="20% - 着色 1 3 4" xfId="704"/>
    <cellStyle name="20% - 着色 1 3 4 2" xfId="705"/>
    <cellStyle name="20% - 着色 1 3 5" xfId="706"/>
    <cellStyle name="20% - 着色 1 3 6" xfId="707"/>
    <cellStyle name="20% - 着色 1 4" xfId="708"/>
    <cellStyle name="20% - 着色 1 4 2" xfId="709"/>
    <cellStyle name="20% - 着色 1 4 2 2" xfId="710"/>
    <cellStyle name="20% - 着色 1 4 2 2 2" xfId="711"/>
    <cellStyle name="20% - 着色 1 4 2 3" xfId="712"/>
    <cellStyle name="20% - 着色 1 4 2 4" xfId="713"/>
    <cellStyle name="20% - 着色 1 4 3" xfId="714"/>
    <cellStyle name="20% - 着色 1 4 3 2" xfId="715"/>
    <cellStyle name="20% - 着色 1 4 4" xfId="716"/>
    <cellStyle name="20% - 着色 1 4 4 2" xfId="717"/>
    <cellStyle name="20% - 着色 1 4 5" xfId="718"/>
    <cellStyle name="20% - 着色 1 4 6" xfId="719"/>
    <cellStyle name="20% - 着色 1 5" xfId="720"/>
    <cellStyle name="20% - 着色 1 5 2" xfId="721"/>
    <cellStyle name="20% - 着色 1 5 2 2" xfId="722"/>
    <cellStyle name="20% - 着色 1 5 3" xfId="723"/>
    <cellStyle name="20% - 着色 1 5 4" xfId="724"/>
    <cellStyle name="20% - 着色 1 6" xfId="725"/>
    <cellStyle name="20% - 着色 1 6 2" xfId="726"/>
    <cellStyle name="20% - 着色 1 7" xfId="727"/>
    <cellStyle name="20% - 着色 1 7 2" xfId="728"/>
    <cellStyle name="20% - 着色 1 8" xfId="729"/>
    <cellStyle name="20% - 着色 1 8 2" xfId="730"/>
    <cellStyle name="20% - 着色 1 9" xfId="731"/>
    <cellStyle name="20% - 着色 2" xfId="732"/>
    <cellStyle name="20% - 着色 2 10" xfId="733"/>
    <cellStyle name="20% - 着色 2 2" xfId="734"/>
    <cellStyle name="20% - 着色 2 2 2" xfId="735"/>
    <cellStyle name="20% - 着色 2 2 2 2" xfId="736"/>
    <cellStyle name="20% - 着色 2 2 2 2 2" xfId="737"/>
    <cellStyle name="20% - 着色 2 2 2 2 2 2" xfId="738"/>
    <cellStyle name="20% - 着色 2 2 2 2 3" xfId="739"/>
    <cellStyle name="20% - 着色 2 2 2 2 4" xfId="740"/>
    <cellStyle name="20% - 着色 2 2 2 3" xfId="741"/>
    <cellStyle name="20% - 着色 2 2 2 3 2" xfId="742"/>
    <cellStyle name="20% - 着色 2 2 2 4" xfId="743"/>
    <cellStyle name="20% - 着色 2 2 2 4 2" xfId="744"/>
    <cellStyle name="20% - 着色 2 2 2 5" xfId="745"/>
    <cellStyle name="20% - 着色 2 2 2 6" xfId="746"/>
    <cellStyle name="20% - 着色 2 2 3" xfId="747"/>
    <cellStyle name="20% - 着色 2 2 3 2" xfId="748"/>
    <cellStyle name="20% - 着色 2 2 3 2 2" xfId="749"/>
    <cellStyle name="20% - 着色 2 2 3 3" xfId="750"/>
    <cellStyle name="20% - 着色 2 2 3 4" xfId="751"/>
    <cellStyle name="20% - 着色 2 2 4" xfId="752"/>
    <cellStyle name="20% - 着色 2 2 4 2" xfId="753"/>
    <cellStyle name="20% - 着色 2 2 5" xfId="754"/>
    <cellStyle name="20% - 着色 2 2 5 2" xfId="755"/>
    <cellStyle name="20% - 着色 2 2 6" xfId="756"/>
    <cellStyle name="20% - 着色 2 2 7" xfId="757"/>
    <cellStyle name="20% - 着色 2 3" xfId="758"/>
    <cellStyle name="20% - 着色 2 3 2" xfId="759"/>
    <cellStyle name="20% - 着色 2 3 2 2" xfId="760"/>
    <cellStyle name="20% - 着色 2 3 2 2 2" xfId="761"/>
    <cellStyle name="20% - 着色 2 3 2 3" xfId="762"/>
    <cellStyle name="20% - 着色 2 3 2 4" xfId="763"/>
    <cellStyle name="20% - 着色 2 3 3" xfId="764"/>
    <cellStyle name="20% - 着色 2 3 3 2" xfId="765"/>
    <cellStyle name="20% - 着色 2 3 4" xfId="766"/>
    <cellStyle name="20% - 着色 2 3 4 2" xfId="767"/>
    <cellStyle name="20% - 着色 2 3 5" xfId="768"/>
    <cellStyle name="20% - 着色 2 3 6" xfId="769"/>
    <cellStyle name="20% - 着色 2 4" xfId="770"/>
    <cellStyle name="20% - 着色 2 4 2" xfId="771"/>
    <cellStyle name="20% - 着色 2 4 2 2" xfId="772"/>
    <cellStyle name="20% - 着色 2 4 2 2 2" xfId="773"/>
    <cellStyle name="20% - 着色 2 4 2 3" xfId="774"/>
    <cellStyle name="20% - 着色 2 4 2 4" xfId="775"/>
    <cellStyle name="20% - 着色 2 4 3" xfId="776"/>
    <cellStyle name="20% - 着色 2 4 3 2" xfId="777"/>
    <cellStyle name="20% - 着色 2 4 4" xfId="778"/>
    <cellStyle name="20% - 着色 2 4 4 2" xfId="779"/>
    <cellStyle name="20% - 着色 2 4 5" xfId="780"/>
    <cellStyle name="20% - 着色 2 4 6" xfId="781"/>
    <cellStyle name="20% - 着色 2 5" xfId="782"/>
    <cellStyle name="20% - 着色 2 5 2" xfId="783"/>
    <cellStyle name="20% - 着色 2 5 2 2" xfId="784"/>
    <cellStyle name="20% - 着色 2 5 3" xfId="785"/>
    <cellStyle name="20% - 着色 2 5 4" xfId="786"/>
    <cellStyle name="20% - 着色 2 6" xfId="787"/>
    <cellStyle name="20% - 着色 2 6 2" xfId="788"/>
    <cellStyle name="20% - 着色 2 7" xfId="789"/>
    <cellStyle name="20% - 着色 2 7 2" xfId="790"/>
    <cellStyle name="20% - 着色 2 8" xfId="791"/>
    <cellStyle name="20% - 着色 2 8 2" xfId="792"/>
    <cellStyle name="20% - 着色 2 9" xfId="793"/>
    <cellStyle name="20% - 着色 3" xfId="794"/>
    <cellStyle name="20% - 着色 3 10" xfId="795"/>
    <cellStyle name="20% - 着色 3 2" xfId="796"/>
    <cellStyle name="20% - 着色 3 2 2" xfId="797"/>
    <cellStyle name="20% - 着色 3 2 2 2" xfId="798"/>
    <cellStyle name="20% - 着色 3 2 2 2 2" xfId="799"/>
    <cellStyle name="20% - 着色 3 2 2 2 2 2" xfId="800"/>
    <cellStyle name="20% - 着色 3 2 2 2 3" xfId="801"/>
    <cellStyle name="20% - 着色 3 2 2 2 4" xfId="802"/>
    <cellStyle name="20% - 着色 3 2 2 3" xfId="803"/>
    <cellStyle name="20% - 着色 3 2 2 3 2" xfId="804"/>
    <cellStyle name="20% - 着色 3 2 2 4" xfId="805"/>
    <cellStyle name="20% - 着色 3 2 2 4 2" xfId="806"/>
    <cellStyle name="20% - 着色 3 2 2 5" xfId="807"/>
    <cellStyle name="20% - 着色 3 2 2 6" xfId="808"/>
    <cellStyle name="20% - 着色 3 2 3" xfId="809"/>
    <cellStyle name="20% - 着色 3 2 3 2" xfId="810"/>
    <cellStyle name="20% - 着色 3 2 3 2 2" xfId="811"/>
    <cellStyle name="20% - 着色 3 2 3 3" xfId="812"/>
    <cellStyle name="20% - 着色 3 2 3 4" xfId="813"/>
    <cellStyle name="20% - 着色 3 2 4" xfId="814"/>
    <cellStyle name="20% - 着色 3 2 4 2" xfId="815"/>
    <cellStyle name="20% - 着色 3 2 5" xfId="816"/>
    <cellStyle name="20% - 着色 3 2 5 2" xfId="817"/>
    <cellStyle name="20% - 着色 3 2 6" xfId="818"/>
    <cellStyle name="20% - 着色 3 2 7" xfId="819"/>
    <cellStyle name="20% - 着色 3 3" xfId="820"/>
    <cellStyle name="20% - 着色 3 3 2" xfId="821"/>
    <cellStyle name="20% - 着色 3 3 2 2" xfId="822"/>
    <cellStyle name="20% - 着色 3 3 2 2 2" xfId="823"/>
    <cellStyle name="20% - 着色 3 3 2 3" xfId="824"/>
    <cellStyle name="20% - 着色 3 3 2 4" xfId="825"/>
    <cellStyle name="20% - 着色 3 3 3" xfId="826"/>
    <cellStyle name="20% - 着色 3 3 3 2" xfId="827"/>
    <cellStyle name="20% - 着色 3 3 4" xfId="828"/>
    <cellStyle name="20% - 着色 3 3 4 2" xfId="829"/>
    <cellStyle name="20% - 着色 3 3 5" xfId="830"/>
    <cellStyle name="20% - 着色 3 3 6" xfId="831"/>
    <cellStyle name="20% - 着色 3 4" xfId="832"/>
    <cellStyle name="20% - 着色 3 4 2" xfId="833"/>
    <cellStyle name="20% - 着色 3 4 2 2" xfId="834"/>
    <cellStyle name="20% - 着色 3 4 2 2 2" xfId="835"/>
    <cellStyle name="20% - 着色 3 4 2 3" xfId="836"/>
    <cellStyle name="20% - 着色 3 4 2 4" xfId="837"/>
    <cellStyle name="20% - 着色 3 4 3" xfId="838"/>
    <cellStyle name="20% - 着色 3 4 3 2" xfId="839"/>
    <cellStyle name="20% - 着色 3 4 4" xfId="840"/>
    <cellStyle name="20% - 着色 3 4 4 2" xfId="841"/>
    <cellStyle name="20% - 着色 3 4 5" xfId="842"/>
    <cellStyle name="20% - 着色 3 4 6" xfId="843"/>
    <cellStyle name="20% - 着色 3 5" xfId="844"/>
    <cellStyle name="20% - 着色 3 5 2" xfId="845"/>
    <cellStyle name="20% - 着色 3 5 2 2" xfId="846"/>
    <cellStyle name="20% - 着色 3 5 3" xfId="847"/>
    <cellStyle name="20% - 着色 3 5 4" xfId="848"/>
    <cellStyle name="20% - 着色 3 6" xfId="849"/>
    <cellStyle name="20% - 着色 3 6 2" xfId="850"/>
    <cellStyle name="20% - 着色 3 7" xfId="851"/>
    <cellStyle name="20% - 着色 3 7 2" xfId="852"/>
    <cellStyle name="20% - 着色 3 8" xfId="853"/>
    <cellStyle name="20% - 着色 3 8 2" xfId="854"/>
    <cellStyle name="20% - 着色 3 9" xfId="855"/>
    <cellStyle name="20% - 着色 4" xfId="856"/>
    <cellStyle name="20% - 着色 4 10" xfId="857"/>
    <cellStyle name="20% - 着色 4 2" xfId="858"/>
    <cellStyle name="20% - 着色 4 2 2" xfId="859"/>
    <cellStyle name="20% - 着色 4 2 2 2" xfId="860"/>
    <cellStyle name="20% - 着色 4 2 2 2 2" xfId="861"/>
    <cellStyle name="20% - 着色 4 2 2 2 2 2" xfId="862"/>
    <cellStyle name="20% - 着色 4 2 2 2 3" xfId="863"/>
    <cellStyle name="20% - 着色 4 2 2 2 4" xfId="864"/>
    <cellStyle name="20% - 着色 4 2 2 3" xfId="865"/>
    <cellStyle name="20% - 着色 4 2 2 3 2" xfId="866"/>
    <cellStyle name="20% - 着色 4 2 2 4" xfId="867"/>
    <cellStyle name="20% - 着色 4 2 2 4 2" xfId="868"/>
    <cellStyle name="20% - 着色 4 2 2 5" xfId="869"/>
    <cellStyle name="20% - 着色 4 2 2 6" xfId="870"/>
    <cellStyle name="20% - 着色 4 2 3" xfId="871"/>
    <cellStyle name="20% - 着色 4 2 3 2" xfId="872"/>
    <cellStyle name="20% - 着色 4 2 3 2 2" xfId="873"/>
    <cellStyle name="20% - 着色 4 2 3 3" xfId="874"/>
    <cellStyle name="20% - 着色 4 2 3 4" xfId="875"/>
    <cellStyle name="20% - 着色 4 2 4" xfId="876"/>
    <cellStyle name="20% - 着色 4 2 4 2" xfId="877"/>
    <cellStyle name="20% - 着色 4 2 5" xfId="878"/>
    <cellStyle name="20% - 着色 4 2 5 2" xfId="879"/>
    <cellStyle name="20% - 着色 4 2 6" xfId="880"/>
    <cellStyle name="20% - 着色 4 2 7" xfId="881"/>
    <cellStyle name="20% - 着色 4 3" xfId="882"/>
    <cellStyle name="20% - 着色 4 3 2" xfId="883"/>
    <cellStyle name="20% - 着色 4 3 2 2" xfId="884"/>
    <cellStyle name="20% - 着色 4 3 2 2 2" xfId="885"/>
    <cellStyle name="20% - 着色 4 3 2 3" xfId="886"/>
    <cellStyle name="20% - 着色 4 3 2 4" xfId="887"/>
    <cellStyle name="20% - 着色 4 3 3" xfId="888"/>
    <cellStyle name="20% - 着色 4 3 3 2" xfId="889"/>
    <cellStyle name="20% - 着色 4 3 4" xfId="890"/>
    <cellStyle name="20% - 着色 4 3 4 2" xfId="891"/>
    <cellStyle name="20% - 着色 4 3 5" xfId="892"/>
    <cellStyle name="20% - 着色 4 3 6" xfId="893"/>
    <cellStyle name="20% - 着色 4 4" xfId="894"/>
    <cellStyle name="20% - 着色 4 4 2" xfId="895"/>
    <cellStyle name="20% - 着色 4 4 2 2" xfId="896"/>
    <cellStyle name="20% - 着色 4 4 2 2 2" xfId="897"/>
    <cellStyle name="20% - 着色 4 4 2 3" xfId="898"/>
    <cellStyle name="20% - 着色 4 4 2 4" xfId="899"/>
    <cellStyle name="20% - 着色 4 4 3" xfId="900"/>
    <cellStyle name="20% - 着色 4 4 3 2" xfId="901"/>
    <cellStyle name="20% - 着色 4 4 4" xfId="902"/>
    <cellStyle name="20% - 着色 4 4 4 2" xfId="903"/>
    <cellStyle name="20% - 着色 4 4 5" xfId="904"/>
    <cellStyle name="20% - 着色 4 4 6" xfId="905"/>
    <cellStyle name="20% - 着色 4 5" xfId="906"/>
    <cellStyle name="20% - 着色 4 5 2" xfId="907"/>
    <cellStyle name="20% - 着色 4 5 2 2" xfId="908"/>
    <cellStyle name="20% - 着色 4 5 3" xfId="909"/>
    <cellStyle name="20% - 着色 4 5 4" xfId="910"/>
    <cellStyle name="20% - 着色 4 6" xfId="911"/>
    <cellStyle name="20% - 着色 4 6 2" xfId="912"/>
    <cellStyle name="20% - 着色 4 7" xfId="913"/>
    <cellStyle name="20% - 着色 4 7 2" xfId="914"/>
    <cellStyle name="20% - 着色 4 8" xfId="915"/>
    <cellStyle name="20% - 着色 4 8 2" xfId="916"/>
    <cellStyle name="20% - 着色 4 9" xfId="917"/>
    <cellStyle name="20% - 着色 5" xfId="918"/>
    <cellStyle name="20% - 着色 5 10" xfId="919"/>
    <cellStyle name="20% - 着色 5 2" xfId="920"/>
    <cellStyle name="20% - 着色 5 2 2" xfId="921"/>
    <cellStyle name="20% - 着色 5 2 2 2" xfId="922"/>
    <cellStyle name="20% - 着色 5 2 2 2 2" xfId="923"/>
    <cellStyle name="20% - 着色 5 2 2 2 2 2" xfId="924"/>
    <cellStyle name="20% - 着色 5 2 2 2 3" xfId="925"/>
    <cellStyle name="20% - 着色 5 2 2 2 4" xfId="926"/>
    <cellStyle name="20% - 着色 5 2 2 3" xfId="927"/>
    <cellStyle name="20% - 着色 5 2 2 3 2" xfId="928"/>
    <cellStyle name="20% - 着色 5 2 2 4" xfId="929"/>
    <cellStyle name="20% - 着色 5 2 2 4 2" xfId="930"/>
    <cellStyle name="20% - 着色 5 2 2 5" xfId="931"/>
    <cellStyle name="20% - 着色 5 2 2 6" xfId="932"/>
    <cellStyle name="20% - 着色 5 2 3" xfId="933"/>
    <cellStyle name="20% - 着色 5 2 3 2" xfId="934"/>
    <cellStyle name="20% - 着色 5 2 3 2 2" xfId="935"/>
    <cellStyle name="20% - 着色 5 2 3 3" xfId="936"/>
    <cellStyle name="20% - 着色 5 2 3 4" xfId="937"/>
    <cellStyle name="20% - 着色 5 2 4" xfId="938"/>
    <cellStyle name="20% - 着色 5 2 4 2" xfId="939"/>
    <cellStyle name="20% - 着色 5 2 5" xfId="940"/>
    <cellStyle name="20% - 着色 5 2 5 2" xfId="941"/>
    <cellStyle name="20% - 着色 5 2 6" xfId="942"/>
    <cellStyle name="20% - 着色 5 2 7" xfId="943"/>
    <cellStyle name="20% - 着色 5 3" xfId="944"/>
    <cellStyle name="20% - 着色 5 3 2" xfId="945"/>
    <cellStyle name="20% - 着色 5 3 2 2" xfId="946"/>
    <cellStyle name="20% - 着色 5 3 2 2 2" xfId="947"/>
    <cellStyle name="20% - 着色 5 3 2 3" xfId="948"/>
    <cellStyle name="20% - 着色 5 3 2 4" xfId="949"/>
    <cellStyle name="20% - 着色 5 3 3" xfId="950"/>
    <cellStyle name="20% - 着色 5 3 3 2" xfId="951"/>
    <cellStyle name="20% - 着色 5 3 4" xfId="952"/>
    <cellStyle name="20% - 着色 5 3 4 2" xfId="953"/>
    <cellStyle name="20% - 着色 5 3 5" xfId="954"/>
    <cellStyle name="20% - 着色 5 3 6" xfId="955"/>
    <cellStyle name="20% - 着色 5 4" xfId="956"/>
    <cellStyle name="20% - 着色 5 4 2" xfId="957"/>
    <cellStyle name="20% - 着色 5 4 2 2" xfId="958"/>
    <cellStyle name="20% - 着色 5 4 2 2 2" xfId="959"/>
    <cellStyle name="20% - 着色 5 4 2 3" xfId="960"/>
    <cellStyle name="20% - 着色 5 4 2 4" xfId="961"/>
    <cellStyle name="20% - 着色 5 4 3" xfId="962"/>
    <cellStyle name="20% - 着色 5 4 3 2" xfId="963"/>
    <cellStyle name="20% - 着色 5 4 4" xfId="964"/>
    <cellStyle name="20% - 着色 5 4 4 2" xfId="965"/>
    <cellStyle name="20% - 着色 5 4 5" xfId="966"/>
    <cellStyle name="20% - 着色 5 4 6" xfId="967"/>
    <cellStyle name="20% - 着色 5 5" xfId="968"/>
    <cellStyle name="20% - 着色 5 5 2" xfId="969"/>
    <cellStyle name="20% - 着色 5 5 2 2" xfId="970"/>
    <cellStyle name="20% - 着色 5 5 3" xfId="971"/>
    <cellStyle name="20% - 着色 5 5 4" xfId="972"/>
    <cellStyle name="20% - 着色 5 6" xfId="973"/>
    <cellStyle name="20% - 着色 5 6 2" xfId="974"/>
    <cellStyle name="20% - 着色 5 7" xfId="975"/>
    <cellStyle name="20% - 着色 5 7 2" xfId="976"/>
    <cellStyle name="20% - 着色 5 8" xfId="977"/>
    <cellStyle name="20% - 着色 5 8 2" xfId="978"/>
    <cellStyle name="20% - 着色 5 9" xfId="979"/>
    <cellStyle name="20% - 着色 6" xfId="980"/>
    <cellStyle name="20% - 着色 6 10" xfId="981"/>
    <cellStyle name="20% - 着色 6 2" xfId="982"/>
    <cellStyle name="20% - 着色 6 2 2" xfId="983"/>
    <cellStyle name="20% - 着色 6 2 2 2" xfId="984"/>
    <cellStyle name="20% - 着色 6 2 2 2 2" xfId="985"/>
    <cellStyle name="20% - 着色 6 2 2 2 2 2" xfId="986"/>
    <cellStyle name="20% - 着色 6 2 2 2 3" xfId="987"/>
    <cellStyle name="20% - 着色 6 2 2 2 4" xfId="988"/>
    <cellStyle name="20% - 着色 6 2 2 3" xfId="989"/>
    <cellStyle name="20% - 着色 6 2 2 3 2" xfId="990"/>
    <cellStyle name="20% - 着色 6 2 2 4" xfId="991"/>
    <cellStyle name="20% - 着色 6 2 2 4 2" xfId="992"/>
    <cellStyle name="20% - 着色 6 2 2 5" xfId="993"/>
    <cellStyle name="20% - 着色 6 2 2 6" xfId="994"/>
    <cellStyle name="20% - 着色 6 2 3" xfId="995"/>
    <cellStyle name="20% - 着色 6 2 3 2" xfId="996"/>
    <cellStyle name="20% - 着色 6 2 3 2 2" xfId="997"/>
    <cellStyle name="20% - 着色 6 2 3 3" xfId="998"/>
    <cellStyle name="20% - 着色 6 2 3 4" xfId="999"/>
    <cellStyle name="20% - 着色 6 2 4" xfId="1000"/>
    <cellStyle name="20% - 着色 6 2 4 2" xfId="1001"/>
    <cellStyle name="20% - 着色 6 2 5" xfId="1002"/>
    <cellStyle name="20% - 着色 6 2 5 2" xfId="1003"/>
    <cellStyle name="20% - 着色 6 2 6" xfId="1004"/>
    <cellStyle name="20% - 着色 6 2 7" xfId="1005"/>
    <cellStyle name="20% - 着色 6 3" xfId="1006"/>
    <cellStyle name="20% - 着色 6 3 2" xfId="1007"/>
    <cellStyle name="20% - 着色 6 3 2 2" xfId="1008"/>
    <cellStyle name="20% - 着色 6 3 2 2 2" xfId="1009"/>
    <cellStyle name="20% - 着色 6 3 2 3" xfId="1010"/>
    <cellStyle name="20% - 着色 6 3 2 4" xfId="1011"/>
    <cellStyle name="20% - 着色 6 3 3" xfId="1012"/>
    <cellStyle name="20% - 着色 6 3 3 2" xfId="1013"/>
    <cellStyle name="20% - 着色 6 3 4" xfId="1014"/>
    <cellStyle name="20% - 着色 6 3 4 2" xfId="1015"/>
    <cellStyle name="20% - 着色 6 3 5" xfId="1016"/>
    <cellStyle name="20% - 着色 6 3 6" xfId="1017"/>
    <cellStyle name="20% - 着色 6 4" xfId="1018"/>
    <cellStyle name="20% - 着色 6 4 2" xfId="1019"/>
    <cellStyle name="20% - 着色 6 4 2 2" xfId="1020"/>
    <cellStyle name="20% - 着色 6 4 2 2 2" xfId="1021"/>
    <cellStyle name="20% - 着色 6 4 2 3" xfId="1022"/>
    <cellStyle name="20% - 着色 6 4 2 4" xfId="1023"/>
    <cellStyle name="20% - 着色 6 4 3" xfId="1024"/>
    <cellStyle name="20% - 着色 6 4 3 2" xfId="1025"/>
    <cellStyle name="20% - 着色 6 4 4" xfId="1026"/>
    <cellStyle name="20% - 着色 6 4 4 2" xfId="1027"/>
    <cellStyle name="20% - 着色 6 4 5" xfId="1028"/>
    <cellStyle name="20% - 着色 6 4 6" xfId="1029"/>
    <cellStyle name="20% - 着色 6 5" xfId="1030"/>
    <cellStyle name="20% - 着色 6 5 2" xfId="1031"/>
    <cellStyle name="20% - 着色 6 5 2 2" xfId="1032"/>
    <cellStyle name="20% - 着色 6 5 3" xfId="1033"/>
    <cellStyle name="20% - 着色 6 5 4" xfId="1034"/>
    <cellStyle name="20% - 着色 6 6" xfId="1035"/>
    <cellStyle name="20% - 着色 6 6 2" xfId="1036"/>
    <cellStyle name="20% - 着色 6 7" xfId="1037"/>
    <cellStyle name="20% - 着色 6 7 2" xfId="1038"/>
    <cellStyle name="20% - 着色 6 8" xfId="1039"/>
    <cellStyle name="20% - 着色 6 8 2" xfId="1040"/>
    <cellStyle name="20% - 着色 6 9" xfId="1041"/>
    <cellStyle name="40% - 强调文字颜色 1 2" xfId="1042"/>
    <cellStyle name="40% - 强调文字颜色 1 2 2" xfId="1043"/>
    <cellStyle name="40% - 强调文字颜色 1 2 2 2" xfId="1044"/>
    <cellStyle name="40% - 强调文字颜色 1 2 2 2 2" xfId="1045"/>
    <cellStyle name="40% - 强调文字颜色 1 2 2 2 2 2" xfId="1046"/>
    <cellStyle name="40% - 强调文字颜色 1 2 2 2 3" xfId="1047"/>
    <cellStyle name="40% - 强调文字颜色 1 2 2 2 4" xfId="1048"/>
    <cellStyle name="40% - 强调文字颜色 1 2 2 3" xfId="1049"/>
    <cellStyle name="40% - 强调文字颜色 1 2 2 3 2" xfId="1050"/>
    <cellStyle name="40% - 强调文字颜色 1 2 2 4" xfId="1051"/>
    <cellStyle name="40% - 强调文字颜色 1 2 2 4 2" xfId="1052"/>
    <cellStyle name="40% - 强调文字颜色 1 2 2 5" xfId="1053"/>
    <cellStyle name="40% - 强调文字颜色 1 2 2 6" xfId="1054"/>
    <cellStyle name="40% - 强调文字颜色 1 2 2 7" xfId="8651"/>
    <cellStyle name="40% - 强调文字颜色 1 2 2 7 2" xfId="9247"/>
    <cellStyle name="40% - 强调文字颜色 1 2 3" xfId="1055"/>
    <cellStyle name="40% - 强调文字颜色 1 2 3 2" xfId="1056"/>
    <cellStyle name="40% - 强调文字颜色 1 2 3 2 2" xfId="1057"/>
    <cellStyle name="40% - 强调文字颜色 1 2 3 3" xfId="1058"/>
    <cellStyle name="40% - 强调文字颜色 1 2 3 4" xfId="1059"/>
    <cellStyle name="40% - 强调文字颜色 1 2 4" xfId="1060"/>
    <cellStyle name="40% - 强调文字颜色 1 2 4 2" xfId="1061"/>
    <cellStyle name="40% - 强调文字颜色 1 2 5" xfId="1062"/>
    <cellStyle name="40% - 强调文字颜色 1 2 5 2" xfId="1063"/>
    <cellStyle name="40% - 强调文字颜色 1 2 6" xfId="1064"/>
    <cellStyle name="40% - 强调文字颜色 1 2 7" xfId="1065"/>
    <cellStyle name="40% - 强调文字颜色 1 2 8" xfId="8650"/>
    <cellStyle name="40% - 强调文字颜色 1 2 8 2" xfId="9246"/>
    <cellStyle name="40% - 强调文字颜色 1 3" xfId="1066"/>
    <cellStyle name="40% - 强调文字颜色 1 3 2" xfId="1067"/>
    <cellStyle name="40% - 强调文字颜色 1 3 2 2" xfId="1068"/>
    <cellStyle name="40% - 强调文字颜色 1 3 2 2 2" xfId="1069"/>
    <cellStyle name="40% - 强调文字颜色 1 3 2 2 2 2" xfId="1070"/>
    <cellStyle name="40% - 强调文字颜色 1 3 2 2 3" xfId="1071"/>
    <cellStyle name="40% - 强调文字颜色 1 3 2 2 4" xfId="1072"/>
    <cellStyle name="40% - 强调文字颜色 1 3 2 3" xfId="1073"/>
    <cellStyle name="40% - 强调文字颜色 1 3 2 3 2" xfId="1074"/>
    <cellStyle name="40% - 强调文字颜色 1 3 2 4" xfId="1075"/>
    <cellStyle name="40% - 强调文字颜色 1 3 2 4 2" xfId="1076"/>
    <cellStyle name="40% - 强调文字颜色 1 3 2 5" xfId="1077"/>
    <cellStyle name="40% - 强调文字颜色 1 3 2 6" xfId="1078"/>
    <cellStyle name="40% - 强调文字颜色 1 3 2 7" xfId="8653"/>
    <cellStyle name="40% - 强调文字颜色 1 3 2 7 2" xfId="9249"/>
    <cellStyle name="40% - 强调文字颜色 1 3 3" xfId="1079"/>
    <cellStyle name="40% - 强调文字颜色 1 3 3 2" xfId="1080"/>
    <cellStyle name="40% - 强调文字颜色 1 3 3 2 2" xfId="1081"/>
    <cellStyle name="40% - 强调文字颜色 1 3 3 3" xfId="1082"/>
    <cellStyle name="40% - 强调文字颜色 1 3 3 4" xfId="1083"/>
    <cellStyle name="40% - 强调文字颜色 1 3 4" xfId="1084"/>
    <cellStyle name="40% - 强调文字颜色 1 3 4 2" xfId="1085"/>
    <cellStyle name="40% - 强调文字颜色 1 3 5" xfId="1086"/>
    <cellStyle name="40% - 强调文字颜色 1 3 5 2" xfId="1087"/>
    <cellStyle name="40% - 强调文字颜色 1 3 6" xfId="1088"/>
    <cellStyle name="40% - 强调文字颜色 1 3 7" xfId="1089"/>
    <cellStyle name="40% - 强调文字颜色 1 3 8" xfId="8652"/>
    <cellStyle name="40% - 强调文字颜色 1 3 8 2" xfId="9248"/>
    <cellStyle name="40% - 强调文字颜色 1 4" xfId="1090"/>
    <cellStyle name="40% - 强调文字颜色 1 4 2" xfId="1091"/>
    <cellStyle name="40% - 强调文字颜色 1 4 2 2" xfId="1092"/>
    <cellStyle name="40% - 强调文字颜色 1 4 2 2 2" xfId="1093"/>
    <cellStyle name="40% - 强调文字颜色 1 4 2 2 2 2" xfId="1094"/>
    <cellStyle name="40% - 强调文字颜色 1 4 2 2 3" xfId="1095"/>
    <cellStyle name="40% - 强调文字颜色 1 4 2 2 4" xfId="1096"/>
    <cellStyle name="40% - 强调文字颜色 1 4 2 3" xfId="1097"/>
    <cellStyle name="40% - 强调文字颜色 1 4 2 3 2" xfId="1098"/>
    <cellStyle name="40% - 强调文字颜色 1 4 2 4" xfId="1099"/>
    <cellStyle name="40% - 强调文字颜色 1 4 2 4 2" xfId="1100"/>
    <cellStyle name="40% - 强调文字颜色 1 4 2 5" xfId="1101"/>
    <cellStyle name="40% - 强调文字颜色 1 4 2 6" xfId="1102"/>
    <cellStyle name="40% - 强调文字颜色 1 4 2 7" xfId="8655"/>
    <cellStyle name="40% - 强调文字颜色 1 4 2 7 2" xfId="9251"/>
    <cellStyle name="40% - 强调文字颜色 1 4 3" xfId="1103"/>
    <cellStyle name="40% - 强调文字颜色 1 4 3 2" xfId="1104"/>
    <cellStyle name="40% - 强调文字颜色 1 4 3 2 2" xfId="1105"/>
    <cellStyle name="40% - 强调文字颜色 1 4 3 3" xfId="1106"/>
    <cellStyle name="40% - 强调文字颜色 1 4 3 4" xfId="1107"/>
    <cellStyle name="40% - 强调文字颜色 1 4 4" xfId="1108"/>
    <cellStyle name="40% - 强调文字颜色 1 4 4 2" xfId="1109"/>
    <cellStyle name="40% - 强调文字颜色 1 4 5" xfId="1110"/>
    <cellStyle name="40% - 强调文字颜色 1 4 5 2" xfId="1111"/>
    <cellStyle name="40% - 强调文字颜色 1 4 6" xfId="1112"/>
    <cellStyle name="40% - 强调文字颜色 1 4 7" xfId="1113"/>
    <cellStyle name="40% - 强调文字颜色 1 4 8" xfId="8654"/>
    <cellStyle name="40% - 强调文字颜色 1 4 8 2" xfId="9250"/>
    <cellStyle name="40% - 强调文字颜色 1 5" xfId="1114"/>
    <cellStyle name="40% - 强调文字颜色 1 5 2" xfId="1115"/>
    <cellStyle name="40% - 强调文字颜色 1 5 2 2" xfId="1116"/>
    <cellStyle name="40% - 强调文字颜色 1 5 2 2 2" xfId="1117"/>
    <cellStyle name="40% - 强调文字颜色 1 5 2 3" xfId="1118"/>
    <cellStyle name="40% - 强调文字颜色 1 5 2 4" xfId="1119"/>
    <cellStyle name="40% - 强调文字颜色 1 5 3" xfId="1120"/>
    <cellStyle name="40% - 强调文字颜色 1 5 3 2" xfId="1121"/>
    <cellStyle name="40% - 强调文字颜色 1 5 4" xfId="1122"/>
    <cellStyle name="40% - 强调文字颜色 1 5 4 2" xfId="1123"/>
    <cellStyle name="40% - 强调文字颜色 1 5 5" xfId="1124"/>
    <cellStyle name="40% - 强调文字颜色 1 5 6" xfId="1125"/>
    <cellStyle name="40% - 强调文字颜色 1 6" xfId="1126"/>
    <cellStyle name="40% - 强调文字颜色 1 6 2" xfId="1127"/>
    <cellStyle name="40% - 强调文字颜色 1 6 2 2" xfId="1128"/>
    <cellStyle name="40% - 强调文字颜色 1 6 2 2 2" xfId="1129"/>
    <cellStyle name="40% - 强调文字颜色 1 6 2 3" xfId="1130"/>
    <cellStyle name="40% - 强调文字颜色 1 6 2 4" xfId="1131"/>
    <cellStyle name="40% - 强调文字颜色 1 6 3" xfId="1132"/>
    <cellStyle name="40% - 强调文字颜色 1 6 3 2" xfId="1133"/>
    <cellStyle name="40% - 强调文字颜色 1 6 4" xfId="1134"/>
    <cellStyle name="40% - 强调文字颜色 1 6 4 2" xfId="1135"/>
    <cellStyle name="40% - 强调文字颜色 1 6 5" xfId="1136"/>
    <cellStyle name="40% - 强调文字颜色 1 6 6" xfId="1137"/>
    <cellStyle name="40% - 强调文字颜色 1 7" xfId="1138"/>
    <cellStyle name="40% - 强调文字颜色 1 7 2" xfId="1139"/>
    <cellStyle name="40% - 强调文字颜色 1 7 2 2" xfId="1140"/>
    <cellStyle name="40% - 强调文字颜色 1 7 2 2 2" xfId="1141"/>
    <cellStyle name="40% - 强调文字颜色 1 7 2 3" xfId="1142"/>
    <cellStyle name="40% - 强调文字颜色 1 7 2 4" xfId="1143"/>
    <cellStyle name="40% - 强调文字颜色 1 7 3" xfId="1144"/>
    <cellStyle name="40% - 强调文字颜色 1 7 3 2" xfId="1145"/>
    <cellStyle name="40% - 强调文字颜色 1 7 4" xfId="1146"/>
    <cellStyle name="40% - 强调文字颜色 1 7 4 2" xfId="1147"/>
    <cellStyle name="40% - 强调文字颜色 1 7 5" xfId="1148"/>
    <cellStyle name="40% - 强调文字颜色 1 7 6" xfId="1149"/>
    <cellStyle name="40% - 强调文字颜色 2 2" xfId="1150"/>
    <cellStyle name="40% - 强调文字颜色 2 2 2" xfId="1151"/>
    <cellStyle name="40% - 强调文字颜色 2 2 2 2" xfId="1152"/>
    <cellStyle name="40% - 强调文字颜色 2 2 2 2 2" xfId="1153"/>
    <cellStyle name="40% - 强调文字颜色 2 2 2 2 2 2" xfId="1154"/>
    <cellStyle name="40% - 强调文字颜色 2 2 2 2 3" xfId="1155"/>
    <cellStyle name="40% - 强调文字颜色 2 2 2 2 4" xfId="1156"/>
    <cellStyle name="40% - 强调文字颜色 2 2 2 3" xfId="1157"/>
    <cellStyle name="40% - 强调文字颜色 2 2 2 3 2" xfId="1158"/>
    <cellStyle name="40% - 强调文字颜色 2 2 2 4" xfId="1159"/>
    <cellStyle name="40% - 强调文字颜色 2 2 2 4 2" xfId="1160"/>
    <cellStyle name="40% - 强调文字颜色 2 2 2 5" xfId="1161"/>
    <cellStyle name="40% - 强调文字颜色 2 2 2 6" xfId="1162"/>
    <cellStyle name="40% - 强调文字颜色 2 2 2 7" xfId="8657"/>
    <cellStyle name="40% - 强调文字颜色 2 2 2 7 2" xfId="9253"/>
    <cellStyle name="40% - 强调文字颜色 2 2 3" xfId="1163"/>
    <cellStyle name="40% - 强调文字颜色 2 2 3 2" xfId="1164"/>
    <cellStyle name="40% - 强调文字颜色 2 2 3 2 2" xfId="1165"/>
    <cellStyle name="40% - 强调文字颜色 2 2 3 3" xfId="1166"/>
    <cellStyle name="40% - 强调文字颜色 2 2 3 4" xfId="1167"/>
    <cellStyle name="40% - 强调文字颜色 2 2 4" xfId="1168"/>
    <cellStyle name="40% - 强调文字颜色 2 2 4 2" xfId="1169"/>
    <cellStyle name="40% - 强调文字颜色 2 2 5" xfId="1170"/>
    <cellStyle name="40% - 强调文字颜色 2 2 5 2" xfId="1171"/>
    <cellStyle name="40% - 强调文字颜色 2 2 6" xfId="1172"/>
    <cellStyle name="40% - 强调文字颜色 2 2 7" xfId="1173"/>
    <cellStyle name="40% - 强调文字颜色 2 2 8" xfId="8656"/>
    <cellStyle name="40% - 强调文字颜色 2 2 8 2" xfId="9252"/>
    <cellStyle name="40% - 强调文字颜色 2 3" xfId="1174"/>
    <cellStyle name="40% - 强调文字颜色 2 3 2" xfId="1175"/>
    <cellStyle name="40% - 强调文字颜色 2 3 2 2" xfId="1176"/>
    <cellStyle name="40% - 强调文字颜色 2 3 2 2 2" xfId="1177"/>
    <cellStyle name="40% - 强调文字颜色 2 3 2 2 2 2" xfId="1178"/>
    <cellStyle name="40% - 强调文字颜色 2 3 2 2 3" xfId="1179"/>
    <cellStyle name="40% - 强调文字颜色 2 3 2 2 4" xfId="1180"/>
    <cellStyle name="40% - 强调文字颜色 2 3 2 3" xfId="1181"/>
    <cellStyle name="40% - 强调文字颜色 2 3 2 3 2" xfId="1182"/>
    <cellStyle name="40% - 强调文字颜色 2 3 2 4" xfId="1183"/>
    <cellStyle name="40% - 强调文字颜色 2 3 2 4 2" xfId="1184"/>
    <cellStyle name="40% - 强调文字颜色 2 3 2 5" xfId="1185"/>
    <cellStyle name="40% - 强调文字颜色 2 3 2 6" xfId="1186"/>
    <cellStyle name="40% - 强调文字颜色 2 3 2 7" xfId="8659"/>
    <cellStyle name="40% - 强调文字颜色 2 3 2 7 2" xfId="9255"/>
    <cellStyle name="40% - 强调文字颜色 2 3 3" xfId="1187"/>
    <cellStyle name="40% - 强调文字颜色 2 3 3 2" xfId="1188"/>
    <cellStyle name="40% - 强调文字颜色 2 3 3 2 2" xfId="1189"/>
    <cellStyle name="40% - 强调文字颜色 2 3 3 3" xfId="1190"/>
    <cellStyle name="40% - 强调文字颜色 2 3 3 4" xfId="1191"/>
    <cellStyle name="40% - 强调文字颜色 2 3 4" xfId="1192"/>
    <cellStyle name="40% - 强调文字颜色 2 3 4 2" xfId="1193"/>
    <cellStyle name="40% - 强调文字颜色 2 3 5" xfId="1194"/>
    <cellStyle name="40% - 强调文字颜色 2 3 5 2" xfId="1195"/>
    <cellStyle name="40% - 强调文字颜色 2 3 6" xfId="1196"/>
    <cellStyle name="40% - 强调文字颜色 2 3 7" xfId="1197"/>
    <cellStyle name="40% - 强调文字颜色 2 3 8" xfId="8658"/>
    <cellStyle name="40% - 强调文字颜色 2 3 8 2" xfId="9254"/>
    <cellStyle name="40% - 强调文字颜色 2 4" xfId="1198"/>
    <cellStyle name="40% - 强调文字颜色 2 4 2" xfId="1199"/>
    <cellStyle name="40% - 强调文字颜色 2 4 2 2" xfId="1200"/>
    <cellStyle name="40% - 强调文字颜色 2 4 2 2 2" xfId="1201"/>
    <cellStyle name="40% - 强调文字颜色 2 4 2 2 2 2" xfId="1202"/>
    <cellStyle name="40% - 强调文字颜色 2 4 2 2 3" xfId="1203"/>
    <cellStyle name="40% - 强调文字颜色 2 4 2 2 4" xfId="1204"/>
    <cellStyle name="40% - 强调文字颜色 2 4 2 3" xfId="1205"/>
    <cellStyle name="40% - 强调文字颜色 2 4 2 3 2" xfId="1206"/>
    <cellStyle name="40% - 强调文字颜色 2 4 2 4" xfId="1207"/>
    <cellStyle name="40% - 强调文字颜色 2 4 2 4 2" xfId="1208"/>
    <cellStyle name="40% - 强调文字颜色 2 4 2 5" xfId="1209"/>
    <cellStyle name="40% - 强调文字颜色 2 4 2 6" xfId="1210"/>
    <cellStyle name="40% - 强调文字颜色 2 4 2 7" xfId="8661"/>
    <cellStyle name="40% - 强调文字颜色 2 4 2 7 2" xfId="9257"/>
    <cellStyle name="40% - 强调文字颜色 2 4 3" xfId="1211"/>
    <cellStyle name="40% - 强调文字颜色 2 4 3 2" xfId="1212"/>
    <cellStyle name="40% - 强调文字颜色 2 4 3 2 2" xfId="1213"/>
    <cellStyle name="40% - 强调文字颜色 2 4 3 3" xfId="1214"/>
    <cellStyle name="40% - 强调文字颜色 2 4 3 4" xfId="1215"/>
    <cellStyle name="40% - 强调文字颜色 2 4 4" xfId="1216"/>
    <cellStyle name="40% - 强调文字颜色 2 4 4 2" xfId="1217"/>
    <cellStyle name="40% - 强调文字颜色 2 4 5" xfId="1218"/>
    <cellStyle name="40% - 强调文字颜色 2 4 5 2" xfId="1219"/>
    <cellStyle name="40% - 强调文字颜色 2 4 6" xfId="1220"/>
    <cellStyle name="40% - 强调文字颜色 2 4 7" xfId="1221"/>
    <cellStyle name="40% - 强调文字颜色 2 4 8" xfId="8660"/>
    <cellStyle name="40% - 强调文字颜色 2 4 8 2" xfId="9256"/>
    <cellStyle name="40% - 强调文字颜色 2 5" xfId="1222"/>
    <cellStyle name="40% - 强调文字颜色 2 5 2" xfId="1223"/>
    <cellStyle name="40% - 强调文字颜色 2 5 2 2" xfId="1224"/>
    <cellStyle name="40% - 强调文字颜色 2 5 2 2 2" xfId="1225"/>
    <cellStyle name="40% - 强调文字颜色 2 5 2 3" xfId="1226"/>
    <cellStyle name="40% - 强调文字颜色 2 5 2 4" xfId="1227"/>
    <cellStyle name="40% - 强调文字颜色 2 5 3" xfId="1228"/>
    <cellStyle name="40% - 强调文字颜色 2 5 3 2" xfId="1229"/>
    <cellStyle name="40% - 强调文字颜色 2 5 4" xfId="1230"/>
    <cellStyle name="40% - 强调文字颜色 2 5 4 2" xfId="1231"/>
    <cellStyle name="40% - 强调文字颜色 2 5 5" xfId="1232"/>
    <cellStyle name="40% - 强调文字颜色 2 5 6" xfId="1233"/>
    <cellStyle name="40% - 强调文字颜色 2 6" xfId="1234"/>
    <cellStyle name="40% - 强调文字颜色 2 6 2" xfId="1235"/>
    <cellStyle name="40% - 强调文字颜色 2 6 2 2" xfId="1236"/>
    <cellStyle name="40% - 强调文字颜色 2 6 2 2 2" xfId="1237"/>
    <cellStyle name="40% - 强调文字颜色 2 6 2 3" xfId="1238"/>
    <cellStyle name="40% - 强调文字颜色 2 6 2 4" xfId="1239"/>
    <cellStyle name="40% - 强调文字颜色 2 6 3" xfId="1240"/>
    <cellStyle name="40% - 强调文字颜色 2 6 3 2" xfId="1241"/>
    <cellStyle name="40% - 强调文字颜色 2 6 4" xfId="1242"/>
    <cellStyle name="40% - 强调文字颜色 2 6 4 2" xfId="1243"/>
    <cellStyle name="40% - 强调文字颜色 2 6 5" xfId="1244"/>
    <cellStyle name="40% - 强调文字颜色 2 6 6" xfId="1245"/>
    <cellStyle name="40% - 强调文字颜色 2 7" xfId="1246"/>
    <cellStyle name="40% - 强调文字颜色 2 7 2" xfId="1247"/>
    <cellStyle name="40% - 强调文字颜色 2 7 2 2" xfId="1248"/>
    <cellStyle name="40% - 强调文字颜色 2 7 2 2 2" xfId="1249"/>
    <cellStyle name="40% - 强调文字颜色 2 7 2 3" xfId="1250"/>
    <cellStyle name="40% - 强调文字颜色 2 7 2 4" xfId="1251"/>
    <cellStyle name="40% - 强调文字颜色 2 7 3" xfId="1252"/>
    <cellStyle name="40% - 强调文字颜色 2 7 3 2" xfId="1253"/>
    <cellStyle name="40% - 强调文字颜色 2 7 4" xfId="1254"/>
    <cellStyle name="40% - 强调文字颜色 2 7 4 2" xfId="1255"/>
    <cellStyle name="40% - 强调文字颜色 2 7 5" xfId="1256"/>
    <cellStyle name="40% - 强调文字颜色 2 7 6" xfId="1257"/>
    <cellStyle name="40% - 强调文字颜色 3 2" xfId="1258"/>
    <cellStyle name="40% - 强调文字颜色 3 2 2" xfId="1259"/>
    <cellStyle name="40% - 强调文字颜色 3 2 2 2" xfId="1260"/>
    <cellStyle name="40% - 强调文字颜色 3 2 2 2 2" xfId="1261"/>
    <cellStyle name="40% - 强调文字颜色 3 2 2 2 2 2" xfId="1262"/>
    <cellStyle name="40% - 强调文字颜色 3 2 2 2 3" xfId="1263"/>
    <cellStyle name="40% - 强调文字颜色 3 2 2 2 4" xfId="1264"/>
    <cellStyle name="40% - 强调文字颜色 3 2 2 3" xfId="1265"/>
    <cellStyle name="40% - 强调文字颜色 3 2 2 3 2" xfId="1266"/>
    <cellStyle name="40% - 强调文字颜色 3 2 2 4" xfId="1267"/>
    <cellStyle name="40% - 强调文字颜色 3 2 2 4 2" xfId="1268"/>
    <cellStyle name="40% - 强调文字颜色 3 2 2 5" xfId="1269"/>
    <cellStyle name="40% - 强调文字颜色 3 2 2 6" xfId="1270"/>
    <cellStyle name="40% - 强调文字颜色 3 2 2 7" xfId="8663"/>
    <cellStyle name="40% - 强调文字颜色 3 2 2 7 2" xfId="9259"/>
    <cellStyle name="40% - 强调文字颜色 3 2 3" xfId="1271"/>
    <cellStyle name="40% - 强调文字颜色 3 2 3 2" xfId="1272"/>
    <cellStyle name="40% - 强调文字颜色 3 2 3 2 2" xfId="1273"/>
    <cellStyle name="40% - 强调文字颜色 3 2 3 3" xfId="1274"/>
    <cellStyle name="40% - 强调文字颜色 3 2 3 4" xfId="1275"/>
    <cellStyle name="40% - 强调文字颜色 3 2 4" xfId="1276"/>
    <cellStyle name="40% - 强调文字颜色 3 2 4 2" xfId="1277"/>
    <cellStyle name="40% - 强调文字颜色 3 2 5" xfId="1278"/>
    <cellStyle name="40% - 强调文字颜色 3 2 5 2" xfId="1279"/>
    <cellStyle name="40% - 强调文字颜色 3 2 6" xfId="1280"/>
    <cellStyle name="40% - 强调文字颜色 3 2 7" xfId="1281"/>
    <cellStyle name="40% - 强调文字颜色 3 2 8" xfId="8662"/>
    <cellStyle name="40% - 强调文字颜色 3 2 8 2" xfId="9258"/>
    <cellStyle name="40% - 强调文字颜色 3 3" xfId="1282"/>
    <cellStyle name="40% - 强调文字颜色 3 3 2" xfId="1283"/>
    <cellStyle name="40% - 强调文字颜色 3 3 2 2" xfId="1284"/>
    <cellStyle name="40% - 强调文字颜色 3 3 2 2 2" xfId="1285"/>
    <cellStyle name="40% - 强调文字颜色 3 3 2 2 2 2" xfId="1286"/>
    <cellStyle name="40% - 强调文字颜色 3 3 2 2 3" xfId="1287"/>
    <cellStyle name="40% - 强调文字颜色 3 3 2 2 4" xfId="1288"/>
    <cellStyle name="40% - 强调文字颜色 3 3 2 3" xfId="1289"/>
    <cellStyle name="40% - 强调文字颜色 3 3 2 3 2" xfId="1290"/>
    <cellStyle name="40% - 强调文字颜色 3 3 2 4" xfId="1291"/>
    <cellStyle name="40% - 强调文字颜色 3 3 2 4 2" xfId="1292"/>
    <cellStyle name="40% - 强调文字颜色 3 3 2 5" xfId="1293"/>
    <cellStyle name="40% - 强调文字颜色 3 3 2 6" xfId="1294"/>
    <cellStyle name="40% - 强调文字颜色 3 3 2 7" xfId="8665"/>
    <cellStyle name="40% - 强调文字颜色 3 3 2 7 2" xfId="9261"/>
    <cellStyle name="40% - 强调文字颜色 3 3 3" xfId="1295"/>
    <cellStyle name="40% - 强调文字颜色 3 3 3 2" xfId="1296"/>
    <cellStyle name="40% - 强调文字颜色 3 3 3 2 2" xfId="1297"/>
    <cellStyle name="40% - 强调文字颜色 3 3 3 3" xfId="1298"/>
    <cellStyle name="40% - 强调文字颜色 3 3 3 4" xfId="1299"/>
    <cellStyle name="40% - 强调文字颜色 3 3 4" xfId="1300"/>
    <cellStyle name="40% - 强调文字颜色 3 3 4 2" xfId="1301"/>
    <cellStyle name="40% - 强调文字颜色 3 3 5" xfId="1302"/>
    <cellStyle name="40% - 强调文字颜色 3 3 5 2" xfId="1303"/>
    <cellStyle name="40% - 强调文字颜色 3 3 6" xfId="1304"/>
    <cellStyle name="40% - 强调文字颜色 3 3 7" xfId="1305"/>
    <cellStyle name="40% - 强调文字颜色 3 3 8" xfId="8664"/>
    <cellStyle name="40% - 强调文字颜色 3 3 8 2" xfId="9260"/>
    <cellStyle name="40% - 强调文字颜色 3 4" xfId="1306"/>
    <cellStyle name="40% - 强调文字颜色 3 4 2" xfId="1307"/>
    <cellStyle name="40% - 强调文字颜色 3 4 2 2" xfId="1308"/>
    <cellStyle name="40% - 强调文字颜色 3 4 2 2 2" xfId="1309"/>
    <cellStyle name="40% - 强调文字颜色 3 4 2 2 2 2" xfId="1310"/>
    <cellStyle name="40% - 强调文字颜色 3 4 2 2 3" xfId="1311"/>
    <cellStyle name="40% - 强调文字颜色 3 4 2 2 4" xfId="1312"/>
    <cellStyle name="40% - 强调文字颜色 3 4 2 3" xfId="1313"/>
    <cellStyle name="40% - 强调文字颜色 3 4 2 3 2" xfId="1314"/>
    <cellStyle name="40% - 强调文字颜色 3 4 2 4" xfId="1315"/>
    <cellStyle name="40% - 强调文字颜色 3 4 2 4 2" xfId="1316"/>
    <cellStyle name="40% - 强调文字颜色 3 4 2 5" xfId="1317"/>
    <cellStyle name="40% - 强调文字颜色 3 4 2 6" xfId="1318"/>
    <cellStyle name="40% - 强调文字颜色 3 4 2 7" xfId="8667"/>
    <cellStyle name="40% - 强调文字颜色 3 4 2 7 2" xfId="9263"/>
    <cellStyle name="40% - 强调文字颜色 3 4 3" xfId="1319"/>
    <cellStyle name="40% - 强调文字颜色 3 4 3 2" xfId="1320"/>
    <cellStyle name="40% - 强调文字颜色 3 4 3 2 2" xfId="1321"/>
    <cellStyle name="40% - 强调文字颜色 3 4 3 3" xfId="1322"/>
    <cellStyle name="40% - 强调文字颜色 3 4 3 4" xfId="1323"/>
    <cellStyle name="40% - 强调文字颜色 3 4 4" xfId="1324"/>
    <cellStyle name="40% - 强调文字颜色 3 4 4 2" xfId="1325"/>
    <cellStyle name="40% - 强调文字颜色 3 4 5" xfId="1326"/>
    <cellStyle name="40% - 强调文字颜色 3 4 5 2" xfId="1327"/>
    <cellStyle name="40% - 强调文字颜色 3 4 6" xfId="1328"/>
    <cellStyle name="40% - 强调文字颜色 3 4 7" xfId="1329"/>
    <cellStyle name="40% - 强调文字颜色 3 4 8" xfId="8666"/>
    <cellStyle name="40% - 强调文字颜色 3 4 8 2" xfId="9262"/>
    <cellStyle name="40% - 强调文字颜色 3 5" xfId="1330"/>
    <cellStyle name="40% - 强调文字颜色 3 5 2" xfId="1331"/>
    <cellStyle name="40% - 强调文字颜色 3 5 2 2" xfId="1332"/>
    <cellStyle name="40% - 强调文字颜色 3 5 2 2 2" xfId="1333"/>
    <cellStyle name="40% - 强调文字颜色 3 5 2 3" xfId="1334"/>
    <cellStyle name="40% - 强调文字颜色 3 5 2 4" xfId="1335"/>
    <cellStyle name="40% - 强调文字颜色 3 5 3" xfId="1336"/>
    <cellStyle name="40% - 强调文字颜色 3 5 3 2" xfId="1337"/>
    <cellStyle name="40% - 强调文字颜色 3 5 4" xfId="1338"/>
    <cellStyle name="40% - 强调文字颜色 3 5 4 2" xfId="1339"/>
    <cellStyle name="40% - 强调文字颜色 3 5 5" xfId="1340"/>
    <cellStyle name="40% - 强调文字颜色 3 5 6" xfId="1341"/>
    <cellStyle name="40% - 强调文字颜色 3 6" xfId="1342"/>
    <cellStyle name="40% - 强调文字颜色 3 6 2" xfId="1343"/>
    <cellStyle name="40% - 强调文字颜色 3 6 2 2" xfId="1344"/>
    <cellStyle name="40% - 强调文字颜色 3 6 2 2 2" xfId="1345"/>
    <cellStyle name="40% - 强调文字颜色 3 6 2 3" xfId="1346"/>
    <cellStyle name="40% - 强调文字颜色 3 6 2 4" xfId="1347"/>
    <cellStyle name="40% - 强调文字颜色 3 6 3" xfId="1348"/>
    <cellStyle name="40% - 强调文字颜色 3 6 3 2" xfId="1349"/>
    <cellStyle name="40% - 强调文字颜色 3 6 4" xfId="1350"/>
    <cellStyle name="40% - 强调文字颜色 3 6 4 2" xfId="1351"/>
    <cellStyle name="40% - 强调文字颜色 3 6 5" xfId="1352"/>
    <cellStyle name="40% - 强调文字颜色 3 6 6" xfId="1353"/>
    <cellStyle name="40% - 强调文字颜色 3 7" xfId="1354"/>
    <cellStyle name="40% - 强调文字颜色 3 7 2" xfId="1355"/>
    <cellStyle name="40% - 强调文字颜色 3 7 2 2" xfId="1356"/>
    <cellStyle name="40% - 强调文字颜色 3 7 2 2 2" xfId="1357"/>
    <cellStyle name="40% - 强调文字颜色 3 7 2 3" xfId="1358"/>
    <cellStyle name="40% - 强调文字颜色 3 7 2 4" xfId="1359"/>
    <cellStyle name="40% - 强调文字颜色 3 7 3" xfId="1360"/>
    <cellStyle name="40% - 强调文字颜色 3 7 3 2" xfId="1361"/>
    <cellStyle name="40% - 强调文字颜色 3 7 4" xfId="1362"/>
    <cellStyle name="40% - 强调文字颜色 3 7 4 2" xfId="1363"/>
    <cellStyle name="40% - 强调文字颜色 3 7 5" xfId="1364"/>
    <cellStyle name="40% - 强调文字颜色 3 7 6" xfId="1365"/>
    <cellStyle name="40% - 强调文字颜色 4 2" xfId="1366"/>
    <cellStyle name="40% - 强调文字颜色 4 2 2" xfId="1367"/>
    <cellStyle name="40% - 强调文字颜色 4 2 2 2" xfId="1368"/>
    <cellStyle name="40% - 强调文字颜色 4 2 2 2 2" xfId="1369"/>
    <cellStyle name="40% - 强调文字颜色 4 2 2 2 2 2" xfId="1370"/>
    <cellStyle name="40% - 强调文字颜色 4 2 2 2 3" xfId="1371"/>
    <cellStyle name="40% - 强调文字颜色 4 2 2 2 4" xfId="1372"/>
    <cellStyle name="40% - 强调文字颜色 4 2 2 3" xfId="1373"/>
    <cellStyle name="40% - 强调文字颜色 4 2 2 3 2" xfId="1374"/>
    <cellStyle name="40% - 强调文字颜色 4 2 2 4" xfId="1375"/>
    <cellStyle name="40% - 强调文字颜色 4 2 2 4 2" xfId="1376"/>
    <cellStyle name="40% - 强调文字颜色 4 2 2 5" xfId="1377"/>
    <cellStyle name="40% - 强调文字颜色 4 2 2 6" xfId="1378"/>
    <cellStyle name="40% - 强调文字颜色 4 2 2 7" xfId="8880"/>
    <cellStyle name="40% - 强调文字颜色 4 2 2 7 2" xfId="9305"/>
    <cellStyle name="40% - 强调文字颜色 4 2 3" xfId="1379"/>
    <cellStyle name="40% - 强调文字颜色 4 2 3 2" xfId="1380"/>
    <cellStyle name="40% - 强调文字颜色 4 2 3 2 2" xfId="1381"/>
    <cellStyle name="40% - 强调文字颜色 4 2 3 3" xfId="1382"/>
    <cellStyle name="40% - 强调文字颜色 4 2 3 4" xfId="1383"/>
    <cellStyle name="40% - 强调文字颜色 4 2 4" xfId="1384"/>
    <cellStyle name="40% - 强调文字颜色 4 2 4 2" xfId="1385"/>
    <cellStyle name="40% - 强调文字颜色 4 2 5" xfId="1386"/>
    <cellStyle name="40% - 强调文字颜色 4 2 5 2" xfId="1387"/>
    <cellStyle name="40% - 强调文字颜色 4 2 6" xfId="1388"/>
    <cellStyle name="40% - 强调文字颜色 4 2 7" xfId="1389"/>
    <cellStyle name="40% - 强调文字颜色 4 2 8" xfId="8881"/>
    <cellStyle name="40% - 强调文字颜色 4 2 8 2" xfId="9306"/>
    <cellStyle name="40% - 强调文字颜色 4 3" xfId="1390"/>
    <cellStyle name="40% - 强调文字颜色 4 3 2" xfId="1391"/>
    <cellStyle name="40% - 强调文字颜色 4 3 2 2" xfId="1392"/>
    <cellStyle name="40% - 强调文字颜色 4 3 2 2 2" xfId="1393"/>
    <cellStyle name="40% - 强调文字颜色 4 3 2 2 2 2" xfId="1394"/>
    <cellStyle name="40% - 强调文字颜色 4 3 2 2 3" xfId="1395"/>
    <cellStyle name="40% - 强调文字颜色 4 3 2 2 4" xfId="1396"/>
    <cellStyle name="40% - 强调文字颜色 4 3 2 3" xfId="1397"/>
    <cellStyle name="40% - 强调文字颜色 4 3 2 3 2" xfId="1398"/>
    <cellStyle name="40% - 强调文字颜色 4 3 2 4" xfId="1399"/>
    <cellStyle name="40% - 强调文字颜色 4 3 2 4 2" xfId="1400"/>
    <cellStyle name="40% - 强调文字颜色 4 3 2 5" xfId="1401"/>
    <cellStyle name="40% - 强调文字颜色 4 3 2 6" xfId="1402"/>
    <cellStyle name="40% - 强调文字颜色 4 3 2 7" xfId="8669"/>
    <cellStyle name="40% - 强调文字颜色 4 3 2 7 2" xfId="9265"/>
    <cellStyle name="40% - 强调文字颜色 4 3 3" xfId="1403"/>
    <cellStyle name="40% - 强调文字颜色 4 3 3 2" xfId="1404"/>
    <cellStyle name="40% - 强调文字颜色 4 3 3 2 2" xfId="1405"/>
    <cellStyle name="40% - 强调文字颜色 4 3 3 3" xfId="1406"/>
    <cellStyle name="40% - 强调文字颜色 4 3 3 4" xfId="1407"/>
    <cellStyle name="40% - 强调文字颜色 4 3 4" xfId="1408"/>
    <cellStyle name="40% - 强调文字颜色 4 3 4 2" xfId="1409"/>
    <cellStyle name="40% - 强调文字颜色 4 3 5" xfId="1410"/>
    <cellStyle name="40% - 强调文字颜色 4 3 5 2" xfId="1411"/>
    <cellStyle name="40% - 强调文字颜色 4 3 6" xfId="1412"/>
    <cellStyle name="40% - 强调文字颜色 4 3 7" xfId="1413"/>
    <cellStyle name="40% - 强调文字颜色 4 3 8" xfId="8668"/>
    <cellStyle name="40% - 强调文字颜色 4 3 8 2" xfId="9264"/>
    <cellStyle name="40% - 强调文字颜色 4 4" xfId="1414"/>
    <cellStyle name="40% - 强调文字颜色 4 4 2" xfId="1415"/>
    <cellStyle name="40% - 强调文字颜色 4 4 2 2" xfId="1416"/>
    <cellStyle name="40% - 强调文字颜色 4 4 2 2 2" xfId="1417"/>
    <cellStyle name="40% - 强调文字颜色 4 4 2 2 2 2" xfId="1418"/>
    <cellStyle name="40% - 强调文字颜色 4 4 2 2 3" xfId="1419"/>
    <cellStyle name="40% - 强调文字颜色 4 4 2 2 4" xfId="1420"/>
    <cellStyle name="40% - 强调文字颜色 4 4 2 3" xfId="1421"/>
    <cellStyle name="40% - 强调文字颜色 4 4 2 3 2" xfId="1422"/>
    <cellStyle name="40% - 强调文字颜色 4 4 2 4" xfId="1423"/>
    <cellStyle name="40% - 强调文字颜色 4 4 2 4 2" xfId="1424"/>
    <cellStyle name="40% - 强调文字颜色 4 4 2 5" xfId="1425"/>
    <cellStyle name="40% - 强调文字颜色 4 4 2 6" xfId="1426"/>
    <cellStyle name="40% - 强调文字颜色 4 4 2 7" xfId="8671"/>
    <cellStyle name="40% - 强调文字颜色 4 4 2 7 2" xfId="9267"/>
    <cellStyle name="40% - 强调文字颜色 4 4 3" xfId="1427"/>
    <cellStyle name="40% - 强调文字颜色 4 4 3 2" xfId="1428"/>
    <cellStyle name="40% - 强调文字颜色 4 4 3 2 2" xfId="1429"/>
    <cellStyle name="40% - 强调文字颜色 4 4 3 3" xfId="1430"/>
    <cellStyle name="40% - 强调文字颜色 4 4 3 4" xfId="1431"/>
    <cellStyle name="40% - 强调文字颜色 4 4 4" xfId="1432"/>
    <cellStyle name="40% - 强调文字颜色 4 4 4 2" xfId="1433"/>
    <cellStyle name="40% - 强调文字颜色 4 4 5" xfId="1434"/>
    <cellStyle name="40% - 强调文字颜色 4 4 5 2" xfId="1435"/>
    <cellStyle name="40% - 强调文字颜色 4 4 6" xfId="1436"/>
    <cellStyle name="40% - 强调文字颜色 4 4 7" xfId="1437"/>
    <cellStyle name="40% - 强调文字颜色 4 4 8" xfId="8670"/>
    <cellStyle name="40% - 强调文字颜色 4 4 8 2" xfId="9266"/>
    <cellStyle name="40% - 强调文字颜色 4 5" xfId="1438"/>
    <cellStyle name="40% - 强调文字颜色 4 5 2" xfId="1439"/>
    <cellStyle name="40% - 强调文字颜色 4 5 2 2" xfId="1440"/>
    <cellStyle name="40% - 强调文字颜色 4 5 2 2 2" xfId="1441"/>
    <cellStyle name="40% - 强调文字颜色 4 5 2 3" xfId="1442"/>
    <cellStyle name="40% - 强调文字颜色 4 5 2 4" xfId="1443"/>
    <cellStyle name="40% - 强调文字颜色 4 5 3" xfId="1444"/>
    <cellStyle name="40% - 强调文字颜色 4 5 3 2" xfId="1445"/>
    <cellStyle name="40% - 强调文字颜色 4 5 4" xfId="1446"/>
    <cellStyle name="40% - 强调文字颜色 4 5 4 2" xfId="1447"/>
    <cellStyle name="40% - 强调文字颜色 4 5 5" xfId="1448"/>
    <cellStyle name="40% - 强调文字颜色 4 5 6" xfId="1449"/>
    <cellStyle name="40% - 强调文字颜色 4 6" xfId="1450"/>
    <cellStyle name="40% - 强调文字颜色 4 6 2" xfId="1451"/>
    <cellStyle name="40% - 强调文字颜色 4 6 2 2" xfId="1452"/>
    <cellStyle name="40% - 强调文字颜色 4 6 2 2 2" xfId="1453"/>
    <cellStyle name="40% - 强调文字颜色 4 6 2 3" xfId="1454"/>
    <cellStyle name="40% - 强调文字颜色 4 6 2 4" xfId="1455"/>
    <cellStyle name="40% - 强调文字颜色 4 6 3" xfId="1456"/>
    <cellStyle name="40% - 强调文字颜色 4 6 3 2" xfId="1457"/>
    <cellStyle name="40% - 强调文字颜色 4 6 4" xfId="1458"/>
    <cellStyle name="40% - 强调文字颜色 4 6 4 2" xfId="1459"/>
    <cellStyle name="40% - 强调文字颜色 4 6 5" xfId="1460"/>
    <cellStyle name="40% - 强调文字颜色 4 6 6" xfId="1461"/>
    <cellStyle name="40% - 强调文字颜色 4 7" xfId="1462"/>
    <cellStyle name="40% - 强调文字颜色 4 7 2" xfId="1463"/>
    <cellStyle name="40% - 强调文字颜色 4 7 2 2" xfId="1464"/>
    <cellStyle name="40% - 强调文字颜色 4 7 2 2 2" xfId="1465"/>
    <cellStyle name="40% - 强调文字颜色 4 7 2 3" xfId="1466"/>
    <cellStyle name="40% - 强调文字颜色 4 7 2 4" xfId="1467"/>
    <cellStyle name="40% - 强调文字颜色 4 7 3" xfId="1468"/>
    <cellStyle name="40% - 强调文字颜色 4 7 3 2" xfId="1469"/>
    <cellStyle name="40% - 强调文字颜色 4 7 4" xfId="1470"/>
    <cellStyle name="40% - 强调文字颜色 4 7 4 2" xfId="1471"/>
    <cellStyle name="40% - 强调文字颜色 4 7 5" xfId="1472"/>
    <cellStyle name="40% - 强调文字颜色 4 7 6" xfId="1473"/>
    <cellStyle name="40% - 强调文字颜色 5 2" xfId="1474"/>
    <cellStyle name="40% - 强调文字颜色 5 2 2" xfId="1475"/>
    <cellStyle name="40% - 强调文字颜色 5 2 2 2" xfId="1476"/>
    <cellStyle name="40% - 强调文字颜色 5 2 2 2 2" xfId="1477"/>
    <cellStyle name="40% - 强调文字颜色 5 2 2 2 2 2" xfId="1478"/>
    <cellStyle name="40% - 强调文字颜色 5 2 2 2 3" xfId="1479"/>
    <cellStyle name="40% - 强调文字颜色 5 2 2 2 4" xfId="1480"/>
    <cellStyle name="40% - 强调文字颜色 5 2 2 3" xfId="1481"/>
    <cellStyle name="40% - 强调文字颜色 5 2 2 3 2" xfId="1482"/>
    <cellStyle name="40% - 强调文字颜色 5 2 2 4" xfId="1483"/>
    <cellStyle name="40% - 强调文字颜色 5 2 2 4 2" xfId="1484"/>
    <cellStyle name="40% - 强调文字颜色 5 2 2 5" xfId="1485"/>
    <cellStyle name="40% - 强调文字颜色 5 2 2 6" xfId="1486"/>
    <cellStyle name="40% - 强调文字颜色 5 2 2 7" xfId="8673"/>
    <cellStyle name="40% - 强调文字颜色 5 2 2 7 2" xfId="9269"/>
    <cellStyle name="40% - 强调文字颜色 5 2 3" xfId="1487"/>
    <cellStyle name="40% - 强调文字颜色 5 2 3 2" xfId="1488"/>
    <cellStyle name="40% - 强调文字颜色 5 2 3 2 2" xfId="1489"/>
    <cellStyle name="40% - 强调文字颜色 5 2 3 3" xfId="1490"/>
    <cellStyle name="40% - 强调文字颜色 5 2 3 4" xfId="1491"/>
    <cellStyle name="40% - 强调文字颜色 5 2 4" xfId="1492"/>
    <cellStyle name="40% - 强调文字颜色 5 2 4 2" xfId="1493"/>
    <cellStyle name="40% - 强调文字颜色 5 2 5" xfId="1494"/>
    <cellStyle name="40% - 强调文字颜色 5 2 5 2" xfId="1495"/>
    <cellStyle name="40% - 强调文字颜色 5 2 6" xfId="1496"/>
    <cellStyle name="40% - 强调文字颜色 5 2 7" xfId="1497"/>
    <cellStyle name="40% - 强调文字颜色 5 2 8" xfId="8672"/>
    <cellStyle name="40% - 强调文字颜色 5 2 8 2" xfId="9268"/>
    <cellStyle name="40% - 强调文字颜色 5 3" xfId="1498"/>
    <cellStyle name="40% - 强调文字颜色 5 3 2" xfId="1499"/>
    <cellStyle name="40% - 强调文字颜色 5 3 2 2" xfId="1500"/>
    <cellStyle name="40% - 强调文字颜色 5 3 2 2 2" xfId="1501"/>
    <cellStyle name="40% - 强调文字颜色 5 3 2 2 2 2" xfId="1502"/>
    <cellStyle name="40% - 强调文字颜色 5 3 2 2 3" xfId="1503"/>
    <cellStyle name="40% - 强调文字颜色 5 3 2 2 4" xfId="1504"/>
    <cellStyle name="40% - 强调文字颜色 5 3 2 3" xfId="1505"/>
    <cellStyle name="40% - 强调文字颜色 5 3 2 3 2" xfId="1506"/>
    <cellStyle name="40% - 强调文字颜色 5 3 2 4" xfId="1507"/>
    <cellStyle name="40% - 强调文字颜色 5 3 2 4 2" xfId="1508"/>
    <cellStyle name="40% - 强调文字颜色 5 3 2 5" xfId="1509"/>
    <cellStyle name="40% - 强调文字颜色 5 3 2 6" xfId="1510"/>
    <cellStyle name="40% - 强调文字颜色 5 3 2 7" xfId="8675"/>
    <cellStyle name="40% - 强调文字颜色 5 3 2 7 2" xfId="9271"/>
    <cellStyle name="40% - 强调文字颜色 5 3 3" xfId="1511"/>
    <cellStyle name="40% - 强调文字颜色 5 3 3 2" xfId="1512"/>
    <cellStyle name="40% - 强调文字颜色 5 3 3 2 2" xfId="1513"/>
    <cellStyle name="40% - 强调文字颜色 5 3 3 3" xfId="1514"/>
    <cellStyle name="40% - 强调文字颜色 5 3 3 4" xfId="1515"/>
    <cellStyle name="40% - 强调文字颜色 5 3 4" xfId="1516"/>
    <cellStyle name="40% - 强调文字颜色 5 3 4 2" xfId="1517"/>
    <cellStyle name="40% - 强调文字颜色 5 3 5" xfId="1518"/>
    <cellStyle name="40% - 强调文字颜色 5 3 5 2" xfId="1519"/>
    <cellStyle name="40% - 强调文字颜色 5 3 6" xfId="1520"/>
    <cellStyle name="40% - 强调文字颜色 5 3 7" xfId="1521"/>
    <cellStyle name="40% - 强调文字颜色 5 3 8" xfId="8674"/>
    <cellStyle name="40% - 强调文字颜色 5 3 8 2" xfId="9270"/>
    <cellStyle name="40% - 强调文字颜色 5 4" xfId="1522"/>
    <cellStyle name="40% - 强调文字颜色 5 4 2" xfId="1523"/>
    <cellStyle name="40% - 强调文字颜色 5 4 2 2" xfId="1524"/>
    <cellStyle name="40% - 强调文字颜色 5 4 2 2 2" xfId="1525"/>
    <cellStyle name="40% - 强调文字颜色 5 4 2 2 2 2" xfId="1526"/>
    <cellStyle name="40% - 强调文字颜色 5 4 2 2 3" xfId="1527"/>
    <cellStyle name="40% - 强调文字颜色 5 4 2 2 4" xfId="1528"/>
    <cellStyle name="40% - 强调文字颜色 5 4 2 3" xfId="1529"/>
    <cellStyle name="40% - 强调文字颜色 5 4 2 3 2" xfId="1530"/>
    <cellStyle name="40% - 强调文字颜色 5 4 2 4" xfId="1531"/>
    <cellStyle name="40% - 强调文字颜色 5 4 2 4 2" xfId="1532"/>
    <cellStyle name="40% - 强调文字颜色 5 4 2 5" xfId="1533"/>
    <cellStyle name="40% - 强调文字颜色 5 4 2 6" xfId="1534"/>
    <cellStyle name="40% - 强调文字颜色 5 4 2 7" xfId="8677"/>
    <cellStyle name="40% - 强调文字颜色 5 4 2 7 2" xfId="9273"/>
    <cellStyle name="40% - 强调文字颜色 5 4 3" xfId="1535"/>
    <cellStyle name="40% - 强调文字颜色 5 4 3 2" xfId="1536"/>
    <cellStyle name="40% - 强调文字颜色 5 4 3 2 2" xfId="1537"/>
    <cellStyle name="40% - 强调文字颜色 5 4 3 3" xfId="1538"/>
    <cellStyle name="40% - 强调文字颜色 5 4 3 4" xfId="1539"/>
    <cellStyle name="40% - 强调文字颜色 5 4 4" xfId="1540"/>
    <cellStyle name="40% - 强调文字颜色 5 4 4 2" xfId="1541"/>
    <cellStyle name="40% - 强调文字颜色 5 4 5" xfId="1542"/>
    <cellStyle name="40% - 强调文字颜色 5 4 5 2" xfId="1543"/>
    <cellStyle name="40% - 强调文字颜色 5 4 6" xfId="1544"/>
    <cellStyle name="40% - 强调文字颜色 5 4 7" xfId="1545"/>
    <cellStyle name="40% - 强调文字颜色 5 4 8" xfId="8676"/>
    <cellStyle name="40% - 强调文字颜色 5 4 8 2" xfId="9272"/>
    <cellStyle name="40% - 强调文字颜色 5 5" xfId="1546"/>
    <cellStyle name="40% - 强调文字颜色 5 5 2" xfId="1547"/>
    <cellStyle name="40% - 强调文字颜色 5 5 2 2" xfId="1548"/>
    <cellStyle name="40% - 强调文字颜色 5 5 2 2 2" xfId="1549"/>
    <cellStyle name="40% - 强调文字颜色 5 5 2 3" xfId="1550"/>
    <cellStyle name="40% - 强调文字颜色 5 5 2 4" xfId="1551"/>
    <cellStyle name="40% - 强调文字颜色 5 5 3" xfId="1552"/>
    <cellStyle name="40% - 强调文字颜色 5 5 3 2" xfId="1553"/>
    <cellStyle name="40% - 强调文字颜色 5 5 4" xfId="1554"/>
    <cellStyle name="40% - 强调文字颜色 5 5 4 2" xfId="1555"/>
    <cellStyle name="40% - 强调文字颜色 5 5 5" xfId="1556"/>
    <cellStyle name="40% - 强调文字颜色 5 5 6" xfId="1557"/>
    <cellStyle name="40% - 强调文字颜色 5 6" xfId="1558"/>
    <cellStyle name="40% - 强调文字颜色 5 6 2" xfId="1559"/>
    <cellStyle name="40% - 强调文字颜色 5 6 2 2" xfId="1560"/>
    <cellStyle name="40% - 强调文字颜色 5 6 2 2 2" xfId="1561"/>
    <cellStyle name="40% - 强调文字颜色 5 6 2 3" xfId="1562"/>
    <cellStyle name="40% - 强调文字颜色 5 6 2 4" xfId="1563"/>
    <cellStyle name="40% - 强调文字颜色 5 6 3" xfId="1564"/>
    <cellStyle name="40% - 强调文字颜色 5 6 3 2" xfId="1565"/>
    <cellStyle name="40% - 强调文字颜色 5 6 4" xfId="1566"/>
    <cellStyle name="40% - 强调文字颜色 5 6 4 2" xfId="1567"/>
    <cellStyle name="40% - 强调文字颜色 5 6 5" xfId="1568"/>
    <cellStyle name="40% - 强调文字颜色 5 6 6" xfId="1569"/>
    <cellStyle name="40% - 强调文字颜色 5 7" xfId="1570"/>
    <cellStyle name="40% - 强调文字颜色 5 7 2" xfId="1571"/>
    <cellStyle name="40% - 强调文字颜色 5 7 2 2" xfId="1572"/>
    <cellStyle name="40% - 强调文字颜色 5 7 2 2 2" xfId="1573"/>
    <cellStyle name="40% - 强调文字颜色 5 7 2 3" xfId="1574"/>
    <cellStyle name="40% - 强调文字颜色 5 7 2 4" xfId="1575"/>
    <cellStyle name="40% - 强调文字颜色 5 7 3" xfId="1576"/>
    <cellStyle name="40% - 强调文字颜色 5 7 3 2" xfId="1577"/>
    <cellStyle name="40% - 强调文字颜色 5 7 4" xfId="1578"/>
    <cellStyle name="40% - 强调文字颜色 5 7 4 2" xfId="1579"/>
    <cellStyle name="40% - 强调文字颜色 5 7 5" xfId="1580"/>
    <cellStyle name="40% - 强调文字颜色 5 7 6" xfId="1581"/>
    <cellStyle name="40% - 强调文字颜色 6 2" xfId="1582"/>
    <cellStyle name="40% - 强调文字颜色 6 2 2" xfId="1583"/>
    <cellStyle name="40% - 强调文字颜色 6 2 2 2" xfId="1584"/>
    <cellStyle name="40% - 强调文字颜色 6 2 2 2 2" xfId="1585"/>
    <cellStyle name="40% - 强调文字颜色 6 2 2 2 2 2" xfId="1586"/>
    <cellStyle name="40% - 强调文字颜色 6 2 2 2 3" xfId="1587"/>
    <cellStyle name="40% - 强调文字颜色 6 2 2 2 4" xfId="1588"/>
    <cellStyle name="40% - 强调文字颜色 6 2 2 3" xfId="1589"/>
    <cellStyle name="40% - 强调文字颜色 6 2 2 3 2" xfId="1590"/>
    <cellStyle name="40% - 强调文字颜色 6 2 2 4" xfId="1591"/>
    <cellStyle name="40% - 强调文字颜色 6 2 2 4 2" xfId="1592"/>
    <cellStyle name="40% - 强调文字颜色 6 2 2 5" xfId="1593"/>
    <cellStyle name="40% - 强调文字颜色 6 2 2 6" xfId="1594"/>
    <cellStyle name="40% - 强调文字颜色 6 2 2 7" xfId="8679"/>
    <cellStyle name="40% - 强调文字颜色 6 2 2 7 2" xfId="9275"/>
    <cellStyle name="40% - 强调文字颜色 6 2 3" xfId="1595"/>
    <cellStyle name="40% - 强调文字颜色 6 2 3 2" xfId="1596"/>
    <cellStyle name="40% - 强调文字颜色 6 2 3 2 2" xfId="1597"/>
    <cellStyle name="40% - 强调文字颜色 6 2 3 3" xfId="1598"/>
    <cellStyle name="40% - 强调文字颜色 6 2 3 4" xfId="1599"/>
    <cellStyle name="40% - 强调文字颜色 6 2 4" xfId="1600"/>
    <cellStyle name="40% - 强调文字颜色 6 2 4 2" xfId="1601"/>
    <cellStyle name="40% - 强调文字颜色 6 2 5" xfId="1602"/>
    <cellStyle name="40% - 强调文字颜色 6 2 5 2" xfId="1603"/>
    <cellStyle name="40% - 强调文字颜色 6 2 6" xfId="1604"/>
    <cellStyle name="40% - 强调文字颜色 6 2 7" xfId="1605"/>
    <cellStyle name="40% - 强调文字颜色 6 2 8" xfId="8678"/>
    <cellStyle name="40% - 强调文字颜色 6 2 8 2" xfId="9274"/>
    <cellStyle name="40% - 强调文字颜色 6 3" xfId="1606"/>
    <cellStyle name="40% - 强调文字颜色 6 3 2" xfId="1607"/>
    <cellStyle name="40% - 强调文字颜色 6 3 2 2" xfId="1608"/>
    <cellStyle name="40% - 强调文字颜色 6 3 2 2 2" xfId="1609"/>
    <cellStyle name="40% - 强调文字颜色 6 3 2 2 2 2" xfId="1610"/>
    <cellStyle name="40% - 强调文字颜色 6 3 2 2 3" xfId="1611"/>
    <cellStyle name="40% - 强调文字颜色 6 3 2 2 4" xfId="1612"/>
    <cellStyle name="40% - 强调文字颜色 6 3 2 3" xfId="1613"/>
    <cellStyle name="40% - 强调文字颜色 6 3 2 3 2" xfId="1614"/>
    <cellStyle name="40% - 强调文字颜色 6 3 2 4" xfId="1615"/>
    <cellStyle name="40% - 强调文字颜色 6 3 2 4 2" xfId="1616"/>
    <cellStyle name="40% - 强调文字颜色 6 3 2 5" xfId="1617"/>
    <cellStyle name="40% - 强调文字颜色 6 3 2 6" xfId="1618"/>
    <cellStyle name="40% - 强调文字颜色 6 3 2 7" xfId="8681"/>
    <cellStyle name="40% - 强调文字颜色 6 3 2 7 2" xfId="9277"/>
    <cellStyle name="40% - 强调文字颜色 6 3 3" xfId="1619"/>
    <cellStyle name="40% - 强调文字颜色 6 3 3 2" xfId="1620"/>
    <cellStyle name="40% - 强调文字颜色 6 3 3 2 2" xfId="1621"/>
    <cellStyle name="40% - 强调文字颜色 6 3 3 3" xfId="1622"/>
    <cellStyle name="40% - 强调文字颜色 6 3 3 4" xfId="1623"/>
    <cellStyle name="40% - 强调文字颜色 6 3 4" xfId="1624"/>
    <cellStyle name="40% - 强调文字颜色 6 3 4 2" xfId="1625"/>
    <cellStyle name="40% - 强调文字颜色 6 3 5" xfId="1626"/>
    <cellStyle name="40% - 强调文字颜色 6 3 5 2" xfId="1627"/>
    <cellStyle name="40% - 强调文字颜色 6 3 6" xfId="1628"/>
    <cellStyle name="40% - 强调文字颜色 6 3 7" xfId="1629"/>
    <cellStyle name="40% - 强调文字颜色 6 3 8" xfId="8680"/>
    <cellStyle name="40% - 强调文字颜色 6 3 8 2" xfId="9276"/>
    <cellStyle name="40% - 强调文字颜色 6 4" xfId="1630"/>
    <cellStyle name="40% - 强调文字颜色 6 4 2" xfId="1631"/>
    <cellStyle name="40% - 强调文字颜色 6 4 2 2" xfId="1632"/>
    <cellStyle name="40% - 强调文字颜色 6 4 2 2 2" xfId="1633"/>
    <cellStyle name="40% - 强调文字颜色 6 4 2 2 2 2" xfId="1634"/>
    <cellStyle name="40% - 强调文字颜色 6 4 2 2 3" xfId="1635"/>
    <cellStyle name="40% - 强调文字颜色 6 4 2 2 4" xfId="1636"/>
    <cellStyle name="40% - 强调文字颜色 6 4 2 3" xfId="1637"/>
    <cellStyle name="40% - 强调文字颜色 6 4 2 3 2" xfId="1638"/>
    <cellStyle name="40% - 强调文字颜色 6 4 2 4" xfId="1639"/>
    <cellStyle name="40% - 强调文字颜色 6 4 2 4 2" xfId="1640"/>
    <cellStyle name="40% - 强调文字颜色 6 4 2 5" xfId="1641"/>
    <cellStyle name="40% - 强调文字颜色 6 4 2 6" xfId="1642"/>
    <cellStyle name="40% - 强调文字颜色 6 4 2 7" xfId="8683"/>
    <cellStyle name="40% - 强调文字颜色 6 4 2 7 2" xfId="9279"/>
    <cellStyle name="40% - 强调文字颜色 6 4 3" xfId="1643"/>
    <cellStyle name="40% - 强调文字颜色 6 4 3 2" xfId="1644"/>
    <cellStyle name="40% - 强调文字颜色 6 4 3 2 2" xfId="1645"/>
    <cellStyle name="40% - 强调文字颜色 6 4 3 3" xfId="1646"/>
    <cellStyle name="40% - 强调文字颜色 6 4 3 4" xfId="1647"/>
    <cellStyle name="40% - 强调文字颜色 6 4 4" xfId="1648"/>
    <cellStyle name="40% - 强调文字颜色 6 4 4 2" xfId="1649"/>
    <cellStyle name="40% - 强调文字颜色 6 4 5" xfId="1650"/>
    <cellStyle name="40% - 强调文字颜色 6 4 5 2" xfId="1651"/>
    <cellStyle name="40% - 强调文字颜色 6 4 6" xfId="1652"/>
    <cellStyle name="40% - 强调文字颜色 6 4 7" xfId="1653"/>
    <cellStyle name="40% - 强调文字颜色 6 4 8" xfId="8682"/>
    <cellStyle name="40% - 强调文字颜色 6 4 8 2" xfId="9278"/>
    <cellStyle name="40% - 强调文字颜色 6 5" xfId="1654"/>
    <cellStyle name="40% - 强调文字颜色 6 5 2" xfId="1655"/>
    <cellStyle name="40% - 强调文字颜色 6 5 2 2" xfId="1656"/>
    <cellStyle name="40% - 强调文字颜色 6 5 2 2 2" xfId="1657"/>
    <cellStyle name="40% - 强调文字颜色 6 5 2 3" xfId="1658"/>
    <cellStyle name="40% - 强调文字颜色 6 5 2 4" xfId="1659"/>
    <cellStyle name="40% - 强调文字颜色 6 5 3" xfId="1660"/>
    <cellStyle name="40% - 强调文字颜色 6 5 3 2" xfId="1661"/>
    <cellStyle name="40% - 强调文字颜色 6 5 4" xfId="1662"/>
    <cellStyle name="40% - 强调文字颜色 6 5 4 2" xfId="1663"/>
    <cellStyle name="40% - 强调文字颜色 6 5 5" xfId="1664"/>
    <cellStyle name="40% - 强调文字颜色 6 5 6" xfId="1665"/>
    <cellStyle name="40% - 强调文字颜色 6 6" xfId="1666"/>
    <cellStyle name="40% - 强调文字颜色 6 6 2" xfId="1667"/>
    <cellStyle name="40% - 强调文字颜色 6 6 2 2" xfId="1668"/>
    <cellStyle name="40% - 强调文字颜色 6 6 2 2 2" xfId="1669"/>
    <cellStyle name="40% - 强调文字颜色 6 6 2 3" xfId="1670"/>
    <cellStyle name="40% - 强调文字颜色 6 6 2 4" xfId="1671"/>
    <cellStyle name="40% - 强调文字颜色 6 6 3" xfId="1672"/>
    <cellStyle name="40% - 强调文字颜色 6 6 3 2" xfId="1673"/>
    <cellStyle name="40% - 强调文字颜色 6 6 4" xfId="1674"/>
    <cellStyle name="40% - 强调文字颜色 6 6 4 2" xfId="1675"/>
    <cellStyle name="40% - 强调文字颜色 6 6 5" xfId="1676"/>
    <cellStyle name="40% - 强调文字颜色 6 6 6" xfId="1677"/>
    <cellStyle name="40% - 强调文字颜色 6 7" xfId="1678"/>
    <cellStyle name="40% - 强调文字颜色 6 7 2" xfId="1679"/>
    <cellStyle name="40% - 强调文字颜色 6 7 2 2" xfId="1680"/>
    <cellStyle name="40% - 强调文字颜色 6 7 2 2 2" xfId="1681"/>
    <cellStyle name="40% - 强调文字颜色 6 7 2 3" xfId="1682"/>
    <cellStyle name="40% - 强调文字颜色 6 7 2 4" xfId="1683"/>
    <cellStyle name="40% - 强调文字颜色 6 7 3" xfId="1684"/>
    <cellStyle name="40% - 强调文字颜色 6 7 3 2" xfId="1685"/>
    <cellStyle name="40% - 强调文字颜色 6 7 4" xfId="1686"/>
    <cellStyle name="40% - 强调文字颜色 6 7 4 2" xfId="1687"/>
    <cellStyle name="40% - 强调文字颜色 6 7 5" xfId="1688"/>
    <cellStyle name="40% - 强调文字颜色 6 7 6" xfId="1689"/>
    <cellStyle name="40% - 着色 1" xfId="1690"/>
    <cellStyle name="40% - 着色 1 10" xfId="1691"/>
    <cellStyle name="40% - 着色 1 2" xfId="1692"/>
    <cellStyle name="40% - 着色 1 2 2" xfId="1693"/>
    <cellStyle name="40% - 着色 1 2 2 2" xfId="1694"/>
    <cellStyle name="40% - 着色 1 2 2 2 2" xfId="1695"/>
    <cellStyle name="40% - 着色 1 2 2 2 2 2" xfId="1696"/>
    <cellStyle name="40% - 着色 1 2 2 2 3" xfId="1697"/>
    <cellStyle name="40% - 着色 1 2 2 2 4" xfId="1698"/>
    <cellStyle name="40% - 着色 1 2 2 3" xfId="1699"/>
    <cellStyle name="40% - 着色 1 2 2 3 2" xfId="1700"/>
    <cellStyle name="40% - 着色 1 2 2 4" xfId="1701"/>
    <cellStyle name="40% - 着色 1 2 2 4 2" xfId="1702"/>
    <cellStyle name="40% - 着色 1 2 2 5" xfId="1703"/>
    <cellStyle name="40% - 着色 1 2 2 6" xfId="1704"/>
    <cellStyle name="40% - 着色 1 2 3" xfId="1705"/>
    <cellStyle name="40% - 着色 1 2 3 2" xfId="1706"/>
    <cellStyle name="40% - 着色 1 2 3 2 2" xfId="1707"/>
    <cellStyle name="40% - 着色 1 2 3 3" xfId="1708"/>
    <cellStyle name="40% - 着色 1 2 3 4" xfId="1709"/>
    <cellStyle name="40% - 着色 1 2 4" xfId="1710"/>
    <cellStyle name="40% - 着色 1 2 4 2" xfId="1711"/>
    <cellStyle name="40% - 着色 1 2 5" xfId="1712"/>
    <cellStyle name="40% - 着色 1 2 5 2" xfId="1713"/>
    <cellStyle name="40% - 着色 1 2 6" xfId="1714"/>
    <cellStyle name="40% - 着色 1 2 7" xfId="1715"/>
    <cellStyle name="40% - 着色 1 3" xfId="1716"/>
    <cellStyle name="40% - 着色 1 3 2" xfId="1717"/>
    <cellStyle name="40% - 着色 1 3 2 2" xfId="1718"/>
    <cellStyle name="40% - 着色 1 3 2 2 2" xfId="1719"/>
    <cellStyle name="40% - 着色 1 3 2 3" xfId="1720"/>
    <cellStyle name="40% - 着色 1 3 2 4" xfId="1721"/>
    <cellStyle name="40% - 着色 1 3 3" xfId="1722"/>
    <cellStyle name="40% - 着色 1 3 3 2" xfId="1723"/>
    <cellStyle name="40% - 着色 1 3 4" xfId="1724"/>
    <cellStyle name="40% - 着色 1 3 4 2" xfId="1725"/>
    <cellStyle name="40% - 着色 1 3 5" xfId="1726"/>
    <cellStyle name="40% - 着色 1 3 6" xfId="1727"/>
    <cellStyle name="40% - 着色 1 4" xfId="1728"/>
    <cellStyle name="40% - 着色 1 4 2" xfId="1729"/>
    <cellStyle name="40% - 着色 1 4 2 2" xfId="1730"/>
    <cellStyle name="40% - 着色 1 4 2 2 2" xfId="1731"/>
    <cellStyle name="40% - 着色 1 4 2 3" xfId="1732"/>
    <cellStyle name="40% - 着色 1 4 2 4" xfId="1733"/>
    <cellStyle name="40% - 着色 1 4 3" xfId="1734"/>
    <cellStyle name="40% - 着色 1 4 3 2" xfId="1735"/>
    <cellStyle name="40% - 着色 1 4 4" xfId="1736"/>
    <cellStyle name="40% - 着色 1 4 4 2" xfId="1737"/>
    <cellStyle name="40% - 着色 1 4 5" xfId="1738"/>
    <cellStyle name="40% - 着色 1 4 6" xfId="1739"/>
    <cellStyle name="40% - 着色 1 5" xfId="1740"/>
    <cellStyle name="40% - 着色 1 5 2" xfId="1741"/>
    <cellStyle name="40% - 着色 1 5 2 2" xfId="1742"/>
    <cellStyle name="40% - 着色 1 5 3" xfId="1743"/>
    <cellStyle name="40% - 着色 1 5 4" xfId="1744"/>
    <cellStyle name="40% - 着色 1 6" xfId="1745"/>
    <cellStyle name="40% - 着色 1 6 2" xfId="1746"/>
    <cellStyle name="40% - 着色 1 7" xfId="1747"/>
    <cellStyle name="40% - 着色 1 7 2" xfId="1748"/>
    <cellStyle name="40% - 着色 1 8" xfId="1749"/>
    <cellStyle name="40% - 着色 1 8 2" xfId="1750"/>
    <cellStyle name="40% - 着色 1 9" xfId="1751"/>
    <cellStyle name="40% - 着色 2" xfId="1752"/>
    <cellStyle name="40% - 着色 2 10" xfId="1753"/>
    <cellStyle name="40% - 着色 2 2" xfId="1754"/>
    <cellStyle name="40% - 着色 2 2 2" xfId="1755"/>
    <cellStyle name="40% - 着色 2 2 2 2" xfId="1756"/>
    <cellStyle name="40% - 着色 2 2 2 2 2" xfId="1757"/>
    <cellStyle name="40% - 着色 2 2 2 2 2 2" xfId="1758"/>
    <cellStyle name="40% - 着色 2 2 2 2 3" xfId="1759"/>
    <cellStyle name="40% - 着色 2 2 2 2 4" xfId="1760"/>
    <cellStyle name="40% - 着色 2 2 2 3" xfId="1761"/>
    <cellStyle name="40% - 着色 2 2 2 3 2" xfId="1762"/>
    <cellStyle name="40% - 着色 2 2 2 4" xfId="1763"/>
    <cellStyle name="40% - 着色 2 2 2 4 2" xfId="1764"/>
    <cellStyle name="40% - 着色 2 2 2 5" xfId="1765"/>
    <cellStyle name="40% - 着色 2 2 2 6" xfId="1766"/>
    <cellStyle name="40% - 着色 2 2 3" xfId="1767"/>
    <cellStyle name="40% - 着色 2 2 3 2" xfId="1768"/>
    <cellStyle name="40% - 着色 2 2 3 2 2" xfId="1769"/>
    <cellStyle name="40% - 着色 2 2 3 3" xfId="1770"/>
    <cellStyle name="40% - 着色 2 2 3 4" xfId="1771"/>
    <cellStyle name="40% - 着色 2 2 4" xfId="1772"/>
    <cellStyle name="40% - 着色 2 2 4 2" xfId="1773"/>
    <cellStyle name="40% - 着色 2 2 5" xfId="1774"/>
    <cellStyle name="40% - 着色 2 2 5 2" xfId="1775"/>
    <cellStyle name="40% - 着色 2 2 6" xfId="1776"/>
    <cellStyle name="40% - 着色 2 2 7" xfId="1777"/>
    <cellStyle name="40% - 着色 2 3" xfId="1778"/>
    <cellStyle name="40% - 着色 2 3 2" xfId="1779"/>
    <cellStyle name="40% - 着色 2 3 2 2" xfId="1780"/>
    <cellStyle name="40% - 着色 2 3 2 2 2" xfId="1781"/>
    <cellStyle name="40% - 着色 2 3 2 3" xfId="1782"/>
    <cellStyle name="40% - 着色 2 3 2 4" xfId="1783"/>
    <cellStyle name="40% - 着色 2 3 3" xfId="1784"/>
    <cellStyle name="40% - 着色 2 3 3 2" xfId="1785"/>
    <cellStyle name="40% - 着色 2 3 4" xfId="1786"/>
    <cellStyle name="40% - 着色 2 3 4 2" xfId="1787"/>
    <cellStyle name="40% - 着色 2 3 5" xfId="1788"/>
    <cellStyle name="40% - 着色 2 3 6" xfId="1789"/>
    <cellStyle name="40% - 着色 2 4" xfId="1790"/>
    <cellStyle name="40% - 着色 2 4 2" xfId="1791"/>
    <cellStyle name="40% - 着色 2 4 2 2" xfId="1792"/>
    <cellStyle name="40% - 着色 2 4 2 2 2" xfId="1793"/>
    <cellStyle name="40% - 着色 2 4 2 3" xfId="1794"/>
    <cellStyle name="40% - 着色 2 4 2 4" xfId="1795"/>
    <cellStyle name="40% - 着色 2 4 3" xfId="1796"/>
    <cellStyle name="40% - 着色 2 4 3 2" xfId="1797"/>
    <cellStyle name="40% - 着色 2 4 4" xfId="1798"/>
    <cellStyle name="40% - 着色 2 4 4 2" xfId="1799"/>
    <cellStyle name="40% - 着色 2 4 5" xfId="1800"/>
    <cellStyle name="40% - 着色 2 4 6" xfId="1801"/>
    <cellStyle name="40% - 着色 2 5" xfId="1802"/>
    <cellStyle name="40% - 着色 2 5 2" xfId="1803"/>
    <cellStyle name="40% - 着色 2 5 2 2" xfId="1804"/>
    <cellStyle name="40% - 着色 2 5 3" xfId="1805"/>
    <cellStyle name="40% - 着色 2 5 4" xfId="1806"/>
    <cellStyle name="40% - 着色 2 6" xfId="1807"/>
    <cellStyle name="40% - 着色 2 6 2" xfId="1808"/>
    <cellStyle name="40% - 着色 2 7" xfId="1809"/>
    <cellStyle name="40% - 着色 2 7 2" xfId="1810"/>
    <cellStyle name="40% - 着色 2 8" xfId="1811"/>
    <cellStyle name="40% - 着色 2 8 2" xfId="1812"/>
    <cellStyle name="40% - 着色 2 9" xfId="1813"/>
    <cellStyle name="40% - 着色 3" xfId="1814"/>
    <cellStyle name="40% - 着色 3 10" xfId="1815"/>
    <cellStyle name="40% - 着色 3 2" xfId="1816"/>
    <cellStyle name="40% - 着色 3 2 2" xfId="1817"/>
    <cellStyle name="40% - 着色 3 2 2 2" xfId="1818"/>
    <cellStyle name="40% - 着色 3 2 2 2 2" xfId="1819"/>
    <cellStyle name="40% - 着色 3 2 2 2 2 2" xfId="1820"/>
    <cellStyle name="40% - 着色 3 2 2 2 3" xfId="1821"/>
    <cellStyle name="40% - 着色 3 2 2 2 4" xfId="1822"/>
    <cellStyle name="40% - 着色 3 2 2 3" xfId="1823"/>
    <cellStyle name="40% - 着色 3 2 2 3 2" xfId="1824"/>
    <cellStyle name="40% - 着色 3 2 2 4" xfId="1825"/>
    <cellStyle name="40% - 着色 3 2 2 4 2" xfId="1826"/>
    <cellStyle name="40% - 着色 3 2 2 5" xfId="1827"/>
    <cellStyle name="40% - 着色 3 2 2 6" xfId="1828"/>
    <cellStyle name="40% - 着色 3 2 3" xfId="1829"/>
    <cellStyle name="40% - 着色 3 2 3 2" xfId="1830"/>
    <cellStyle name="40% - 着色 3 2 3 2 2" xfId="1831"/>
    <cellStyle name="40% - 着色 3 2 3 3" xfId="1832"/>
    <cellStyle name="40% - 着色 3 2 3 4" xfId="1833"/>
    <cellStyle name="40% - 着色 3 2 4" xfId="1834"/>
    <cellStyle name="40% - 着色 3 2 4 2" xfId="1835"/>
    <cellStyle name="40% - 着色 3 2 5" xfId="1836"/>
    <cellStyle name="40% - 着色 3 2 5 2" xfId="1837"/>
    <cellStyle name="40% - 着色 3 2 6" xfId="1838"/>
    <cellStyle name="40% - 着色 3 2 7" xfId="1839"/>
    <cellStyle name="40% - 着色 3 3" xfId="1840"/>
    <cellStyle name="40% - 着色 3 3 2" xfId="1841"/>
    <cellStyle name="40% - 着色 3 3 2 2" xfId="1842"/>
    <cellStyle name="40% - 着色 3 3 2 2 2" xfId="1843"/>
    <cellStyle name="40% - 着色 3 3 2 3" xfId="1844"/>
    <cellStyle name="40% - 着色 3 3 2 4" xfId="1845"/>
    <cellStyle name="40% - 着色 3 3 3" xfId="1846"/>
    <cellStyle name="40% - 着色 3 3 3 2" xfId="1847"/>
    <cellStyle name="40% - 着色 3 3 4" xfId="1848"/>
    <cellStyle name="40% - 着色 3 3 4 2" xfId="1849"/>
    <cellStyle name="40% - 着色 3 3 5" xfId="1850"/>
    <cellStyle name="40% - 着色 3 3 6" xfId="1851"/>
    <cellStyle name="40% - 着色 3 4" xfId="1852"/>
    <cellStyle name="40% - 着色 3 4 2" xfId="1853"/>
    <cellStyle name="40% - 着色 3 4 2 2" xfId="1854"/>
    <cellStyle name="40% - 着色 3 4 2 2 2" xfId="1855"/>
    <cellStyle name="40% - 着色 3 4 2 3" xfId="1856"/>
    <cellStyle name="40% - 着色 3 4 2 4" xfId="1857"/>
    <cellStyle name="40% - 着色 3 4 3" xfId="1858"/>
    <cellStyle name="40% - 着色 3 4 3 2" xfId="1859"/>
    <cellStyle name="40% - 着色 3 4 4" xfId="1860"/>
    <cellStyle name="40% - 着色 3 4 4 2" xfId="1861"/>
    <cellStyle name="40% - 着色 3 4 5" xfId="1862"/>
    <cellStyle name="40% - 着色 3 4 6" xfId="1863"/>
    <cellStyle name="40% - 着色 3 5" xfId="1864"/>
    <cellStyle name="40% - 着色 3 5 2" xfId="1865"/>
    <cellStyle name="40% - 着色 3 5 2 2" xfId="1866"/>
    <cellStyle name="40% - 着色 3 5 3" xfId="1867"/>
    <cellStyle name="40% - 着色 3 5 4" xfId="1868"/>
    <cellStyle name="40% - 着色 3 6" xfId="1869"/>
    <cellStyle name="40% - 着色 3 6 2" xfId="1870"/>
    <cellStyle name="40% - 着色 3 7" xfId="1871"/>
    <cellStyle name="40% - 着色 3 7 2" xfId="1872"/>
    <cellStyle name="40% - 着色 3 8" xfId="1873"/>
    <cellStyle name="40% - 着色 3 8 2" xfId="1874"/>
    <cellStyle name="40% - 着色 3 9" xfId="1875"/>
    <cellStyle name="40% - 着色 4" xfId="1876"/>
    <cellStyle name="40% - 着色 4 10" xfId="1877"/>
    <cellStyle name="40% - 着色 4 2" xfId="1878"/>
    <cellStyle name="40% - 着色 4 2 2" xfId="1879"/>
    <cellStyle name="40% - 着色 4 2 2 2" xfId="1880"/>
    <cellStyle name="40% - 着色 4 2 2 2 2" xfId="1881"/>
    <cellStyle name="40% - 着色 4 2 2 2 2 2" xfId="1882"/>
    <cellStyle name="40% - 着色 4 2 2 2 3" xfId="1883"/>
    <cellStyle name="40% - 着色 4 2 2 2 4" xfId="1884"/>
    <cellStyle name="40% - 着色 4 2 2 3" xfId="1885"/>
    <cellStyle name="40% - 着色 4 2 2 3 2" xfId="1886"/>
    <cellStyle name="40% - 着色 4 2 2 4" xfId="1887"/>
    <cellStyle name="40% - 着色 4 2 2 4 2" xfId="1888"/>
    <cellStyle name="40% - 着色 4 2 2 5" xfId="1889"/>
    <cellStyle name="40% - 着色 4 2 2 6" xfId="1890"/>
    <cellStyle name="40% - 着色 4 2 3" xfId="1891"/>
    <cellStyle name="40% - 着色 4 2 3 2" xfId="1892"/>
    <cellStyle name="40% - 着色 4 2 3 2 2" xfId="1893"/>
    <cellStyle name="40% - 着色 4 2 3 3" xfId="1894"/>
    <cellStyle name="40% - 着色 4 2 3 4" xfId="1895"/>
    <cellStyle name="40% - 着色 4 2 4" xfId="1896"/>
    <cellStyle name="40% - 着色 4 2 4 2" xfId="1897"/>
    <cellStyle name="40% - 着色 4 2 5" xfId="1898"/>
    <cellStyle name="40% - 着色 4 2 5 2" xfId="1899"/>
    <cellStyle name="40% - 着色 4 2 6" xfId="1900"/>
    <cellStyle name="40% - 着色 4 2 7" xfId="1901"/>
    <cellStyle name="40% - 着色 4 3" xfId="1902"/>
    <cellStyle name="40% - 着色 4 3 2" xfId="1903"/>
    <cellStyle name="40% - 着色 4 3 2 2" xfId="1904"/>
    <cellStyle name="40% - 着色 4 3 2 2 2" xfId="1905"/>
    <cellStyle name="40% - 着色 4 3 2 3" xfId="1906"/>
    <cellStyle name="40% - 着色 4 3 2 4" xfId="1907"/>
    <cellStyle name="40% - 着色 4 3 3" xfId="1908"/>
    <cellStyle name="40% - 着色 4 3 3 2" xfId="1909"/>
    <cellStyle name="40% - 着色 4 3 4" xfId="1910"/>
    <cellStyle name="40% - 着色 4 3 4 2" xfId="1911"/>
    <cellStyle name="40% - 着色 4 3 5" xfId="1912"/>
    <cellStyle name="40% - 着色 4 3 6" xfId="1913"/>
    <cellStyle name="40% - 着色 4 4" xfId="1914"/>
    <cellStyle name="40% - 着色 4 4 2" xfId="1915"/>
    <cellStyle name="40% - 着色 4 4 2 2" xfId="1916"/>
    <cellStyle name="40% - 着色 4 4 2 2 2" xfId="1917"/>
    <cellStyle name="40% - 着色 4 4 2 3" xfId="1918"/>
    <cellStyle name="40% - 着色 4 4 2 4" xfId="1919"/>
    <cellStyle name="40% - 着色 4 4 3" xfId="1920"/>
    <cellStyle name="40% - 着色 4 4 3 2" xfId="1921"/>
    <cellStyle name="40% - 着色 4 4 4" xfId="1922"/>
    <cellStyle name="40% - 着色 4 4 4 2" xfId="1923"/>
    <cellStyle name="40% - 着色 4 4 5" xfId="1924"/>
    <cellStyle name="40% - 着色 4 4 6" xfId="1925"/>
    <cellStyle name="40% - 着色 4 5" xfId="1926"/>
    <cellStyle name="40% - 着色 4 5 2" xfId="1927"/>
    <cellStyle name="40% - 着色 4 5 2 2" xfId="1928"/>
    <cellStyle name="40% - 着色 4 5 3" xfId="1929"/>
    <cellStyle name="40% - 着色 4 5 4" xfId="1930"/>
    <cellStyle name="40% - 着色 4 6" xfId="1931"/>
    <cellStyle name="40% - 着色 4 6 2" xfId="1932"/>
    <cellStyle name="40% - 着色 4 7" xfId="1933"/>
    <cellStyle name="40% - 着色 4 7 2" xfId="1934"/>
    <cellStyle name="40% - 着色 4 8" xfId="1935"/>
    <cellStyle name="40% - 着色 4 8 2" xfId="1936"/>
    <cellStyle name="40% - 着色 4 9" xfId="1937"/>
    <cellStyle name="40% - 着色 5" xfId="1938"/>
    <cellStyle name="40% - 着色 5 10" xfId="1939"/>
    <cellStyle name="40% - 着色 5 2" xfId="1940"/>
    <cellStyle name="40% - 着色 5 2 2" xfId="1941"/>
    <cellStyle name="40% - 着色 5 2 2 2" xfId="1942"/>
    <cellStyle name="40% - 着色 5 2 2 2 2" xfId="1943"/>
    <cellStyle name="40% - 着色 5 2 2 2 2 2" xfId="1944"/>
    <cellStyle name="40% - 着色 5 2 2 2 3" xfId="1945"/>
    <cellStyle name="40% - 着色 5 2 2 2 4" xfId="1946"/>
    <cellStyle name="40% - 着色 5 2 2 3" xfId="1947"/>
    <cellStyle name="40% - 着色 5 2 2 3 2" xfId="1948"/>
    <cellStyle name="40% - 着色 5 2 2 4" xfId="1949"/>
    <cellStyle name="40% - 着色 5 2 2 4 2" xfId="1950"/>
    <cellStyle name="40% - 着色 5 2 2 5" xfId="1951"/>
    <cellStyle name="40% - 着色 5 2 2 6" xfId="1952"/>
    <cellStyle name="40% - 着色 5 2 3" xfId="1953"/>
    <cellStyle name="40% - 着色 5 2 3 2" xfId="1954"/>
    <cellStyle name="40% - 着色 5 2 3 2 2" xfId="1955"/>
    <cellStyle name="40% - 着色 5 2 3 3" xfId="1956"/>
    <cellStyle name="40% - 着色 5 2 3 4" xfId="1957"/>
    <cellStyle name="40% - 着色 5 2 4" xfId="1958"/>
    <cellStyle name="40% - 着色 5 2 4 2" xfId="1959"/>
    <cellStyle name="40% - 着色 5 2 5" xfId="1960"/>
    <cellStyle name="40% - 着色 5 2 5 2" xfId="1961"/>
    <cellStyle name="40% - 着色 5 2 6" xfId="1962"/>
    <cellStyle name="40% - 着色 5 2 7" xfId="1963"/>
    <cellStyle name="40% - 着色 5 3" xfId="1964"/>
    <cellStyle name="40% - 着色 5 3 2" xfId="1965"/>
    <cellStyle name="40% - 着色 5 3 2 2" xfId="1966"/>
    <cellStyle name="40% - 着色 5 3 2 2 2" xfId="1967"/>
    <cellStyle name="40% - 着色 5 3 2 3" xfId="1968"/>
    <cellStyle name="40% - 着色 5 3 2 4" xfId="1969"/>
    <cellStyle name="40% - 着色 5 3 3" xfId="1970"/>
    <cellStyle name="40% - 着色 5 3 3 2" xfId="1971"/>
    <cellStyle name="40% - 着色 5 3 4" xfId="1972"/>
    <cellStyle name="40% - 着色 5 3 4 2" xfId="1973"/>
    <cellStyle name="40% - 着色 5 3 5" xfId="1974"/>
    <cellStyle name="40% - 着色 5 3 6" xfId="1975"/>
    <cellStyle name="40% - 着色 5 4" xfId="1976"/>
    <cellStyle name="40% - 着色 5 4 2" xfId="1977"/>
    <cellStyle name="40% - 着色 5 4 2 2" xfId="1978"/>
    <cellStyle name="40% - 着色 5 4 2 2 2" xfId="1979"/>
    <cellStyle name="40% - 着色 5 4 2 3" xfId="1980"/>
    <cellStyle name="40% - 着色 5 4 2 4" xfId="1981"/>
    <cellStyle name="40% - 着色 5 4 3" xfId="1982"/>
    <cellStyle name="40% - 着色 5 4 3 2" xfId="1983"/>
    <cellStyle name="40% - 着色 5 4 4" xfId="1984"/>
    <cellStyle name="40% - 着色 5 4 4 2" xfId="1985"/>
    <cellStyle name="40% - 着色 5 4 5" xfId="1986"/>
    <cellStyle name="40% - 着色 5 4 6" xfId="1987"/>
    <cellStyle name="40% - 着色 5 5" xfId="1988"/>
    <cellStyle name="40% - 着色 5 5 2" xfId="1989"/>
    <cellStyle name="40% - 着色 5 5 2 2" xfId="1990"/>
    <cellStyle name="40% - 着色 5 5 3" xfId="1991"/>
    <cellStyle name="40% - 着色 5 5 4" xfId="1992"/>
    <cellStyle name="40% - 着色 5 6" xfId="1993"/>
    <cellStyle name="40% - 着色 5 6 2" xfId="1994"/>
    <cellStyle name="40% - 着色 5 7" xfId="1995"/>
    <cellStyle name="40% - 着色 5 7 2" xfId="1996"/>
    <cellStyle name="40% - 着色 5 8" xfId="1997"/>
    <cellStyle name="40% - 着色 5 8 2" xfId="1998"/>
    <cellStyle name="40% - 着色 5 9" xfId="1999"/>
    <cellStyle name="40% - 着色 6" xfId="2000"/>
    <cellStyle name="40% - 着色 6 10" xfId="2001"/>
    <cellStyle name="40% - 着色 6 2" xfId="2002"/>
    <cellStyle name="40% - 着色 6 2 2" xfId="2003"/>
    <cellStyle name="40% - 着色 6 2 2 2" xfId="2004"/>
    <cellStyle name="40% - 着色 6 2 2 2 2" xfId="2005"/>
    <cellStyle name="40% - 着色 6 2 2 2 2 2" xfId="2006"/>
    <cellStyle name="40% - 着色 6 2 2 2 3" xfId="2007"/>
    <cellStyle name="40% - 着色 6 2 2 2 4" xfId="2008"/>
    <cellStyle name="40% - 着色 6 2 2 3" xfId="2009"/>
    <cellStyle name="40% - 着色 6 2 2 3 2" xfId="2010"/>
    <cellStyle name="40% - 着色 6 2 2 4" xfId="2011"/>
    <cellStyle name="40% - 着色 6 2 2 4 2" xfId="2012"/>
    <cellStyle name="40% - 着色 6 2 2 5" xfId="2013"/>
    <cellStyle name="40% - 着色 6 2 2 6" xfId="2014"/>
    <cellStyle name="40% - 着色 6 2 3" xfId="2015"/>
    <cellStyle name="40% - 着色 6 2 3 2" xfId="2016"/>
    <cellStyle name="40% - 着色 6 2 3 2 2" xfId="2017"/>
    <cellStyle name="40% - 着色 6 2 3 3" xfId="2018"/>
    <cellStyle name="40% - 着色 6 2 3 4" xfId="2019"/>
    <cellStyle name="40% - 着色 6 2 4" xfId="2020"/>
    <cellStyle name="40% - 着色 6 2 4 2" xfId="2021"/>
    <cellStyle name="40% - 着色 6 2 5" xfId="2022"/>
    <cellStyle name="40% - 着色 6 2 5 2" xfId="2023"/>
    <cellStyle name="40% - 着色 6 2 6" xfId="2024"/>
    <cellStyle name="40% - 着色 6 2 7" xfId="2025"/>
    <cellStyle name="40% - 着色 6 3" xfId="2026"/>
    <cellStyle name="40% - 着色 6 3 2" xfId="2027"/>
    <cellStyle name="40% - 着色 6 3 2 2" xfId="2028"/>
    <cellStyle name="40% - 着色 6 3 2 2 2" xfId="2029"/>
    <cellStyle name="40% - 着色 6 3 2 3" xfId="2030"/>
    <cellStyle name="40% - 着色 6 3 2 4" xfId="2031"/>
    <cellStyle name="40% - 着色 6 3 3" xfId="2032"/>
    <cellStyle name="40% - 着色 6 3 3 2" xfId="2033"/>
    <cellStyle name="40% - 着色 6 3 4" xfId="2034"/>
    <cellStyle name="40% - 着色 6 3 4 2" xfId="2035"/>
    <cellStyle name="40% - 着色 6 3 5" xfId="2036"/>
    <cellStyle name="40% - 着色 6 3 6" xfId="2037"/>
    <cellStyle name="40% - 着色 6 4" xfId="2038"/>
    <cellStyle name="40% - 着色 6 4 2" xfId="2039"/>
    <cellStyle name="40% - 着色 6 4 2 2" xfId="2040"/>
    <cellStyle name="40% - 着色 6 4 2 2 2" xfId="2041"/>
    <cellStyle name="40% - 着色 6 4 2 3" xfId="2042"/>
    <cellStyle name="40% - 着色 6 4 2 4" xfId="2043"/>
    <cellStyle name="40% - 着色 6 4 3" xfId="2044"/>
    <cellStyle name="40% - 着色 6 4 3 2" xfId="2045"/>
    <cellStyle name="40% - 着色 6 4 4" xfId="2046"/>
    <cellStyle name="40% - 着色 6 4 4 2" xfId="2047"/>
    <cellStyle name="40% - 着色 6 4 5" xfId="2048"/>
    <cellStyle name="40% - 着色 6 4 6" xfId="2049"/>
    <cellStyle name="40% - 着色 6 5" xfId="2050"/>
    <cellStyle name="40% - 着色 6 5 2" xfId="2051"/>
    <cellStyle name="40% - 着色 6 5 2 2" xfId="2052"/>
    <cellStyle name="40% - 着色 6 5 3" xfId="2053"/>
    <cellStyle name="40% - 着色 6 5 4" xfId="2054"/>
    <cellStyle name="40% - 着色 6 6" xfId="2055"/>
    <cellStyle name="40% - 着色 6 6 2" xfId="2056"/>
    <cellStyle name="40% - 着色 6 7" xfId="2057"/>
    <cellStyle name="40% - 着色 6 7 2" xfId="2058"/>
    <cellStyle name="40% - 着色 6 8" xfId="2059"/>
    <cellStyle name="40% - 着色 6 8 2" xfId="2060"/>
    <cellStyle name="40% - 着色 6 9" xfId="2061"/>
    <cellStyle name="60% - 强调文字颜色 1 2" xfId="2062"/>
    <cellStyle name="60% - 强调文字颜色 1 2 2" xfId="2063"/>
    <cellStyle name="60% - 强调文字颜色 1 2 2 2" xfId="2064"/>
    <cellStyle name="60% - 强调文字颜色 1 2 2 2 2" xfId="2065"/>
    <cellStyle name="60% - 强调文字颜色 1 2 2 2 2 2" xfId="2066"/>
    <cellStyle name="60% - 强调文字颜色 1 2 2 2 3" xfId="2067"/>
    <cellStyle name="60% - 强调文字颜色 1 2 2 3" xfId="2068"/>
    <cellStyle name="60% - 强调文字颜色 1 2 2 3 2" xfId="2069"/>
    <cellStyle name="60% - 强调文字颜色 1 2 2 4" xfId="2070"/>
    <cellStyle name="60% - 强调文字颜色 1 2 2 4 2" xfId="2071"/>
    <cellStyle name="60% - 强调文字颜色 1 2 2 5" xfId="2072"/>
    <cellStyle name="60% - 强调文字颜色 1 2 2 6" xfId="8685"/>
    <cellStyle name="60% - 强调文字颜色 1 2 3" xfId="2073"/>
    <cellStyle name="60% - 强调文字颜色 1 2 3 2" xfId="2074"/>
    <cellStyle name="60% - 强调文字颜色 1 2 3 2 2" xfId="2075"/>
    <cellStyle name="60% - 强调文字颜色 1 2 3 3" xfId="2076"/>
    <cellStyle name="60% - 强调文字颜色 1 2 4" xfId="2077"/>
    <cellStyle name="60% - 强调文字颜色 1 2 4 2" xfId="2078"/>
    <cellStyle name="60% - 强调文字颜色 1 2 5" xfId="2079"/>
    <cellStyle name="60% - 强调文字颜色 1 2 5 2" xfId="2080"/>
    <cellStyle name="60% - 强调文字颜色 1 2 6" xfId="2081"/>
    <cellStyle name="60% - 强调文字颜色 1 2 7" xfId="8684"/>
    <cellStyle name="60% - 强调文字颜色 1 3" xfId="2082"/>
    <cellStyle name="60% - 强调文字颜色 1 3 2" xfId="2083"/>
    <cellStyle name="60% - 强调文字颜色 1 3 2 2" xfId="2084"/>
    <cellStyle name="60% - 强调文字颜色 1 3 2 2 2" xfId="2085"/>
    <cellStyle name="60% - 强调文字颜色 1 3 2 2 2 2" xfId="2086"/>
    <cellStyle name="60% - 强调文字颜色 1 3 2 2 3" xfId="2087"/>
    <cellStyle name="60% - 强调文字颜色 1 3 2 3" xfId="2088"/>
    <cellStyle name="60% - 强调文字颜色 1 3 2 3 2" xfId="2089"/>
    <cellStyle name="60% - 强调文字颜色 1 3 2 4" xfId="2090"/>
    <cellStyle name="60% - 强调文字颜色 1 3 2 4 2" xfId="2091"/>
    <cellStyle name="60% - 强调文字颜色 1 3 2 5" xfId="2092"/>
    <cellStyle name="60% - 强调文字颜色 1 3 2 6" xfId="8687"/>
    <cellStyle name="60% - 强调文字颜色 1 3 3" xfId="2093"/>
    <cellStyle name="60% - 强调文字颜色 1 3 3 2" xfId="2094"/>
    <cellStyle name="60% - 强调文字颜色 1 3 3 2 2" xfId="2095"/>
    <cellStyle name="60% - 强调文字颜色 1 3 3 3" xfId="2096"/>
    <cellStyle name="60% - 强调文字颜色 1 3 4" xfId="2097"/>
    <cellStyle name="60% - 强调文字颜色 1 3 4 2" xfId="2098"/>
    <cellStyle name="60% - 强调文字颜色 1 3 5" xfId="2099"/>
    <cellStyle name="60% - 强调文字颜色 1 3 5 2" xfId="2100"/>
    <cellStyle name="60% - 强调文字颜色 1 3 6" xfId="2101"/>
    <cellStyle name="60% - 强调文字颜色 1 3 7" xfId="8686"/>
    <cellStyle name="60% - 强调文字颜色 1 4" xfId="2102"/>
    <cellStyle name="60% - 强调文字颜色 1 4 2" xfId="2103"/>
    <cellStyle name="60% - 强调文字颜色 1 4 2 2" xfId="2104"/>
    <cellStyle name="60% - 强调文字颜色 1 4 2 2 2" xfId="2105"/>
    <cellStyle name="60% - 强调文字颜色 1 4 2 2 2 2" xfId="2106"/>
    <cellStyle name="60% - 强调文字颜色 1 4 2 2 3" xfId="2107"/>
    <cellStyle name="60% - 强调文字颜色 1 4 2 3" xfId="2108"/>
    <cellStyle name="60% - 强调文字颜色 1 4 2 3 2" xfId="2109"/>
    <cellStyle name="60% - 强调文字颜色 1 4 2 4" xfId="2110"/>
    <cellStyle name="60% - 强调文字颜色 1 4 2 4 2" xfId="2111"/>
    <cellStyle name="60% - 强调文字颜色 1 4 2 5" xfId="2112"/>
    <cellStyle name="60% - 强调文字颜色 1 4 2 6" xfId="8689"/>
    <cellStyle name="60% - 强调文字颜色 1 4 3" xfId="2113"/>
    <cellStyle name="60% - 强调文字颜色 1 4 3 2" xfId="2114"/>
    <cellStyle name="60% - 强调文字颜色 1 4 3 2 2" xfId="2115"/>
    <cellStyle name="60% - 强调文字颜色 1 4 3 3" xfId="2116"/>
    <cellStyle name="60% - 强调文字颜色 1 4 4" xfId="2117"/>
    <cellStyle name="60% - 强调文字颜色 1 4 4 2" xfId="2118"/>
    <cellStyle name="60% - 强调文字颜色 1 4 5" xfId="2119"/>
    <cellStyle name="60% - 强调文字颜色 1 4 5 2" xfId="2120"/>
    <cellStyle name="60% - 强调文字颜色 1 4 6" xfId="2121"/>
    <cellStyle name="60% - 强调文字颜色 1 4 7" xfId="8688"/>
    <cellStyle name="60% - 强调文字颜色 1 5" xfId="2122"/>
    <cellStyle name="60% - 强调文字颜色 1 5 2" xfId="2123"/>
    <cellStyle name="60% - 强调文字颜色 1 5 2 2" xfId="2124"/>
    <cellStyle name="60% - 强调文字颜色 1 5 2 2 2" xfId="2125"/>
    <cellStyle name="60% - 强调文字颜色 1 5 2 3" xfId="2126"/>
    <cellStyle name="60% - 强调文字颜色 1 5 3" xfId="2127"/>
    <cellStyle name="60% - 强调文字颜色 1 5 3 2" xfId="2128"/>
    <cellStyle name="60% - 强调文字颜色 1 5 4" xfId="2129"/>
    <cellStyle name="60% - 强调文字颜色 1 5 4 2" xfId="2130"/>
    <cellStyle name="60% - 强调文字颜色 1 5 5" xfId="2131"/>
    <cellStyle name="60% - 强调文字颜色 1 6" xfId="2132"/>
    <cellStyle name="60% - 强调文字颜色 1 6 2" xfId="2133"/>
    <cellStyle name="60% - 强调文字颜色 1 6 2 2" xfId="2134"/>
    <cellStyle name="60% - 强调文字颜色 1 6 2 2 2" xfId="2135"/>
    <cellStyle name="60% - 强调文字颜色 1 6 2 3" xfId="2136"/>
    <cellStyle name="60% - 强调文字颜色 1 6 3" xfId="2137"/>
    <cellStyle name="60% - 强调文字颜色 1 6 3 2" xfId="2138"/>
    <cellStyle name="60% - 强调文字颜色 1 6 4" xfId="2139"/>
    <cellStyle name="60% - 强调文字颜色 1 6 4 2" xfId="2140"/>
    <cellStyle name="60% - 强调文字颜色 1 6 5" xfId="2141"/>
    <cellStyle name="60% - 强调文字颜色 1 7" xfId="2142"/>
    <cellStyle name="60% - 强调文字颜色 1 7 2" xfId="2143"/>
    <cellStyle name="60% - 强调文字颜色 1 7 2 2" xfId="2144"/>
    <cellStyle name="60% - 强调文字颜色 1 7 2 2 2" xfId="2145"/>
    <cellStyle name="60% - 强调文字颜色 1 7 2 3" xfId="2146"/>
    <cellStyle name="60% - 强调文字颜色 1 7 3" xfId="2147"/>
    <cellStyle name="60% - 强调文字颜色 1 7 3 2" xfId="2148"/>
    <cellStyle name="60% - 强调文字颜色 1 7 4" xfId="2149"/>
    <cellStyle name="60% - 强调文字颜色 1 7 4 2" xfId="2150"/>
    <cellStyle name="60% - 强调文字颜色 1 7 5" xfId="2151"/>
    <cellStyle name="60% - 强调文字颜色 2 2" xfId="2152"/>
    <cellStyle name="60% - 强调文字颜色 2 2 2" xfId="2153"/>
    <cellStyle name="60% - 强调文字颜色 2 2 2 2" xfId="2154"/>
    <cellStyle name="60% - 强调文字颜色 2 2 2 2 2" xfId="2155"/>
    <cellStyle name="60% - 强调文字颜色 2 2 2 2 2 2" xfId="2156"/>
    <cellStyle name="60% - 强调文字颜色 2 2 2 2 3" xfId="2157"/>
    <cellStyle name="60% - 强调文字颜色 2 2 2 3" xfId="2158"/>
    <cellStyle name="60% - 强调文字颜色 2 2 2 3 2" xfId="2159"/>
    <cellStyle name="60% - 强调文字颜色 2 2 2 4" xfId="2160"/>
    <cellStyle name="60% - 强调文字颜色 2 2 2 4 2" xfId="2161"/>
    <cellStyle name="60% - 强调文字颜色 2 2 2 5" xfId="2162"/>
    <cellStyle name="60% - 强调文字颜色 2 2 2 6" xfId="8691"/>
    <cellStyle name="60% - 强调文字颜色 2 2 3" xfId="2163"/>
    <cellStyle name="60% - 强调文字颜色 2 2 3 2" xfId="2164"/>
    <cellStyle name="60% - 强调文字颜色 2 2 3 2 2" xfId="2165"/>
    <cellStyle name="60% - 强调文字颜色 2 2 3 3" xfId="2166"/>
    <cellStyle name="60% - 强调文字颜色 2 2 4" xfId="2167"/>
    <cellStyle name="60% - 强调文字颜色 2 2 4 2" xfId="2168"/>
    <cellStyle name="60% - 强调文字颜色 2 2 5" xfId="2169"/>
    <cellStyle name="60% - 强调文字颜色 2 2 5 2" xfId="2170"/>
    <cellStyle name="60% - 强调文字颜色 2 2 6" xfId="2171"/>
    <cellStyle name="60% - 强调文字颜色 2 2 7" xfId="8690"/>
    <cellStyle name="60% - 强调文字颜色 2 3" xfId="2172"/>
    <cellStyle name="60% - 强调文字颜色 2 3 2" xfId="2173"/>
    <cellStyle name="60% - 强调文字颜色 2 3 2 2" xfId="2174"/>
    <cellStyle name="60% - 强调文字颜色 2 3 2 2 2" xfId="2175"/>
    <cellStyle name="60% - 强调文字颜色 2 3 2 2 2 2" xfId="2176"/>
    <cellStyle name="60% - 强调文字颜色 2 3 2 2 3" xfId="2177"/>
    <cellStyle name="60% - 强调文字颜色 2 3 2 3" xfId="2178"/>
    <cellStyle name="60% - 强调文字颜色 2 3 2 3 2" xfId="2179"/>
    <cellStyle name="60% - 强调文字颜色 2 3 2 4" xfId="2180"/>
    <cellStyle name="60% - 强调文字颜色 2 3 2 4 2" xfId="2181"/>
    <cellStyle name="60% - 强调文字颜色 2 3 2 5" xfId="2182"/>
    <cellStyle name="60% - 强调文字颜色 2 3 2 6" xfId="8693"/>
    <cellStyle name="60% - 强调文字颜色 2 3 3" xfId="2183"/>
    <cellStyle name="60% - 强调文字颜色 2 3 3 2" xfId="2184"/>
    <cellStyle name="60% - 强调文字颜色 2 3 3 2 2" xfId="2185"/>
    <cellStyle name="60% - 强调文字颜色 2 3 3 3" xfId="2186"/>
    <cellStyle name="60% - 强调文字颜色 2 3 4" xfId="2187"/>
    <cellStyle name="60% - 强调文字颜色 2 3 4 2" xfId="2188"/>
    <cellStyle name="60% - 强调文字颜色 2 3 5" xfId="2189"/>
    <cellStyle name="60% - 强调文字颜色 2 3 5 2" xfId="2190"/>
    <cellStyle name="60% - 强调文字颜色 2 3 6" xfId="2191"/>
    <cellStyle name="60% - 强调文字颜色 2 3 7" xfId="8692"/>
    <cellStyle name="60% - 强调文字颜色 2 4" xfId="2192"/>
    <cellStyle name="60% - 强调文字颜色 2 4 2" xfId="2193"/>
    <cellStyle name="60% - 强调文字颜色 2 4 2 2" xfId="2194"/>
    <cellStyle name="60% - 强调文字颜色 2 4 2 2 2" xfId="2195"/>
    <cellStyle name="60% - 强调文字颜色 2 4 2 2 2 2" xfId="2196"/>
    <cellStyle name="60% - 强调文字颜色 2 4 2 2 3" xfId="2197"/>
    <cellStyle name="60% - 强调文字颜色 2 4 2 3" xfId="2198"/>
    <cellStyle name="60% - 强调文字颜色 2 4 2 3 2" xfId="2199"/>
    <cellStyle name="60% - 强调文字颜色 2 4 2 4" xfId="2200"/>
    <cellStyle name="60% - 强调文字颜色 2 4 2 4 2" xfId="2201"/>
    <cellStyle name="60% - 强调文字颜色 2 4 2 5" xfId="2202"/>
    <cellStyle name="60% - 强调文字颜色 2 4 2 6" xfId="8695"/>
    <cellStyle name="60% - 强调文字颜色 2 4 3" xfId="2203"/>
    <cellStyle name="60% - 强调文字颜色 2 4 3 2" xfId="2204"/>
    <cellStyle name="60% - 强调文字颜色 2 4 3 2 2" xfId="2205"/>
    <cellStyle name="60% - 强调文字颜色 2 4 3 3" xfId="2206"/>
    <cellStyle name="60% - 强调文字颜色 2 4 4" xfId="2207"/>
    <cellStyle name="60% - 强调文字颜色 2 4 4 2" xfId="2208"/>
    <cellStyle name="60% - 强调文字颜色 2 4 5" xfId="2209"/>
    <cellStyle name="60% - 强调文字颜色 2 4 5 2" xfId="2210"/>
    <cellStyle name="60% - 强调文字颜色 2 4 6" xfId="2211"/>
    <cellStyle name="60% - 强调文字颜色 2 4 7" xfId="8694"/>
    <cellStyle name="60% - 强调文字颜色 2 5" xfId="2212"/>
    <cellStyle name="60% - 强调文字颜色 2 5 2" xfId="2213"/>
    <cellStyle name="60% - 强调文字颜色 2 5 2 2" xfId="2214"/>
    <cellStyle name="60% - 强调文字颜色 2 5 2 2 2" xfId="2215"/>
    <cellStyle name="60% - 强调文字颜色 2 5 2 3" xfId="2216"/>
    <cellStyle name="60% - 强调文字颜色 2 5 3" xfId="2217"/>
    <cellStyle name="60% - 强调文字颜色 2 5 3 2" xfId="2218"/>
    <cellStyle name="60% - 强调文字颜色 2 5 4" xfId="2219"/>
    <cellStyle name="60% - 强调文字颜色 2 5 4 2" xfId="2220"/>
    <cellStyle name="60% - 强调文字颜色 2 5 5" xfId="2221"/>
    <cellStyle name="60% - 强调文字颜色 2 6" xfId="2222"/>
    <cellStyle name="60% - 强调文字颜色 2 6 2" xfId="2223"/>
    <cellStyle name="60% - 强调文字颜色 2 6 2 2" xfId="2224"/>
    <cellStyle name="60% - 强调文字颜色 2 6 2 2 2" xfId="2225"/>
    <cellStyle name="60% - 强调文字颜色 2 6 2 3" xfId="2226"/>
    <cellStyle name="60% - 强调文字颜色 2 6 3" xfId="2227"/>
    <cellStyle name="60% - 强调文字颜色 2 6 3 2" xfId="2228"/>
    <cellStyle name="60% - 强调文字颜色 2 6 4" xfId="2229"/>
    <cellStyle name="60% - 强调文字颜色 2 6 4 2" xfId="2230"/>
    <cellStyle name="60% - 强调文字颜色 2 6 5" xfId="2231"/>
    <cellStyle name="60% - 强调文字颜色 2 7" xfId="2232"/>
    <cellStyle name="60% - 强调文字颜色 2 7 2" xfId="2233"/>
    <cellStyle name="60% - 强调文字颜色 2 7 2 2" xfId="2234"/>
    <cellStyle name="60% - 强调文字颜色 2 7 2 2 2" xfId="2235"/>
    <cellStyle name="60% - 强调文字颜色 2 7 2 3" xfId="2236"/>
    <cellStyle name="60% - 强调文字颜色 2 7 3" xfId="2237"/>
    <cellStyle name="60% - 强调文字颜色 2 7 3 2" xfId="2238"/>
    <cellStyle name="60% - 强调文字颜色 2 7 4" xfId="2239"/>
    <cellStyle name="60% - 强调文字颜色 2 7 4 2" xfId="2240"/>
    <cellStyle name="60% - 强调文字颜色 2 7 5" xfId="2241"/>
    <cellStyle name="60% - 强调文字颜色 3 2" xfId="2242"/>
    <cellStyle name="60% - 强调文字颜色 3 2 2" xfId="2243"/>
    <cellStyle name="60% - 强调文字颜色 3 2 2 2" xfId="2244"/>
    <cellStyle name="60% - 强调文字颜色 3 2 2 2 2" xfId="2245"/>
    <cellStyle name="60% - 强调文字颜色 3 2 2 2 2 2" xfId="2246"/>
    <cellStyle name="60% - 强调文字颜色 3 2 2 2 3" xfId="2247"/>
    <cellStyle name="60% - 强调文字颜色 3 2 2 3" xfId="2248"/>
    <cellStyle name="60% - 强调文字颜色 3 2 2 3 2" xfId="2249"/>
    <cellStyle name="60% - 强调文字颜色 3 2 2 4" xfId="2250"/>
    <cellStyle name="60% - 强调文字颜色 3 2 2 4 2" xfId="2251"/>
    <cellStyle name="60% - 强调文字颜色 3 2 2 5" xfId="2252"/>
    <cellStyle name="60% - 强调文字颜色 3 2 2 6" xfId="8697"/>
    <cellStyle name="60% - 强调文字颜色 3 2 3" xfId="2253"/>
    <cellStyle name="60% - 强调文字颜色 3 2 3 2" xfId="2254"/>
    <cellStyle name="60% - 强调文字颜色 3 2 3 2 2" xfId="2255"/>
    <cellStyle name="60% - 强调文字颜色 3 2 3 3" xfId="2256"/>
    <cellStyle name="60% - 强调文字颜色 3 2 4" xfId="2257"/>
    <cellStyle name="60% - 强调文字颜色 3 2 4 2" xfId="2258"/>
    <cellStyle name="60% - 强调文字颜色 3 2 5" xfId="2259"/>
    <cellStyle name="60% - 强调文字颜色 3 2 5 2" xfId="2260"/>
    <cellStyle name="60% - 强调文字颜色 3 2 6" xfId="2261"/>
    <cellStyle name="60% - 强调文字颜色 3 2 7" xfId="8696"/>
    <cellStyle name="60% - 强调文字颜色 3 3" xfId="2262"/>
    <cellStyle name="60% - 强调文字颜色 3 3 2" xfId="2263"/>
    <cellStyle name="60% - 强调文字颜色 3 3 2 2" xfId="2264"/>
    <cellStyle name="60% - 强调文字颜色 3 3 2 2 2" xfId="2265"/>
    <cellStyle name="60% - 强调文字颜色 3 3 2 2 2 2" xfId="2266"/>
    <cellStyle name="60% - 强调文字颜色 3 3 2 2 3" xfId="2267"/>
    <cellStyle name="60% - 强调文字颜色 3 3 2 3" xfId="2268"/>
    <cellStyle name="60% - 强调文字颜色 3 3 2 3 2" xfId="2269"/>
    <cellStyle name="60% - 强调文字颜色 3 3 2 4" xfId="2270"/>
    <cellStyle name="60% - 强调文字颜色 3 3 2 4 2" xfId="2271"/>
    <cellStyle name="60% - 强调文字颜色 3 3 2 5" xfId="2272"/>
    <cellStyle name="60% - 强调文字颜色 3 3 2 6" xfId="8699"/>
    <cellStyle name="60% - 强调文字颜色 3 3 3" xfId="2273"/>
    <cellStyle name="60% - 强调文字颜色 3 3 3 2" xfId="2274"/>
    <cellStyle name="60% - 强调文字颜色 3 3 3 2 2" xfId="2275"/>
    <cellStyle name="60% - 强调文字颜色 3 3 3 3" xfId="2276"/>
    <cellStyle name="60% - 强调文字颜色 3 3 4" xfId="2277"/>
    <cellStyle name="60% - 强调文字颜色 3 3 4 2" xfId="2278"/>
    <cellStyle name="60% - 强调文字颜色 3 3 5" xfId="2279"/>
    <cellStyle name="60% - 强调文字颜色 3 3 5 2" xfId="2280"/>
    <cellStyle name="60% - 强调文字颜色 3 3 6" xfId="2281"/>
    <cellStyle name="60% - 强调文字颜色 3 3 7" xfId="8698"/>
    <cellStyle name="60% - 强调文字颜色 3 4" xfId="2282"/>
    <cellStyle name="60% - 强调文字颜色 3 4 2" xfId="2283"/>
    <cellStyle name="60% - 强调文字颜色 3 4 2 2" xfId="2284"/>
    <cellStyle name="60% - 强调文字颜色 3 4 2 2 2" xfId="2285"/>
    <cellStyle name="60% - 强调文字颜色 3 4 2 2 2 2" xfId="2286"/>
    <cellStyle name="60% - 强调文字颜色 3 4 2 2 3" xfId="2287"/>
    <cellStyle name="60% - 强调文字颜色 3 4 2 3" xfId="2288"/>
    <cellStyle name="60% - 强调文字颜色 3 4 2 3 2" xfId="2289"/>
    <cellStyle name="60% - 强调文字颜色 3 4 2 4" xfId="2290"/>
    <cellStyle name="60% - 强调文字颜色 3 4 2 4 2" xfId="2291"/>
    <cellStyle name="60% - 强调文字颜色 3 4 2 5" xfId="2292"/>
    <cellStyle name="60% - 强调文字颜色 3 4 2 6" xfId="8701"/>
    <cellStyle name="60% - 强调文字颜色 3 4 3" xfId="2293"/>
    <cellStyle name="60% - 强调文字颜色 3 4 3 2" xfId="2294"/>
    <cellStyle name="60% - 强调文字颜色 3 4 3 2 2" xfId="2295"/>
    <cellStyle name="60% - 强调文字颜色 3 4 3 3" xfId="2296"/>
    <cellStyle name="60% - 强调文字颜色 3 4 4" xfId="2297"/>
    <cellStyle name="60% - 强调文字颜色 3 4 4 2" xfId="2298"/>
    <cellStyle name="60% - 强调文字颜色 3 4 5" xfId="2299"/>
    <cellStyle name="60% - 强调文字颜色 3 4 5 2" xfId="2300"/>
    <cellStyle name="60% - 强调文字颜色 3 4 6" xfId="2301"/>
    <cellStyle name="60% - 强调文字颜色 3 4 7" xfId="8700"/>
    <cellStyle name="60% - 强调文字颜色 3 5" xfId="2302"/>
    <cellStyle name="60% - 强调文字颜色 3 5 2" xfId="2303"/>
    <cellStyle name="60% - 强调文字颜色 3 5 2 2" xfId="2304"/>
    <cellStyle name="60% - 强调文字颜色 3 5 2 2 2" xfId="2305"/>
    <cellStyle name="60% - 强调文字颜色 3 5 2 3" xfId="2306"/>
    <cellStyle name="60% - 强调文字颜色 3 5 3" xfId="2307"/>
    <cellStyle name="60% - 强调文字颜色 3 5 3 2" xfId="2308"/>
    <cellStyle name="60% - 强调文字颜色 3 5 4" xfId="2309"/>
    <cellStyle name="60% - 强调文字颜色 3 5 4 2" xfId="2310"/>
    <cellStyle name="60% - 强调文字颜色 3 5 5" xfId="2311"/>
    <cellStyle name="60% - 强调文字颜色 3 6" xfId="2312"/>
    <cellStyle name="60% - 强调文字颜色 3 6 2" xfId="2313"/>
    <cellStyle name="60% - 强调文字颜色 3 6 2 2" xfId="2314"/>
    <cellStyle name="60% - 强调文字颜色 3 6 2 2 2" xfId="2315"/>
    <cellStyle name="60% - 强调文字颜色 3 6 2 3" xfId="2316"/>
    <cellStyle name="60% - 强调文字颜色 3 6 3" xfId="2317"/>
    <cellStyle name="60% - 强调文字颜色 3 6 3 2" xfId="2318"/>
    <cellStyle name="60% - 强调文字颜色 3 6 4" xfId="2319"/>
    <cellStyle name="60% - 强调文字颜色 3 6 4 2" xfId="2320"/>
    <cellStyle name="60% - 强调文字颜色 3 6 5" xfId="2321"/>
    <cellStyle name="60% - 强调文字颜色 3 7" xfId="2322"/>
    <cellStyle name="60% - 强调文字颜色 3 7 2" xfId="2323"/>
    <cellStyle name="60% - 强调文字颜色 3 7 2 2" xfId="2324"/>
    <cellStyle name="60% - 强调文字颜色 3 7 2 2 2" xfId="2325"/>
    <cellStyle name="60% - 强调文字颜色 3 7 2 3" xfId="2326"/>
    <cellStyle name="60% - 强调文字颜色 3 7 3" xfId="2327"/>
    <cellStyle name="60% - 强调文字颜色 3 7 3 2" xfId="2328"/>
    <cellStyle name="60% - 强调文字颜色 3 7 4" xfId="2329"/>
    <cellStyle name="60% - 强调文字颜色 3 7 4 2" xfId="2330"/>
    <cellStyle name="60% - 强调文字颜色 3 7 5" xfId="2331"/>
    <cellStyle name="60% - 强调文字颜色 4 2" xfId="2332"/>
    <cellStyle name="60% - 强调文字颜色 4 2 2" xfId="2333"/>
    <cellStyle name="60% - 强调文字颜色 4 2 2 2" xfId="2334"/>
    <cellStyle name="60% - 强调文字颜色 4 2 2 2 2" xfId="2335"/>
    <cellStyle name="60% - 强调文字颜色 4 2 2 2 2 2" xfId="2336"/>
    <cellStyle name="60% - 强调文字颜色 4 2 2 2 3" xfId="2337"/>
    <cellStyle name="60% - 强调文字颜色 4 2 2 3" xfId="2338"/>
    <cellStyle name="60% - 强调文字颜色 4 2 2 3 2" xfId="2339"/>
    <cellStyle name="60% - 强调文字颜色 4 2 2 4" xfId="2340"/>
    <cellStyle name="60% - 强调文字颜色 4 2 2 4 2" xfId="2341"/>
    <cellStyle name="60% - 强调文字颜色 4 2 2 5" xfId="2342"/>
    <cellStyle name="60% - 强调文字颜色 4 2 2 6" xfId="8703"/>
    <cellStyle name="60% - 强调文字颜色 4 2 3" xfId="2343"/>
    <cellStyle name="60% - 强调文字颜色 4 2 3 2" xfId="2344"/>
    <cellStyle name="60% - 强调文字颜色 4 2 3 2 2" xfId="2345"/>
    <cellStyle name="60% - 强调文字颜色 4 2 3 3" xfId="2346"/>
    <cellStyle name="60% - 强调文字颜色 4 2 4" xfId="2347"/>
    <cellStyle name="60% - 强调文字颜色 4 2 4 2" xfId="2348"/>
    <cellStyle name="60% - 强调文字颜色 4 2 5" xfId="2349"/>
    <cellStyle name="60% - 强调文字颜色 4 2 5 2" xfId="2350"/>
    <cellStyle name="60% - 强调文字颜色 4 2 6" xfId="2351"/>
    <cellStyle name="60% - 强调文字颜色 4 2 7" xfId="8702"/>
    <cellStyle name="60% - 强调文字颜色 4 3" xfId="2352"/>
    <cellStyle name="60% - 强调文字颜色 4 3 2" xfId="2353"/>
    <cellStyle name="60% - 强调文字颜色 4 3 2 2" xfId="2354"/>
    <cellStyle name="60% - 强调文字颜色 4 3 2 2 2" xfId="2355"/>
    <cellStyle name="60% - 强调文字颜色 4 3 2 2 2 2" xfId="2356"/>
    <cellStyle name="60% - 强调文字颜色 4 3 2 2 3" xfId="2357"/>
    <cellStyle name="60% - 强调文字颜色 4 3 2 3" xfId="2358"/>
    <cellStyle name="60% - 强调文字颜色 4 3 2 3 2" xfId="2359"/>
    <cellStyle name="60% - 强调文字颜色 4 3 2 4" xfId="2360"/>
    <cellStyle name="60% - 强调文字颜色 4 3 2 4 2" xfId="2361"/>
    <cellStyle name="60% - 强调文字颜色 4 3 2 5" xfId="2362"/>
    <cellStyle name="60% - 强调文字颜色 4 3 2 6" xfId="8705"/>
    <cellStyle name="60% - 强调文字颜色 4 3 3" xfId="2363"/>
    <cellStyle name="60% - 强调文字颜色 4 3 3 2" xfId="2364"/>
    <cellStyle name="60% - 强调文字颜色 4 3 3 2 2" xfId="2365"/>
    <cellStyle name="60% - 强调文字颜色 4 3 3 3" xfId="2366"/>
    <cellStyle name="60% - 强调文字颜色 4 3 4" xfId="2367"/>
    <cellStyle name="60% - 强调文字颜色 4 3 4 2" xfId="2368"/>
    <cellStyle name="60% - 强调文字颜色 4 3 5" xfId="2369"/>
    <cellStyle name="60% - 强调文字颜色 4 3 5 2" xfId="2370"/>
    <cellStyle name="60% - 强调文字颜色 4 3 6" xfId="2371"/>
    <cellStyle name="60% - 强调文字颜色 4 3 7" xfId="8704"/>
    <cellStyle name="60% - 强调文字颜色 4 4" xfId="2372"/>
    <cellStyle name="60% - 强调文字颜色 4 4 2" xfId="2373"/>
    <cellStyle name="60% - 强调文字颜色 4 4 2 2" xfId="2374"/>
    <cellStyle name="60% - 强调文字颜色 4 4 2 2 2" xfId="2375"/>
    <cellStyle name="60% - 强调文字颜色 4 4 2 2 2 2" xfId="2376"/>
    <cellStyle name="60% - 强调文字颜色 4 4 2 2 3" xfId="2377"/>
    <cellStyle name="60% - 强调文字颜色 4 4 2 3" xfId="2378"/>
    <cellStyle name="60% - 强调文字颜色 4 4 2 3 2" xfId="2379"/>
    <cellStyle name="60% - 强调文字颜色 4 4 2 4" xfId="2380"/>
    <cellStyle name="60% - 强调文字颜色 4 4 2 4 2" xfId="2381"/>
    <cellStyle name="60% - 强调文字颜色 4 4 2 5" xfId="2382"/>
    <cellStyle name="60% - 强调文字颜色 4 4 2 6" xfId="8707"/>
    <cellStyle name="60% - 强调文字颜色 4 4 3" xfId="2383"/>
    <cellStyle name="60% - 强调文字颜色 4 4 3 2" xfId="2384"/>
    <cellStyle name="60% - 强调文字颜色 4 4 3 2 2" xfId="2385"/>
    <cellStyle name="60% - 强调文字颜色 4 4 3 3" xfId="2386"/>
    <cellStyle name="60% - 强调文字颜色 4 4 4" xfId="2387"/>
    <cellStyle name="60% - 强调文字颜色 4 4 4 2" xfId="2388"/>
    <cellStyle name="60% - 强调文字颜色 4 4 5" xfId="2389"/>
    <cellStyle name="60% - 强调文字颜色 4 4 5 2" xfId="2390"/>
    <cellStyle name="60% - 强调文字颜色 4 4 6" xfId="2391"/>
    <cellStyle name="60% - 强调文字颜色 4 4 7" xfId="8706"/>
    <cellStyle name="60% - 强调文字颜色 4 5" xfId="2392"/>
    <cellStyle name="60% - 强调文字颜色 4 5 2" xfId="2393"/>
    <cellStyle name="60% - 强调文字颜色 4 5 2 2" xfId="2394"/>
    <cellStyle name="60% - 强调文字颜色 4 5 2 2 2" xfId="2395"/>
    <cellStyle name="60% - 强调文字颜色 4 5 2 3" xfId="2396"/>
    <cellStyle name="60% - 强调文字颜色 4 5 3" xfId="2397"/>
    <cellStyle name="60% - 强调文字颜色 4 5 3 2" xfId="2398"/>
    <cellStyle name="60% - 强调文字颜色 4 5 4" xfId="2399"/>
    <cellStyle name="60% - 强调文字颜色 4 5 4 2" xfId="2400"/>
    <cellStyle name="60% - 强调文字颜色 4 5 5" xfId="2401"/>
    <cellStyle name="60% - 强调文字颜色 4 6" xfId="2402"/>
    <cellStyle name="60% - 强调文字颜色 4 6 2" xfId="2403"/>
    <cellStyle name="60% - 强调文字颜色 4 6 2 2" xfId="2404"/>
    <cellStyle name="60% - 强调文字颜色 4 6 2 2 2" xfId="2405"/>
    <cellStyle name="60% - 强调文字颜色 4 6 2 3" xfId="2406"/>
    <cellStyle name="60% - 强调文字颜色 4 6 3" xfId="2407"/>
    <cellStyle name="60% - 强调文字颜色 4 6 3 2" xfId="2408"/>
    <cellStyle name="60% - 强调文字颜色 4 6 4" xfId="2409"/>
    <cellStyle name="60% - 强调文字颜色 4 6 4 2" xfId="2410"/>
    <cellStyle name="60% - 强调文字颜色 4 6 5" xfId="2411"/>
    <cellStyle name="60% - 强调文字颜色 4 7" xfId="2412"/>
    <cellStyle name="60% - 强调文字颜色 4 7 2" xfId="2413"/>
    <cellStyle name="60% - 强调文字颜色 4 7 2 2" xfId="2414"/>
    <cellStyle name="60% - 强调文字颜色 4 7 2 2 2" xfId="2415"/>
    <cellStyle name="60% - 强调文字颜色 4 7 2 3" xfId="2416"/>
    <cellStyle name="60% - 强调文字颜色 4 7 3" xfId="2417"/>
    <cellStyle name="60% - 强调文字颜色 4 7 3 2" xfId="2418"/>
    <cellStyle name="60% - 强调文字颜色 4 7 4" xfId="2419"/>
    <cellStyle name="60% - 强调文字颜色 4 7 4 2" xfId="2420"/>
    <cellStyle name="60% - 强调文字颜色 4 7 5" xfId="2421"/>
    <cellStyle name="60% - 强调文字颜色 5 2" xfId="2422"/>
    <cellStyle name="60% - 强调文字颜色 5 2 2" xfId="2423"/>
    <cellStyle name="60% - 强调文字颜色 5 2 2 2" xfId="2424"/>
    <cellStyle name="60% - 强调文字颜色 5 2 2 2 2" xfId="2425"/>
    <cellStyle name="60% - 强调文字颜色 5 2 2 2 2 2" xfId="2426"/>
    <cellStyle name="60% - 强调文字颜色 5 2 2 2 3" xfId="2427"/>
    <cellStyle name="60% - 强调文字颜色 5 2 2 3" xfId="2428"/>
    <cellStyle name="60% - 强调文字颜色 5 2 2 3 2" xfId="2429"/>
    <cellStyle name="60% - 强调文字颜色 5 2 2 4" xfId="2430"/>
    <cellStyle name="60% - 强调文字颜色 5 2 2 4 2" xfId="2431"/>
    <cellStyle name="60% - 强调文字颜色 5 2 2 5" xfId="2432"/>
    <cellStyle name="60% - 强调文字颜色 5 2 2 6" xfId="8709"/>
    <cellStyle name="60% - 强调文字颜色 5 2 3" xfId="2433"/>
    <cellStyle name="60% - 强调文字颜色 5 2 3 2" xfId="2434"/>
    <cellStyle name="60% - 强调文字颜色 5 2 3 2 2" xfId="2435"/>
    <cellStyle name="60% - 强调文字颜色 5 2 3 3" xfId="2436"/>
    <cellStyle name="60% - 强调文字颜色 5 2 4" xfId="2437"/>
    <cellStyle name="60% - 强调文字颜色 5 2 4 2" xfId="2438"/>
    <cellStyle name="60% - 强调文字颜色 5 2 5" xfId="2439"/>
    <cellStyle name="60% - 强调文字颜色 5 2 5 2" xfId="2440"/>
    <cellStyle name="60% - 强调文字颜色 5 2 6" xfId="2441"/>
    <cellStyle name="60% - 强调文字颜色 5 2 7" xfId="8708"/>
    <cellStyle name="60% - 强调文字颜色 5 3" xfId="2442"/>
    <cellStyle name="60% - 强调文字颜色 5 3 2" xfId="2443"/>
    <cellStyle name="60% - 强调文字颜色 5 3 2 2" xfId="2444"/>
    <cellStyle name="60% - 强调文字颜色 5 3 2 2 2" xfId="2445"/>
    <cellStyle name="60% - 强调文字颜色 5 3 2 2 2 2" xfId="2446"/>
    <cellStyle name="60% - 强调文字颜色 5 3 2 2 3" xfId="2447"/>
    <cellStyle name="60% - 强调文字颜色 5 3 2 3" xfId="2448"/>
    <cellStyle name="60% - 强调文字颜色 5 3 2 3 2" xfId="2449"/>
    <cellStyle name="60% - 强调文字颜色 5 3 2 4" xfId="2450"/>
    <cellStyle name="60% - 强调文字颜色 5 3 2 4 2" xfId="2451"/>
    <cellStyle name="60% - 强调文字颜色 5 3 2 5" xfId="2452"/>
    <cellStyle name="60% - 强调文字颜色 5 3 2 6" xfId="8711"/>
    <cellStyle name="60% - 强调文字颜色 5 3 3" xfId="2453"/>
    <cellStyle name="60% - 强调文字颜色 5 3 3 2" xfId="2454"/>
    <cellStyle name="60% - 强调文字颜色 5 3 3 2 2" xfId="2455"/>
    <cellStyle name="60% - 强调文字颜色 5 3 3 3" xfId="2456"/>
    <cellStyle name="60% - 强调文字颜色 5 3 4" xfId="2457"/>
    <cellStyle name="60% - 强调文字颜色 5 3 4 2" xfId="2458"/>
    <cellStyle name="60% - 强调文字颜色 5 3 5" xfId="2459"/>
    <cellStyle name="60% - 强调文字颜色 5 3 5 2" xfId="2460"/>
    <cellStyle name="60% - 强调文字颜色 5 3 6" xfId="2461"/>
    <cellStyle name="60% - 强调文字颜色 5 3 7" xfId="8710"/>
    <cellStyle name="60% - 强调文字颜色 5 4" xfId="2462"/>
    <cellStyle name="60% - 强调文字颜色 5 4 2" xfId="2463"/>
    <cellStyle name="60% - 强调文字颜色 5 4 2 2" xfId="2464"/>
    <cellStyle name="60% - 强调文字颜色 5 4 2 2 2" xfId="2465"/>
    <cellStyle name="60% - 强调文字颜色 5 4 2 2 2 2" xfId="2466"/>
    <cellStyle name="60% - 强调文字颜色 5 4 2 2 3" xfId="2467"/>
    <cellStyle name="60% - 强调文字颜色 5 4 2 3" xfId="2468"/>
    <cellStyle name="60% - 强调文字颜色 5 4 2 3 2" xfId="2469"/>
    <cellStyle name="60% - 强调文字颜色 5 4 2 4" xfId="2470"/>
    <cellStyle name="60% - 强调文字颜色 5 4 2 4 2" xfId="2471"/>
    <cellStyle name="60% - 强调文字颜色 5 4 2 5" xfId="2472"/>
    <cellStyle name="60% - 强调文字颜色 5 4 2 6" xfId="8713"/>
    <cellStyle name="60% - 强调文字颜色 5 4 3" xfId="2473"/>
    <cellStyle name="60% - 强调文字颜色 5 4 3 2" xfId="2474"/>
    <cellStyle name="60% - 强调文字颜色 5 4 3 2 2" xfId="2475"/>
    <cellStyle name="60% - 强调文字颜色 5 4 3 3" xfId="2476"/>
    <cellStyle name="60% - 强调文字颜色 5 4 4" xfId="2477"/>
    <cellStyle name="60% - 强调文字颜色 5 4 4 2" xfId="2478"/>
    <cellStyle name="60% - 强调文字颜色 5 4 5" xfId="2479"/>
    <cellStyle name="60% - 强调文字颜色 5 4 5 2" xfId="2480"/>
    <cellStyle name="60% - 强调文字颜色 5 4 6" xfId="2481"/>
    <cellStyle name="60% - 强调文字颜色 5 4 7" xfId="8712"/>
    <cellStyle name="60% - 强调文字颜色 5 5" xfId="2482"/>
    <cellStyle name="60% - 强调文字颜色 5 5 2" xfId="2483"/>
    <cellStyle name="60% - 强调文字颜色 5 5 2 2" xfId="2484"/>
    <cellStyle name="60% - 强调文字颜色 5 5 2 2 2" xfId="2485"/>
    <cellStyle name="60% - 强调文字颜色 5 5 2 3" xfId="2486"/>
    <cellStyle name="60% - 强调文字颜色 5 5 3" xfId="2487"/>
    <cellStyle name="60% - 强调文字颜色 5 5 3 2" xfId="2488"/>
    <cellStyle name="60% - 强调文字颜色 5 5 4" xfId="2489"/>
    <cellStyle name="60% - 强调文字颜色 5 5 4 2" xfId="2490"/>
    <cellStyle name="60% - 强调文字颜色 5 5 5" xfId="2491"/>
    <cellStyle name="60% - 强调文字颜色 5 6" xfId="2492"/>
    <cellStyle name="60% - 强调文字颜色 5 6 2" xfId="2493"/>
    <cellStyle name="60% - 强调文字颜色 5 6 2 2" xfId="2494"/>
    <cellStyle name="60% - 强调文字颜色 5 6 2 2 2" xfId="2495"/>
    <cellStyle name="60% - 强调文字颜色 5 6 2 3" xfId="2496"/>
    <cellStyle name="60% - 强调文字颜色 5 6 3" xfId="2497"/>
    <cellStyle name="60% - 强调文字颜色 5 6 3 2" xfId="2498"/>
    <cellStyle name="60% - 强调文字颜色 5 6 4" xfId="2499"/>
    <cellStyle name="60% - 强调文字颜色 5 6 4 2" xfId="2500"/>
    <cellStyle name="60% - 强调文字颜色 5 6 5" xfId="2501"/>
    <cellStyle name="60% - 强调文字颜色 5 7" xfId="2502"/>
    <cellStyle name="60% - 强调文字颜色 5 7 2" xfId="2503"/>
    <cellStyle name="60% - 强调文字颜色 5 7 2 2" xfId="2504"/>
    <cellStyle name="60% - 强调文字颜色 5 7 2 2 2" xfId="2505"/>
    <cellStyle name="60% - 强调文字颜色 5 7 2 3" xfId="2506"/>
    <cellStyle name="60% - 强调文字颜色 5 7 3" xfId="2507"/>
    <cellStyle name="60% - 强调文字颜色 5 7 3 2" xfId="2508"/>
    <cellStyle name="60% - 强调文字颜色 5 7 4" xfId="2509"/>
    <cellStyle name="60% - 强调文字颜色 5 7 4 2" xfId="2510"/>
    <cellStyle name="60% - 强调文字颜色 5 7 5" xfId="2511"/>
    <cellStyle name="60% - 强调文字颜色 6 2" xfId="2512"/>
    <cellStyle name="60% - 强调文字颜色 6 2 2" xfId="2513"/>
    <cellStyle name="60% - 强调文字颜色 6 2 2 2" xfId="2514"/>
    <cellStyle name="60% - 强调文字颜色 6 2 2 2 2" xfId="2515"/>
    <cellStyle name="60% - 强调文字颜色 6 2 2 2 2 2" xfId="2516"/>
    <cellStyle name="60% - 强调文字颜色 6 2 2 2 3" xfId="2517"/>
    <cellStyle name="60% - 强调文字颜色 6 2 2 3" xfId="2518"/>
    <cellStyle name="60% - 强调文字颜色 6 2 2 3 2" xfId="2519"/>
    <cellStyle name="60% - 强调文字颜色 6 2 2 4" xfId="2520"/>
    <cellStyle name="60% - 强调文字颜色 6 2 2 4 2" xfId="2521"/>
    <cellStyle name="60% - 强调文字颜色 6 2 2 5" xfId="2522"/>
    <cellStyle name="60% - 强调文字颜色 6 2 2 6" xfId="8715"/>
    <cellStyle name="60% - 强调文字颜色 6 2 3" xfId="2523"/>
    <cellStyle name="60% - 强调文字颜色 6 2 3 2" xfId="2524"/>
    <cellStyle name="60% - 强调文字颜色 6 2 3 2 2" xfId="2525"/>
    <cellStyle name="60% - 强调文字颜色 6 2 3 3" xfId="2526"/>
    <cellStyle name="60% - 强调文字颜色 6 2 4" xfId="2527"/>
    <cellStyle name="60% - 强调文字颜色 6 2 4 2" xfId="2528"/>
    <cellStyle name="60% - 强调文字颜色 6 2 5" xfId="2529"/>
    <cellStyle name="60% - 强调文字颜色 6 2 5 2" xfId="2530"/>
    <cellStyle name="60% - 强调文字颜色 6 2 6" xfId="2531"/>
    <cellStyle name="60% - 强调文字颜色 6 2 7" xfId="8714"/>
    <cellStyle name="60% - 强调文字颜色 6 3" xfId="2532"/>
    <cellStyle name="60% - 强调文字颜色 6 3 2" xfId="2533"/>
    <cellStyle name="60% - 强调文字颜色 6 3 2 2" xfId="2534"/>
    <cellStyle name="60% - 强调文字颜色 6 3 2 2 2" xfId="2535"/>
    <cellStyle name="60% - 强调文字颜色 6 3 2 2 2 2" xfId="2536"/>
    <cellStyle name="60% - 强调文字颜色 6 3 2 2 3" xfId="2537"/>
    <cellStyle name="60% - 强调文字颜色 6 3 2 3" xfId="2538"/>
    <cellStyle name="60% - 强调文字颜色 6 3 2 3 2" xfId="2539"/>
    <cellStyle name="60% - 强调文字颜色 6 3 2 4" xfId="2540"/>
    <cellStyle name="60% - 强调文字颜色 6 3 2 4 2" xfId="2541"/>
    <cellStyle name="60% - 强调文字颜色 6 3 2 5" xfId="2542"/>
    <cellStyle name="60% - 强调文字颜色 6 3 2 6" xfId="8717"/>
    <cellStyle name="60% - 强调文字颜色 6 3 3" xfId="2543"/>
    <cellStyle name="60% - 强调文字颜色 6 3 3 2" xfId="2544"/>
    <cellStyle name="60% - 强调文字颜色 6 3 3 2 2" xfId="2545"/>
    <cellStyle name="60% - 强调文字颜色 6 3 3 3" xfId="2546"/>
    <cellStyle name="60% - 强调文字颜色 6 3 4" xfId="2547"/>
    <cellStyle name="60% - 强调文字颜色 6 3 4 2" xfId="2548"/>
    <cellStyle name="60% - 强调文字颜色 6 3 5" xfId="2549"/>
    <cellStyle name="60% - 强调文字颜色 6 3 5 2" xfId="2550"/>
    <cellStyle name="60% - 强调文字颜色 6 3 6" xfId="2551"/>
    <cellStyle name="60% - 强调文字颜色 6 3 7" xfId="8716"/>
    <cellStyle name="60% - 强调文字颜色 6 4" xfId="2552"/>
    <cellStyle name="60% - 强调文字颜色 6 4 2" xfId="2553"/>
    <cellStyle name="60% - 强调文字颜色 6 4 2 2" xfId="2554"/>
    <cellStyle name="60% - 强调文字颜色 6 4 2 2 2" xfId="2555"/>
    <cellStyle name="60% - 强调文字颜色 6 4 2 2 2 2" xfId="2556"/>
    <cellStyle name="60% - 强调文字颜色 6 4 2 2 3" xfId="2557"/>
    <cellStyle name="60% - 强调文字颜色 6 4 2 3" xfId="2558"/>
    <cellStyle name="60% - 强调文字颜色 6 4 2 3 2" xfId="2559"/>
    <cellStyle name="60% - 强调文字颜色 6 4 2 4" xfId="2560"/>
    <cellStyle name="60% - 强调文字颜色 6 4 2 4 2" xfId="2561"/>
    <cellStyle name="60% - 强调文字颜色 6 4 2 5" xfId="2562"/>
    <cellStyle name="60% - 强调文字颜色 6 4 2 6" xfId="8719"/>
    <cellStyle name="60% - 强调文字颜色 6 4 3" xfId="2563"/>
    <cellStyle name="60% - 强调文字颜色 6 4 3 2" xfId="2564"/>
    <cellStyle name="60% - 强调文字颜色 6 4 3 2 2" xfId="2565"/>
    <cellStyle name="60% - 强调文字颜色 6 4 3 3" xfId="2566"/>
    <cellStyle name="60% - 强调文字颜色 6 4 4" xfId="2567"/>
    <cellStyle name="60% - 强调文字颜色 6 4 4 2" xfId="2568"/>
    <cellStyle name="60% - 强调文字颜色 6 4 5" xfId="2569"/>
    <cellStyle name="60% - 强调文字颜色 6 4 5 2" xfId="2570"/>
    <cellStyle name="60% - 强调文字颜色 6 4 6" xfId="2571"/>
    <cellStyle name="60% - 强调文字颜色 6 4 7" xfId="8718"/>
    <cellStyle name="60% - 强调文字颜色 6 5" xfId="2572"/>
    <cellStyle name="60% - 强调文字颜色 6 5 2" xfId="2573"/>
    <cellStyle name="60% - 强调文字颜色 6 5 2 2" xfId="2574"/>
    <cellStyle name="60% - 强调文字颜色 6 5 2 2 2" xfId="2575"/>
    <cellStyle name="60% - 强调文字颜色 6 5 2 3" xfId="2576"/>
    <cellStyle name="60% - 强调文字颜色 6 5 3" xfId="2577"/>
    <cellStyle name="60% - 强调文字颜色 6 5 3 2" xfId="2578"/>
    <cellStyle name="60% - 强调文字颜色 6 5 4" xfId="2579"/>
    <cellStyle name="60% - 强调文字颜色 6 5 4 2" xfId="2580"/>
    <cellStyle name="60% - 强调文字颜色 6 5 5" xfId="2581"/>
    <cellStyle name="60% - 强调文字颜色 6 6" xfId="2582"/>
    <cellStyle name="60% - 强调文字颜色 6 6 2" xfId="2583"/>
    <cellStyle name="60% - 强调文字颜色 6 6 2 2" xfId="2584"/>
    <cellStyle name="60% - 强调文字颜色 6 6 2 2 2" xfId="2585"/>
    <cellStyle name="60% - 强调文字颜色 6 6 2 3" xfId="2586"/>
    <cellStyle name="60% - 强调文字颜色 6 6 3" xfId="2587"/>
    <cellStyle name="60% - 强调文字颜色 6 6 3 2" xfId="2588"/>
    <cellStyle name="60% - 强调文字颜色 6 6 4" xfId="2589"/>
    <cellStyle name="60% - 强调文字颜色 6 6 4 2" xfId="2590"/>
    <cellStyle name="60% - 强调文字颜色 6 6 5" xfId="2591"/>
    <cellStyle name="60% - 强调文字颜色 6 7" xfId="2592"/>
    <cellStyle name="60% - 强调文字颜色 6 7 2" xfId="2593"/>
    <cellStyle name="60% - 强调文字颜色 6 7 2 2" xfId="2594"/>
    <cellStyle name="60% - 强调文字颜色 6 7 2 2 2" xfId="2595"/>
    <cellStyle name="60% - 强调文字颜色 6 7 2 3" xfId="2596"/>
    <cellStyle name="60% - 强调文字颜色 6 7 3" xfId="2597"/>
    <cellStyle name="60% - 强调文字颜色 6 7 3 2" xfId="2598"/>
    <cellStyle name="60% - 强调文字颜色 6 7 4" xfId="2599"/>
    <cellStyle name="60% - 强调文字颜色 6 7 4 2" xfId="2600"/>
    <cellStyle name="60% - 强调文字颜色 6 7 5" xfId="2601"/>
    <cellStyle name="60% - 着色 1" xfId="2602"/>
    <cellStyle name="60% - 着色 1 2" xfId="2603"/>
    <cellStyle name="60% - 着色 1 2 2" xfId="2604"/>
    <cellStyle name="60% - 着色 1 2 2 2" xfId="2605"/>
    <cellStyle name="60% - 着色 1 2 2 2 2" xfId="2606"/>
    <cellStyle name="60% - 着色 1 2 2 2 2 2" xfId="2607"/>
    <cellStyle name="60% - 着色 1 2 2 2 3" xfId="2608"/>
    <cellStyle name="60% - 着色 1 2 2 3" xfId="2609"/>
    <cellStyle name="60% - 着色 1 2 2 3 2" xfId="2610"/>
    <cellStyle name="60% - 着色 1 2 2 4" xfId="2611"/>
    <cellStyle name="60% - 着色 1 2 2 4 2" xfId="2612"/>
    <cellStyle name="60% - 着色 1 2 2 5" xfId="2613"/>
    <cellStyle name="60% - 着色 1 2 3" xfId="2614"/>
    <cellStyle name="60% - 着色 1 2 3 2" xfId="2615"/>
    <cellStyle name="60% - 着色 1 2 3 2 2" xfId="2616"/>
    <cellStyle name="60% - 着色 1 2 3 3" xfId="2617"/>
    <cellStyle name="60% - 着色 1 2 4" xfId="2618"/>
    <cellStyle name="60% - 着色 1 2 4 2" xfId="2619"/>
    <cellStyle name="60% - 着色 1 2 5" xfId="2620"/>
    <cellStyle name="60% - 着色 1 2 5 2" xfId="2621"/>
    <cellStyle name="60% - 着色 1 2 6" xfId="2622"/>
    <cellStyle name="60% - 着色 1 3" xfId="2623"/>
    <cellStyle name="60% - 着色 1 3 2" xfId="2624"/>
    <cellStyle name="60% - 着色 1 3 2 2" xfId="2625"/>
    <cellStyle name="60% - 着色 1 3 2 2 2" xfId="2626"/>
    <cellStyle name="60% - 着色 1 3 2 3" xfId="2627"/>
    <cellStyle name="60% - 着色 1 3 3" xfId="2628"/>
    <cellStyle name="60% - 着色 1 3 3 2" xfId="2629"/>
    <cellStyle name="60% - 着色 1 3 4" xfId="2630"/>
    <cellStyle name="60% - 着色 1 3 4 2" xfId="2631"/>
    <cellStyle name="60% - 着色 1 3 5" xfId="2632"/>
    <cellStyle name="60% - 着色 1 4" xfId="2633"/>
    <cellStyle name="60% - 着色 1 4 2" xfId="2634"/>
    <cellStyle name="60% - 着色 1 4 2 2" xfId="2635"/>
    <cellStyle name="60% - 着色 1 4 2 2 2" xfId="2636"/>
    <cellStyle name="60% - 着色 1 4 2 3" xfId="2637"/>
    <cellStyle name="60% - 着色 1 4 3" xfId="2638"/>
    <cellStyle name="60% - 着色 1 4 3 2" xfId="2639"/>
    <cellStyle name="60% - 着色 1 4 4" xfId="2640"/>
    <cellStyle name="60% - 着色 1 4 4 2" xfId="2641"/>
    <cellStyle name="60% - 着色 1 4 5" xfId="2642"/>
    <cellStyle name="60% - 着色 1 5" xfId="2643"/>
    <cellStyle name="60% - 着色 1 5 2" xfId="2644"/>
    <cellStyle name="60% - 着色 1 5 2 2" xfId="2645"/>
    <cellStyle name="60% - 着色 1 5 3" xfId="2646"/>
    <cellStyle name="60% - 着色 1 6" xfId="2647"/>
    <cellStyle name="60% - 着色 1 6 2" xfId="2648"/>
    <cellStyle name="60% - 着色 1 7" xfId="2649"/>
    <cellStyle name="60% - 着色 1 7 2" xfId="2650"/>
    <cellStyle name="60% - 着色 1 8" xfId="2651"/>
    <cellStyle name="60% - 着色 1 8 2" xfId="2652"/>
    <cellStyle name="60% - 着色 1 9" xfId="2653"/>
    <cellStyle name="60% - 着色 2" xfId="2654"/>
    <cellStyle name="60% - 着色 2 2" xfId="2655"/>
    <cellStyle name="60% - 着色 2 2 2" xfId="2656"/>
    <cellStyle name="60% - 着色 2 2 2 2" xfId="2657"/>
    <cellStyle name="60% - 着色 2 2 2 2 2" xfId="2658"/>
    <cellStyle name="60% - 着色 2 2 2 2 2 2" xfId="2659"/>
    <cellStyle name="60% - 着色 2 2 2 2 3" xfId="2660"/>
    <cellStyle name="60% - 着色 2 2 2 3" xfId="2661"/>
    <cellStyle name="60% - 着色 2 2 2 3 2" xfId="2662"/>
    <cellStyle name="60% - 着色 2 2 2 4" xfId="2663"/>
    <cellStyle name="60% - 着色 2 2 2 4 2" xfId="2664"/>
    <cellStyle name="60% - 着色 2 2 2 5" xfId="2665"/>
    <cellStyle name="60% - 着色 2 2 3" xfId="2666"/>
    <cellStyle name="60% - 着色 2 2 3 2" xfId="2667"/>
    <cellStyle name="60% - 着色 2 2 3 2 2" xfId="2668"/>
    <cellStyle name="60% - 着色 2 2 3 3" xfId="2669"/>
    <cellStyle name="60% - 着色 2 2 4" xfId="2670"/>
    <cellStyle name="60% - 着色 2 2 4 2" xfId="2671"/>
    <cellStyle name="60% - 着色 2 2 5" xfId="2672"/>
    <cellStyle name="60% - 着色 2 2 5 2" xfId="2673"/>
    <cellStyle name="60% - 着色 2 2 6" xfId="2674"/>
    <cellStyle name="60% - 着色 2 3" xfId="2675"/>
    <cellStyle name="60% - 着色 2 3 2" xfId="2676"/>
    <cellStyle name="60% - 着色 2 3 2 2" xfId="2677"/>
    <cellStyle name="60% - 着色 2 3 2 2 2" xfId="2678"/>
    <cellStyle name="60% - 着色 2 3 2 3" xfId="2679"/>
    <cellStyle name="60% - 着色 2 3 3" xfId="2680"/>
    <cellStyle name="60% - 着色 2 3 3 2" xfId="2681"/>
    <cellStyle name="60% - 着色 2 3 4" xfId="2682"/>
    <cellStyle name="60% - 着色 2 3 4 2" xfId="2683"/>
    <cellStyle name="60% - 着色 2 3 5" xfId="2684"/>
    <cellStyle name="60% - 着色 2 4" xfId="2685"/>
    <cellStyle name="60% - 着色 2 4 2" xfId="2686"/>
    <cellStyle name="60% - 着色 2 4 2 2" xfId="2687"/>
    <cellStyle name="60% - 着色 2 4 2 2 2" xfId="2688"/>
    <cellStyle name="60% - 着色 2 4 2 3" xfId="2689"/>
    <cellStyle name="60% - 着色 2 4 3" xfId="2690"/>
    <cellStyle name="60% - 着色 2 4 3 2" xfId="2691"/>
    <cellStyle name="60% - 着色 2 4 4" xfId="2692"/>
    <cellStyle name="60% - 着色 2 4 4 2" xfId="2693"/>
    <cellStyle name="60% - 着色 2 4 5" xfId="2694"/>
    <cellStyle name="60% - 着色 2 5" xfId="2695"/>
    <cellStyle name="60% - 着色 2 5 2" xfId="2696"/>
    <cellStyle name="60% - 着色 2 5 2 2" xfId="2697"/>
    <cellStyle name="60% - 着色 2 5 3" xfId="2698"/>
    <cellStyle name="60% - 着色 2 6" xfId="2699"/>
    <cellStyle name="60% - 着色 2 6 2" xfId="2700"/>
    <cellStyle name="60% - 着色 2 7" xfId="2701"/>
    <cellStyle name="60% - 着色 2 7 2" xfId="2702"/>
    <cellStyle name="60% - 着色 2 8" xfId="2703"/>
    <cellStyle name="60% - 着色 2 8 2" xfId="2704"/>
    <cellStyle name="60% - 着色 2 9" xfId="2705"/>
    <cellStyle name="60% - 着色 3" xfId="2706"/>
    <cellStyle name="60% - 着色 3 2" xfId="2707"/>
    <cellStyle name="60% - 着色 3 2 2" xfId="2708"/>
    <cellStyle name="60% - 着色 3 2 2 2" xfId="2709"/>
    <cellStyle name="60% - 着色 3 2 2 2 2" xfId="2710"/>
    <cellStyle name="60% - 着色 3 2 2 2 2 2" xfId="2711"/>
    <cellStyle name="60% - 着色 3 2 2 2 3" xfId="2712"/>
    <cellStyle name="60% - 着色 3 2 2 3" xfId="2713"/>
    <cellStyle name="60% - 着色 3 2 2 3 2" xfId="2714"/>
    <cellStyle name="60% - 着色 3 2 2 4" xfId="2715"/>
    <cellStyle name="60% - 着色 3 2 2 4 2" xfId="2716"/>
    <cellStyle name="60% - 着色 3 2 2 5" xfId="2717"/>
    <cellStyle name="60% - 着色 3 2 3" xfId="2718"/>
    <cellStyle name="60% - 着色 3 2 3 2" xfId="2719"/>
    <cellStyle name="60% - 着色 3 2 3 2 2" xfId="2720"/>
    <cellStyle name="60% - 着色 3 2 3 3" xfId="2721"/>
    <cellStyle name="60% - 着色 3 2 4" xfId="2722"/>
    <cellStyle name="60% - 着色 3 2 4 2" xfId="2723"/>
    <cellStyle name="60% - 着色 3 2 5" xfId="2724"/>
    <cellStyle name="60% - 着色 3 2 5 2" xfId="2725"/>
    <cellStyle name="60% - 着色 3 2 6" xfId="2726"/>
    <cellStyle name="60% - 着色 3 3" xfId="2727"/>
    <cellStyle name="60% - 着色 3 3 2" xfId="2728"/>
    <cellStyle name="60% - 着色 3 3 2 2" xfId="2729"/>
    <cellStyle name="60% - 着色 3 3 2 2 2" xfId="2730"/>
    <cellStyle name="60% - 着色 3 3 2 3" xfId="2731"/>
    <cellStyle name="60% - 着色 3 3 3" xfId="2732"/>
    <cellStyle name="60% - 着色 3 3 3 2" xfId="2733"/>
    <cellStyle name="60% - 着色 3 3 4" xfId="2734"/>
    <cellStyle name="60% - 着色 3 3 4 2" xfId="2735"/>
    <cellStyle name="60% - 着色 3 3 5" xfId="2736"/>
    <cellStyle name="60% - 着色 3 4" xfId="2737"/>
    <cellStyle name="60% - 着色 3 4 2" xfId="2738"/>
    <cellStyle name="60% - 着色 3 4 2 2" xfId="2739"/>
    <cellStyle name="60% - 着色 3 4 2 2 2" xfId="2740"/>
    <cellStyle name="60% - 着色 3 4 2 3" xfId="2741"/>
    <cellStyle name="60% - 着色 3 4 3" xfId="2742"/>
    <cellStyle name="60% - 着色 3 4 3 2" xfId="2743"/>
    <cellStyle name="60% - 着色 3 4 4" xfId="2744"/>
    <cellStyle name="60% - 着色 3 4 4 2" xfId="2745"/>
    <cellStyle name="60% - 着色 3 4 5" xfId="2746"/>
    <cellStyle name="60% - 着色 3 5" xfId="2747"/>
    <cellStyle name="60% - 着色 3 5 2" xfId="2748"/>
    <cellStyle name="60% - 着色 3 5 2 2" xfId="2749"/>
    <cellStyle name="60% - 着色 3 5 3" xfId="2750"/>
    <cellStyle name="60% - 着色 3 6" xfId="2751"/>
    <cellStyle name="60% - 着色 3 6 2" xfId="2752"/>
    <cellStyle name="60% - 着色 3 7" xfId="2753"/>
    <cellStyle name="60% - 着色 3 7 2" xfId="2754"/>
    <cellStyle name="60% - 着色 3 8" xfId="2755"/>
    <cellStyle name="60% - 着色 3 8 2" xfId="2756"/>
    <cellStyle name="60% - 着色 3 9" xfId="2757"/>
    <cellStyle name="60% - 着色 4" xfId="2758"/>
    <cellStyle name="60% - 着色 4 2" xfId="2759"/>
    <cellStyle name="60% - 着色 4 2 2" xfId="2760"/>
    <cellStyle name="60% - 着色 4 2 2 2" xfId="2761"/>
    <cellStyle name="60% - 着色 4 2 2 2 2" xfId="2762"/>
    <cellStyle name="60% - 着色 4 2 2 2 2 2" xfId="2763"/>
    <cellStyle name="60% - 着色 4 2 2 2 3" xfId="2764"/>
    <cellStyle name="60% - 着色 4 2 2 3" xfId="2765"/>
    <cellStyle name="60% - 着色 4 2 2 3 2" xfId="2766"/>
    <cellStyle name="60% - 着色 4 2 2 4" xfId="2767"/>
    <cellStyle name="60% - 着色 4 2 2 4 2" xfId="2768"/>
    <cellStyle name="60% - 着色 4 2 2 5" xfId="2769"/>
    <cellStyle name="60% - 着色 4 2 3" xfId="2770"/>
    <cellStyle name="60% - 着色 4 2 3 2" xfId="2771"/>
    <cellStyle name="60% - 着色 4 2 3 2 2" xfId="2772"/>
    <cellStyle name="60% - 着色 4 2 3 3" xfId="2773"/>
    <cellStyle name="60% - 着色 4 2 4" xfId="2774"/>
    <cellStyle name="60% - 着色 4 2 4 2" xfId="2775"/>
    <cellStyle name="60% - 着色 4 2 5" xfId="2776"/>
    <cellStyle name="60% - 着色 4 2 5 2" xfId="2777"/>
    <cellStyle name="60% - 着色 4 2 6" xfId="2778"/>
    <cellStyle name="60% - 着色 4 3" xfId="2779"/>
    <cellStyle name="60% - 着色 4 3 2" xfId="2780"/>
    <cellStyle name="60% - 着色 4 3 2 2" xfId="2781"/>
    <cellStyle name="60% - 着色 4 3 2 2 2" xfId="2782"/>
    <cellStyle name="60% - 着色 4 3 2 3" xfId="2783"/>
    <cellStyle name="60% - 着色 4 3 3" xfId="2784"/>
    <cellStyle name="60% - 着色 4 3 3 2" xfId="2785"/>
    <cellStyle name="60% - 着色 4 3 4" xfId="2786"/>
    <cellStyle name="60% - 着色 4 3 4 2" xfId="2787"/>
    <cellStyle name="60% - 着色 4 3 5" xfId="2788"/>
    <cellStyle name="60% - 着色 4 4" xfId="2789"/>
    <cellStyle name="60% - 着色 4 4 2" xfId="2790"/>
    <cellStyle name="60% - 着色 4 4 2 2" xfId="2791"/>
    <cellStyle name="60% - 着色 4 4 2 2 2" xfId="2792"/>
    <cellStyle name="60% - 着色 4 4 2 3" xfId="2793"/>
    <cellStyle name="60% - 着色 4 4 3" xfId="2794"/>
    <cellStyle name="60% - 着色 4 4 3 2" xfId="2795"/>
    <cellStyle name="60% - 着色 4 4 4" xfId="2796"/>
    <cellStyle name="60% - 着色 4 4 4 2" xfId="2797"/>
    <cellStyle name="60% - 着色 4 4 5" xfId="2798"/>
    <cellStyle name="60% - 着色 4 5" xfId="2799"/>
    <cellStyle name="60% - 着色 4 5 2" xfId="2800"/>
    <cellStyle name="60% - 着色 4 5 2 2" xfId="2801"/>
    <cellStyle name="60% - 着色 4 5 3" xfId="2802"/>
    <cellStyle name="60% - 着色 4 6" xfId="2803"/>
    <cellStyle name="60% - 着色 4 6 2" xfId="2804"/>
    <cellStyle name="60% - 着色 4 7" xfId="2805"/>
    <cellStyle name="60% - 着色 4 7 2" xfId="2806"/>
    <cellStyle name="60% - 着色 4 8" xfId="2807"/>
    <cellStyle name="60% - 着色 4 8 2" xfId="2808"/>
    <cellStyle name="60% - 着色 4 9" xfId="2809"/>
    <cellStyle name="60% - 着色 5" xfId="2810"/>
    <cellStyle name="60% - 着色 5 2" xfId="2811"/>
    <cellStyle name="60% - 着色 5 2 2" xfId="2812"/>
    <cellStyle name="60% - 着色 5 2 2 2" xfId="2813"/>
    <cellStyle name="60% - 着色 5 2 2 2 2" xfId="2814"/>
    <cellStyle name="60% - 着色 5 2 2 2 2 2" xfId="2815"/>
    <cellStyle name="60% - 着色 5 2 2 2 3" xfId="2816"/>
    <cellStyle name="60% - 着色 5 2 2 3" xfId="2817"/>
    <cellStyle name="60% - 着色 5 2 2 3 2" xfId="2818"/>
    <cellStyle name="60% - 着色 5 2 2 4" xfId="2819"/>
    <cellStyle name="60% - 着色 5 2 2 4 2" xfId="2820"/>
    <cellStyle name="60% - 着色 5 2 2 5" xfId="2821"/>
    <cellStyle name="60% - 着色 5 2 3" xfId="2822"/>
    <cellStyle name="60% - 着色 5 2 3 2" xfId="2823"/>
    <cellStyle name="60% - 着色 5 2 3 2 2" xfId="2824"/>
    <cellStyle name="60% - 着色 5 2 3 3" xfId="2825"/>
    <cellStyle name="60% - 着色 5 2 4" xfId="2826"/>
    <cellStyle name="60% - 着色 5 2 4 2" xfId="2827"/>
    <cellStyle name="60% - 着色 5 2 5" xfId="2828"/>
    <cellStyle name="60% - 着色 5 2 5 2" xfId="2829"/>
    <cellStyle name="60% - 着色 5 2 6" xfId="2830"/>
    <cellStyle name="60% - 着色 5 3" xfId="2831"/>
    <cellStyle name="60% - 着色 5 3 2" xfId="2832"/>
    <cellStyle name="60% - 着色 5 3 2 2" xfId="2833"/>
    <cellStyle name="60% - 着色 5 3 2 2 2" xfId="2834"/>
    <cellStyle name="60% - 着色 5 3 2 3" xfId="2835"/>
    <cellStyle name="60% - 着色 5 3 3" xfId="2836"/>
    <cellStyle name="60% - 着色 5 3 3 2" xfId="2837"/>
    <cellStyle name="60% - 着色 5 3 4" xfId="2838"/>
    <cellStyle name="60% - 着色 5 3 4 2" xfId="2839"/>
    <cellStyle name="60% - 着色 5 3 5" xfId="2840"/>
    <cellStyle name="60% - 着色 5 4" xfId="2841"/>
    <cellStyle name="60% - 着色 5 4 2" xfId="2842"/>
    <cellStyle name="60% - 着色 5 4 2 2" xfId="2843"/>
    <cellStyle name="60% - 着色 5 4 2 2 2" xfId="2844"/>
    <cellStyle name="60% - 着色 5 4 2 3" xfId="2845"/>
    <cellStyle name="60% - 着色 5 4 3" xfId="2846"/>
    <cellStyle name="60% - 着色 5 4 3 2" xfId="2847"/>
    <cellStyle name="60% - 着色 5 4 4" xfId="2848"/>
    <cellStyle name="60% - 着色 5 4 4 2" xfId="2849"/>
    <cellStyle name="60% - 着色 5 4 5" xfId="2850"/>
    <cellStyle name="60% - 着色 5 5" xfId="2851"/>
    <cellStyle name="60% - 着色 5 5 2" xfId="2852"/>
    <cellStyle name="60% - 着色 5 5 2 2" xfId="2853"/>
    <cellStyle name="60% - 着色 5 5 3" xfId="2854"/>
    <cellStyle name="60% - 着色 5 6" xfId="2855"/>
    <cellStyle name="60% - 着色 5 6 2" xfId="2856"/>
    <cellStyle name="60% - 着色 5 7" xfId="2857"/>
    <cellStyle name="60% - 着色 5 7 2" xfId="2858"/>
    <cellStyle name="60% - 着色 5 8" xfId="2859"/>
    <cellStyle name="60% - 着色 5 8 2" xfId="2860"/>
    <cellStyle name="60% - 着色 5 9" xfId="2861"/>
    <cellStyle name="60% - 着色 6" xfId="2862"/>
    <cellStyle name="60% - 着色 6 2" xfId="2863"/>
    <cellStyle name="60% - 着色 6 2 2" xfId="2864"/>
    <cellStyle name="60% - 着色 6 2 2 2" xfId="2865"/>
    <cellStyle name="60% - 着色 6 2 2 2 2" xfId="2866"/>
    <cellStyle name="60% - 着色 6 2 2 2 2 2" xfId="2867"/>
    <cellStyle name="60% - 着色 6 2 2 2 3" xfId="2868"/>
    <cellStyle name="60% - 着色 6 2 2 3" xfId="2869"/>
    <cellStyle name="60% - 着色 6 2 2 3 2" xfId="2870"/>
    <cellStyle name="60% - 着色 6 2 2 4" xfId="2871"/>
    <cellStyle name="60% - 着色 6 2 2 4 2" xfId="2872"/>
    <cellStyle name="60% - 着色 6 2 2 5" xfId="2873"/>
    <cellStyle name="60% - 着色 6 2 3" xfId="2874"/>
    <cellStyle name="60% - 着色 6 2 3 2" xfId="2875"/>
    <cellStyle name="60% - 着色 6 2 3 2 2" xfId="2876"/>
    <cellStyle name="60% - 着色 6 2 3 3" xfId="2877"/>
    <cellStyle name="60% - 着色 6 2 4" xfId="2878"/>
    <cellStyle name="60% - 着色 6 2 4 2" xfId="2879"/>
    <cellStyle name="60% - 着色 6 2 5" xfId="2880"/>
    <cellStyle name="60% - 着色 6 2 5 2" xfId="2881"/>
    <cellStyle name="60% - 着色 6 2 6" xfId="2882"/>
    <cellStyle name="60% - 着色 6 3" xfId="2883"/>
    <cellStyle name="60% - 着色 6 3 2" xfId="2884"/>
    <cellStyle name="60% - 着色 6 3 2 2" xfId="2885"/>
    <cellStyle name="60% - 着色 6 3 2 2 2" xfId="2886"/>
    <cellStyle name="60% - 着色 6 3 2 3" xfId="2887"/>
    <cellStyle name="60% - 着色 6 3 3" xfId="2888"/>
    <cellStyle name="60% - 着色 6 3 3 2" xfId="2889"/>
    <cellStyle name="60% - 着色 6 3 4" xfId="2890"/>
    <cellStyle name="60% - 着色 6 3 4 2" xfId="2891"/>
    <cellStyle name="60% - 着色 6 3 5" xfId="2892"/>
    <cellStyle name="60% - 着色 6 4" xfId="2893"/>
    <cellStyle name="60% - 着色 6 4 2" xfId="2894"/>
    <cellStyle name="60% - 着色 6 4 2 2" xfId="2895"/>
    <cellStyle name="60% - 着色 6 4 2 2 2" xfId="2896"/>
    <cellStyle name="60% - 着色 6 4 2 3" xfId="2897"/>
    <cellStyle name="60% - 着色 6 4 3" xfId="2898"/>
    <cellStyle name="60% - 着色 6 4 3 2" xfId="2899"/>
    <cellStyle name="60% - 着色 6 4 4" xfId="2900"/>
    <cellStyle name="60% - 着色 6 4 4 2" xfId="2901"/>
    <cellStyle name="60% - 着色 6 4 5" xfId="2902"/>
    <cellStyle name="60% - 着色 6 5" xfId="2903"/>
    <cellStyle name="60% - 着色 6 5 2" xfId="2904"/>
    <cellStyle name="60% - 着色 6 5 2 2" xfId="2905"/>
    <cellStyle name="60% - 着色 6 5 3" xfId="2906"/>
    <cellStyle name="60% - 着色 6 6" xfId="2907"/>
    <cellStyle name="60% - 着色 6 6 2" xfId="2908"/>
    <cellStyle name="60% - 着色 6 7" xfId="2909"/>
    <cellStyle name="60% - 着色 6 7 2" xfId="2910"/>
    <cellStyle name="60% - 着色 6 8" xfId="2911"/>
    <cellStyle name="60% - 着色 6 8 2" xfId="2912"/>
    <cellStyle name="60% - 着色 6 9" xfId="2913"/>
    <cellStyle name="Normal" xfId="8911"/>
    <cellStyle name="Normal 2" xfId="8963"/>
    <cellStyle name="RowLevel_1" xfId="2914"/>
    <cellStyle name="百分比" xfId="17" builtinId="5"/>
    <cellStyle name="百分比 2" xfId="2915"/>
    <cellStyle name="百分比 2 10" xfId="2916"/>
    <cellStyle name="百分比 2 10 2" xfId="2917"/>
    <cellStyle name="百分比 2 11" xfId="2918"/>
    <cellStyle name="百分比 2 2" xfId="2919"/>
    <cellStyle name="百分比 2 2 2" xfId="2920"/>
    <cellStyle name="百分比 2 2 2 2" xfId="2921"/>
    <cellStyle name="百分比 2 2 2 2 2" xfId="2922"/>
    <cellStyle name="百分比 2 2 2 2 2 2" xfId="2923"/>
    <cellStyle name="百分比 2 2 2 2 3" xfId="2924"/>
    <cellStyle name="百分比 2 2 2 3" xfId="2925"/>
    <cellStyle name="百分比 2 2 2 3 2" xfId="2926"/>
    <cellStyle name="百分比 2 2 2 4" xfId="2927"/>
    <cellStyle name="百分比 2 2 2 4 2" xfId="2928"/>
    <cellStyle name="百分比 2 2 2 5" xfId="2929"/>
    <cellStyle name="百分比 2 2 2 6" xfId="9185"/>
    <cellStyle name="百分比 2 2 3" xfId="2930"/>
    <cellStyle name="百分比 2 2 3 2" xfId="2931"/>
    <cellStyle name="百分比 2 2 3 2 2" xfId="2932"/>
    <cellStyle name="百分比 2 2 3 3" xfId="2933"/>
    <cellStyle name="百分比 2 2 4" xfId="2934"/>
    <cellStyle name="百分比 2 2 4 2" xfId="2935"/>
    <cellStyle name="百分比 2 2 5" xfId="2936"/>
    <cellStyle name="百分比 2 2 5 2" xfId="2937"/>
    <cellStyle name="百分比 2 2 6" xfId="2938"/>
    <cellStyle name="百分比 2 3" xfId="2939"/>
    <cellStyle name="百分比 2 3 2" xfId="2940"/>
    <cellStyle name="百分比 2 3 2 2" xfId="2941"/>
    <cellStyle name="百分比 2 3 2 2 2" xfId="2942"/>
    <cellStyle name="百分比 2 3 2 3" xfId="2943"/>
    <cellStyle name="百分比 2 3 3" xfId="2944"/>
    <cellStyle name="百分比 2 3 3 2" xfId="2945"/>
    <cellStyle name="百分比 2 3 4" xfId="2946"/>
    <cellStyle name="百分比 2 3 4 2" xfId="2947"/>
    <cellStyle name="百分比 2 3 5" xfId="2948"/>
    <cellStyle name="百分比 2 3 6" xfId="9183"/>
    <cellStyle name="百分比 2 4" xfId="2949"/>
    <cellStyle name="百分比 2 4 2" xfId="2950"/>
    <cellStyle name="百分比 2 4 2 2" xfId="2951"/>
    <cellStyle name="百分比 2 4 2 2 2" xfId="2952"/>
    <cellStyle name="百分比 2 4 2 3" xfId="2953"/>
    <cellStyle name="百分比 2 4 3" xfId="2954"/>
    <cellStyle name="百分比 2 4 3 2" xfId="2955"/>
    <cellStyle name="百分比 2 4 4" xfId="2956"/>
    <cellStyle name="百分比 2 4 4 2" xfId="2957"/>
    <cellStyle name="百分比 2 4 5" xfId="2958"/>
    <cellStyle name="百分比 2 5" xfId="2959"/>
    <cellStyle name="百分比 2 5 2" xfId="2960"/>
    <cellStyle name="百分比 2 5 2 2" xfId="2961"/>
    <cellStyle name="百分比 2 5 2 2 2" xfId="2962"/>
    <cellStyle name="百分比 2 5 2 3" xfId="2963"/>
    <cellStyle name="百分比 2 5 2 4" xfId="2964"/>
    <cellStyle name="百分比 2 5 3" xfId="2965"/>
    <cellStyle name="百分比 2 5 3 2" xfId="2966"/>
    <cellStyle name="百分比 2 5 4" xfId="2967"/>
    <cellStyle name="百分比 2 5 4 2" xfId="2968"/>
    <cellStyle name="百分比 2 5 5" xfId="2969"/>
    <cellStyle name="百分比 2 5 6" xfId="2970"/>
    <cellStyle name="百分比 2 6" xfId="2971"/>
    <cellStyle name="百分比 2 6 2" xfId="2972"/>
    <cellStyle name="百分比 2 6 2 2" xfId="2973"/>
    <cellStyle name="百分比 2 6 2 2 2" xfId="2974"/>
    <cellStyle name="百分比 2 6 2 3" xfId="2975"/>
    <cellStyle name="百分比 2 6 3" xfId="2976"/>
    <cellStyle name="百分比 2 6 3 2" xfId="2977"/>
    <cellStyle name="百分比 2 6 4" xfId="2978"/>
    <cellStyle name="百分比 2 6 4 2" xfId="2979"/>
    <cellStyle name="百分比 2 6 5" xfId="2980"/>
    <cellStyle name="百分比 2 7" xfId="2981"/>
    <cellStyle name="百分比 2 7 2" xfId="2982"/>
    <cellStyle name="百分比 2 7 2 2" xfId="2983"/>
    <cellStyle name="百分比 2 7 3" xfId="2984"/>
    <cellStyle name="百分比 2 8" xfId="2985"/>
    <cellStyle name="百分比 2 8 2" xfId="2986"/>
    <cellStyle name="百分比 2 9" xfId="2987"/>
    <cellStyle name="百分比 2 9 2" xfId="2988"/>
    <cellStyle name="百分比 3" xfId="2989"/>
    <cellStyle name="百分比 3 10" xfId="2990"/>
    <cellStyle name="百分比 3 11" xfId="9169"/>
    <cellStyle name="百分比 3 2" xfId="2991"/>
    <cellStyle name="百分比 3 2 2" xfId="2992"/>
    <cellStyle name="百分比 3 2 2 2" xfId="2993"/>
    <cellStyle name="百分比 3 2 2 2 2" xfId="2994"/>
    <cellStyle name="百分比 3 2 2 2 2 2" xfId="2995"/>
    <cellStyle name="百分比 3 2 2 2 3" xfId="2996"/>
    <cellStyle name="百分比 3 2 2 3" xfId="2997"/>
    <cellStyle name="百分比 3 2 2 3 2" xfId="2998"/>
    <cellStyle name="百分比 3 2 2 4" xfId="2999"/>
    <cellStyle name="百分比 3 2 2 4 2" xfId="3000"/>
    <cellStyle name="百分比 3 2 2 5" xfId="3001"/>
    <cellStyle name="百分比 3 2 3" xfId="3002"/>
    <cellStyle name="百分比 3 2 3 2" xfId="3003"/>
    <cellStyle name="百分比 3 2 3 2 2" xfId="3004"/>
    <cellStyle name="百分比 3 2 3 3" xfId="3005"/>
    <cellStyle name="百分比 3 2 4" xfId="3006"/>
    <cellStyle name="百分比 3 2 4 2" xfId="3007"/>
    <cellStyle name="百分比 3 2 5" xfId="3008"/>
    <cellStyle name="百分比 3 2 5 2" xfId="3009"/>
    <cellStyle name="百分比 3 2 6" xfId="3010"/>
    <cellStyle name="百分比 3 2 7" xfId="9181"/>
    <cellStyle name="百分比 3 3" xfId="3011"/>
    <cellStyle name="百分比 3 3 2" xfId="3012"/>
    <cellStyle name="百分比 3 3 2 2" xfId="3013"/>
    <cellStyle name="百分比 3 3 2 2 2" xfId="3014"/>
    <cellStyle name="百分比 3 3 2 3" xfId="3015"/>
    <cellStyle name="百分比 3 3 3" xfId="3016"/>
    <cellStyle name="百分比 3 3 3 2" xfId="3017"/>
    <cellStyle name="百分比 3 3 4" xfId="3018"/>
    <cellStyle name="百分比 3 3 4 2" xfId="3019"/>
    <cellStyle name="百分比 3 3 5" xfId="3020"/>
    <cellStyle name="百分比 3 4" xfId="3021"/>
    <cellStyle name="百分比 3 4 2" xfId="3022"/>
    <cellStyle name="百分比 3 4 2 2" xfId="3023"/>
    <cellStyle name="百分比 3 4 2 2 2" xfId="3024"/>
    <cellStyle name="百分比 3 4 2 3" xfId="3025"/>
    <cellStyle name="百分比 3 4 3" xfId="3026"/>
    <cellStyle name="百分比 3 4 3 2" xfId="3027"/>
    <cellStyle name="百分比 3 4 4" xfId="3028"/>
    <cellStyle name="百分比 3 4 4 2" xfId="3029"/>
    <cellStyle name="百分比 3 4 5" xfId="3030"/>
    <cellStyle name="百分比 3 5" xfId="3031"/>
    <cellStyle name="百分比 3 5 2" xfId="3032"/>
    <cellStyle name="百分比 3 5 2 2" xfId="3033"/>
    <cellStyle name="百分比 3 5 2 2 2" xfId="3034"/>
    <cellStyle name="百分比 3 5 2 3" xfId="3035"/>
    <cellStyle name="百分比 3 5 3" xfId="3036"/>
    <cellStyle name="百分比 3 5 3 2" xfId="3037"/>
    <cellStyle name="百分比 3 5 4" xfId="3038"/>
    <cellStyle name="百分比 3 5 4 2" xfId="3039"/>
    <cellStyle name="百分比 3 5 5" xfId="3040"/>
    <cellStyle name="百分比 3 6" xfId="3041"/>
    <cellStyle name="百分比 3 6 2" xfId="3042"/>
    <cellStyle name="百分比 3 6 2 2" xfId="3043"/>
    <cellStyle name="百分比 3 6 3" xfId="3044"/>
    <cellStyle name="百分比 3 7" xfId="3045"/>
    <cellStyle name="百分比 3 7 2" xfId="3046"/>
    <cellStyle name="百分比 3 8" xfId="3047"/>
    <cellStyle name="百分比 3 8 2" xfId="3048"/>
    <cellStyle name="百分比 3 9" xfId="3049"/>
    <cellStyle name="百分比 3 9 2" xfId="3050"/>
    <cellStyle name="百分比 4" xfId="3051"/>
    <cellStyle name="百分比 4 2" xfId="3052"/>
    <cellStyle name="百分比 4 2 2" xfId="3053"/>
    <cellStyle name="百分比 4 2 2 2" xfId="3054"/>
    <cellStyle name="百分比 4 2 2 2 2" xfId="3055"/>
    <cellStyle name="百分比 4 2 2 3" xfId="3056"/>
    <cellStyle name="百分比 4 2 3" xfId="3057"/>
    <cellStyle name="百分比 4 2 3 2" xfId="3058"/>
    <cellStyle name="百分比 4 2 4" xfId="3059"/>
    <cellStyle name="百分比 4 2 4 2" xfId="3060"/>
    <cellStyle name="百分比 4 2 5" xfId="3061"/>
    <cellStyle name="百分比 4 3" xfId="3062"/>
    <cellStyle name="百分比 4 3 2" xfId="3063"/>
    <cellStyle name="百分比 4 3 2 2" xfId="3064"/>
    <cellStyle name="百分比 4 3 3" xfId="3065"/>
    <cellStyle name="百分比 4 4" xfId="3066"/>
    <cellStyle name="百分比 4 4 2" xfId="3067"/>
    <cellStyle name="百分比 4 5" xfId="3068"/>
    <cellStyle name="百分比 4 5 2" xfId="3069"/>
    <cellStyle name="百分比 4 6" xfId="3070"/>
    <cellStyle name="百分比 5" xfId="3071"/>
    <cellStyle name="百分比 5 2" xfId="3072"/>
    <cellStyle name="百分比 5 2 2" xfId="3073"/>
    <cellStyle name="百分比 5 2 2 2" xfId="3074"/>
    <cellStyle name="百分比 5 2 2 2 2" xfId="3075"/>
    <cellStyle name="百分比 5 2 2 3" xfId="3076"/>
    <cellStyle name="百分比 5 2 3" xfId="3077"/>
    <cellStyle name="百分比 5 2 3 2" xfId="3078"/>
    <cellStyle name="百分比 5 2 4" xfId="3079"/>
    <cellStyle name="百分比 5 2 4 2" xfId="3080"/>
    <cellStyle name="百分比 5 2 5" xfId="3081"/>
    <cellStyle name="百分比 5 3" xfId="3082"/>
    <cellStyle name="百分比 5 3 2" xfId="3083"/>
    <cellStyle name="百分比 5 3 2 2" xfId="3084"/>
    <cellStyle name="百分比 5 3 3" xfId="3085"/>
    <cellStyle name="百分比 5 4" xfId="3086"/>
    <cellStyle name="百分比 5 4 2" xfId="3087"/>
    <cellStyle name="百分比 5 5" xfId="3088"/>
    <cellStyle name="百分比 5 5 2" xfId="3089"/>
    <cellStyle name="百分比 5 6" xfId="3090"/>
    <cellStyle name="百分比 6" xfId="3091"/>
    <cellStyle name="百分比 6 2" xfId="3092"/>
    <cellStyle name="百分比 6 2 2" xfId="3093"/>
    <cellStyle name="百分比 6 2 2 2" xfId="3094"/>
    <cellStyle name="百分比 6 2 3" xfId="3095"/>
    <cellStyle name="百分比 6 2 4" xfId="3096"/>
    <cellStyle name="百分比 6 3" xfId="3097"/>
    <cellStyle name="百分比 6 3 2" xfId="3098"/>
    <cellStyle name="百分比 6 4" xfId="3099"/>
    <cellStyle name="百分比 6 4 2" xfId="3100"/>
    <cellStyle name="百分比 6 5" xfId="3101"/>
    <cellStyle name="百分比 6 6" xfId="3102"/>
    <cellStyle name="百分比 7" xfId="3103"/>
    <cellStyle name="百分比 7 2" xfId="3104"/>
    <cellStyle name="百分比 7 2 2" xfId="3105"/>
    <cellStyle name="百分比 7 2 2 2" xfId="3106"/>
    <cellStyle name="百分比 7 2 3" xfId="3107"/>
    <cellStyle name="百分比 7 3" xfId="3108"/>
    <cellStyle name="百分比 7 3 2" xfId="3109"/>
    <cellStyle name="百分比 7 4" xfId="3110"/>
    <cellStyle name="百分比 7 4 2" xfId="3111"/>
    <cellStyle name="百分比 7 5" xfId="3112"/>
    <cellStyle name="百分比 8" xfId="3113"/>
    <cellStyle name="百分比 8 2" xfId="3114"/>
    <cellStyle name="百分比 8 2 2" xfId="3115"/>
    <cellStyle name="百分比 8 3" xfId="3116"/>
    <cellStyle name="百分比 9" xfId="3117"/>
    <cellStyle name="百分比 9 2" xfId="3118"/>
    <cellStyle name="标题 1 2" xfId="3119"/>
    <cellStyle name="标题 1 2 2" xfId="3120"/>
    <cellStyle name="标题 1 2 2 2" xfId="3121"/>
    <cellStyle name="标题 1 2 2 2 2" xfId="3122"/>
    <cellStyle name="标题 1 2 2 2 2 2" xfId="3123"/>
    <cellStyle name="标题 1 2 2 2 3" xfId="3124"/>
    <cellStyle name="标题 1 2 2 3" xfId="3125"/>
    <cellStyle name="标题 1 2 2 3 2" xfId="3126"/>
    <cellStyle name="标题 1 2 2 4" xfId="3127"/>
    <cellStyle name="标题 1 2 2 4 2" xfId="3128"/>
    <cellStyle name="标题 1 2 2 5" xfId="3129"/>
    <cellStyle name="标题 1 2 2 6" xfId="8721"/>
    <cellStyle name="标题 1 2 3" xfId="3130"/>
    <cellStyle name="标题 1 2 3 2" xfId="3131"/>
    <cellStyle name="标题 1 2 3 2 2" xfId="3132"/>
    <cellStyle name="标题 1 2 3 3" xfId="3133"/>
    <cellStyle name="标题 1 2 4" xfId="3134"/>
    <cellStyle name="标题 1 2 4 2" xfId="3135"/>
    <cellStyle name="标题 1 2 5" xfId="3136"/>
    <cellStyle name="标题 1 2 5 2" xfId="3137"/>
    <cellStyle name="标题 1 2 6" xfId="3138"/>
    <cellStyle name="标题 1 2 7" xfId="8720"/>
    <cellStyle name="标题 1 2 8" xfId="8923"/>
    <cellStyle name="标题 1 2 9" xfId="8964"/>
    <cellStyle name="标题 1 3" xfId="3139"/>
    <cellStyle name="标题 1 3 2" xfId="3140"/>
    <cellStyle name="标题 1 3 2 2" xfId="3141"/>
    <cellStyle name="标题 1 3 2 2 2" xfId="3142"/>
    <cellStyle name="标题 1 3 2 2 2 2" xfId="3143"/>
    <cellStyle name="标题 1 3 2 2 3" xfId="3144"/>
    <cellStyle name="标题 1 3 2 3" xfId="3145"/>
    <cellStyle name="标题 1 3 2 3 2" xfId="3146"/>
    <cellStyle name="标题 1 3 2 4" xfId="3147"/>
    <cellStyle name="标题 1 3 2 4 2" xfId="3148"/>
    <cellStyle name="标题 1 3 2 5" xfId="3149"/>
    <cellStyle name="标题 1 3 2 6" xfId="8723"/>
    <cellStyle name="标题 1 3 3" xfId="3150"/>
    <cellStyle name="标题 1 3 3 2" xfId="3151"/>
    <cellStyle name="标题 1 3 3 2 2" xfId="3152"/>
    <cellStyle name="标题 1 3 3 3" xfId="3153"/>
    <cellStyle name="标题 1 3 4" xfId="3154"/>
    <cellStyle name="标题 1 3 4 2" xfId="3155"/>
    <cellStyle name="标题 1 3 5" xfId="3156"/>
    <cellStyle name="标题 1 3 5 2" xfId="3157"/>
    <cellStyle name="标题 1 3 6" xfId="3158"/>
    <cellStyle name="标题 1 3 7" xfId="8722"/>
    <cellStyle name="标题 1 4" xfId="3159"/>
    <cellStyle name="标题 1 4 2" xfId="3160"/>
    <cellStyle name="标题 1 4 2 2" xfId="3161"/>
    <cellStyle name="标题 1 4 2 2 2" xfId="3162"/>
    <cellStyle name="标题 1 4 2 2 2 2" xfId="3163"/>
    <cellStyle name="标题 1 4 2 2 3" xfId="3164"/>
    <cellStyle name="标题 1 4 2 3" xfId="3165"/>
    <cellStyle name="标题 1 4 2 3 2" xfId="3166"/>
    <cellStyle name="标题 1 4 2 4" xfId="3167"/>
    <cellStyle name="标题 1 4 2 4 2" xfId="3168"/>
    <cellStyle name="标题 1 4 2 5" xfId="3169"/>
    <cellStyle name="标题 1 4 2 6" xfId="8725"/>
    <cellStyle name="标题 1 4 3" xfId="3170"/>
    <cellStyle name="标题 1 4 3 2" xfId="3171"/>
    <cellStyle name="标题 1 4 3 2 2" xfId="3172"/>
    <cellStyle name="标题 1 4 3 3" xfId="3173"/>
    <cellStyle name="标题 1 4 4" xfId="3174"/>
    <cellStyle name="标题 1 4 4 2" xfId="3175"/>
    <cellStyle name="标题 1 4 5" xfId="3176"/>
    <cellStyle name="标题 1 4 5 2" xfId="3177"/>
    <cellStyle name="标题 1 4 6" xfId="3178"/>
    <cellStyle name="标题 1 4 7" xfId="8724"/>
    <cellStyle name="标题 1 5" xfId="3179"/>
    <cellStyle name="标题 1 5 2" xfId="3180"/>
    <cellStyle name="标题 1 5 2 2" xfId="3181"/>
    <cellStyle name="标题 1 5 2 2 2" xfId="3182"/>
    <cellStyle name="标题 1 5 2 3" xfId="3183"/>
    <cellStyle name="标题 1 5 3" xfId="3184"/>
    <cellStyle name="标题 1 5 3 2" xfId="3185"/>
    <cellStyle name="标题 1 5 4" xfId="3186"/>
    <cellStyle name="标题 1 5 4 2" xfId="3187"/>
    <cellStyle name="标题 1 5 5" xfId="3188"/>
    <cellStyle name="标题 1 6" xfId="3189"/>
    <cellStyle name="标题 1 6 2" xfId="3190"/>
    <cellStyle name="标题 1 6 2 2" xfId="3191"/>
    <cellStyle name="标题 1 6 2 2 2" xfId="3192"/>
    <cellStyle name="标题 1 6 2 3" xfId="3193"/>
    <cellStyle name="标题 1 6 3" xfId="3194"/>
    <cellStyle name="标题 1 6 3 2" xfId="3195"/>
    <cellStyle name="标题 1 6 4" xfId="3196"/>
    <cellStyle name="标题 1 6 4 2" xfId="3197"/>
    <cellStyle name="标题 1 6 5" xfId="3198"/>
    <cellStyle name="标题 2 2" xfId="3199"/>
    <cellStyle name="标题 2 2 2" xfId="3200"/>
    <cellStyle name="标题 2 2 2 2" xfId="3201"/>
    <cellStyle name="标题 2 2 2 2 2" xfId="3202"/>
    <cellStyle name="标题 2 2 2 2 2 2" xfId="3203"/>
    <cellStyle name="标题 2 2 2 2 3" xfId="3204"/>
    <cellStyle name="标题 2 2 2 3" xfId="3205"/>
    <cellStyle name="标题 2 2 2 3 2" xfId="3206"/>
    <cellStyle name="标题 2 2 2 4" xfId="3207"/>
    <cellStyle name="标题 2 2 2 4 2" xfId="3208"/>
    <cellStyle name="标题 2 2 2 5" xfId="3209"/>
    <cellStyle name="标题 2 2 2 6" xfId="8727"/>
    <cellStyle name="标题 2 2 3" xfId="3210"/>
    <cellStyle name="标题 2 2 3 2" xfId="3211"/>
    <cellStyle name="标题 2 2 3 2 2" xfId="3212"/>
    <cellStyle name="标题 2 2 3 3" xfId="3213"/>
    <cellStyle name="标题 2 2 4" xfId="3214"/>
    <cellStyle name="标题 2 2 4 2" xfId="3215"/>
    <cellStyle name="标题 2 2 5" xfId="3216"/>
    <cellStyle name="标题 2 2 5 2" xfId="3217"/>
    <cellStyle name="标题 2 2 6" xfId="3218"/>
    <cellStyle name="标题 2 2 7" xfId="8726"/>
    <cellStyle name="标题 2 2 8" xfId="8924"/>
    <cellStyle name="标题 2 2 9" xfId="8965"/>
    <cellStyle name="标题 2 3" xfId="3219"/>
    <cellStyle name="标题 2 3 2" xfId="3220"/>
    <cellStyle name="标题 2 3 2 2" xfId="3221"/>
    <cellStyle name="标题 2 3 2 2 2" xfId="3222"/>
    <cellStyle name="标题 2 3 2 2 2 2" xfId="3223"/>
    <cellStyle name="标题 2 3 2 2 3" xfId="3224"/>
    <cellStyle name="标题 2 3 2 3" xfId="3225"/>
    <cellStyle name="标题 2 3 2 3 2" xfId="3226"/>
    <cellStyle name="标题 2 3 2 4" xfId="3227"/>
    <cellStyle name="标题 2 3 2 4 2" xfId="3228"/>
    <cellStyle name="标题 2 3 2 5" xfId="3229"/>
    <cellStyle name="标题 2 3 2 6" xfId="8729"/>
    <cellStyle name="标题 2 3 3" xfId="3230"/>
    <cellStyle name="标题 2 3 3 2" xfId="3231"/>
    <cellStyle name="标题 2 3 3 2 2" xfId="3232"/>
    <cellStyle name="标题 2 3 3 3" xfId="3233"/>
    <cellStyle name="标题 2 3 4" xfId="3234"/>
    <cellStyle name="标题 2 3 4 2" xfId="3235"/>
    <cellStyle name="标题 2 3 5" xfId="3236"/>
    <cellStyle name="标题 2 3 5 2" xfId="3237"/>
    <cellStyle name="标题 2 3 6" xfId="3238"/>
    <cellStyle name="标题 2 3 7" xfId="8728"/>
    <cellStyle name="标题 2 4" xfId="3239"/>
    <cellStyle name="标题 2 4 2" xfId="3240"/>
    <cellStyle name="标题 2 4 2 2" xfId="3241"/>
    <cellStyle name="标题 2 4 2 2 2" xfId="3242"/>
    <cellStyle name="标题 2 4 2 2 2 2" xfId="3243"/>
    <cellStyle name="标题 2 4 2 2 3" xfId="3244"/>
    <cellStyle name="标题 2 4 2 3" xfId="3245"/>
    <cellStyle name="标题 2 4 2 3 2" xfId="3246"/>
    <cellStyle name="标题 2 4 2 4" xfId="3247"/>
    <cellStyle name="标题 2 4 2 4 2" xfId="3248"/>
    <cellStyle name="标题 2 4 2 5" xfId="3249"/>
    <cellStyle name="标题 2 4 2 6" xfId="8731"/>
    <cellStyle name="标题 2 4 3" xfId="3250"/>
    <cellStyle name="标题 2 4 3 2" xfId="3251"/>
    <cellStyle name="标题 2 4 3 2 2" xfId="3252"/>
    <cellStyle name="标题 2 4 3 3" xfId="3253"/>
    <cellStyle name="标题 2 4 4" xfId="3254"/>
    <cellStyle name="标题 2 4 4 2" xfId="3255"/>
    <cellStyle name="标题 2 4 5" xfId="3256"/>
    <cellStyle name="标题 2 4 5 2" xfId="3257"/>
    <cellStyle name="标题 2 4 6" xfId="3258"/>
    <cellStyle name="标题 2 4 7" xfId="8730"/>
    <cellStyle name="标题 2 5" xfId="3259"/>
    <cellStyle name="标题 2 5 2" xfId="3260"/>
    <cellStyle name="标题 2 5 2 2" xfId="3261"/>
    <cellStyle name="标题 2 5 2 2 2" xfId="3262"/>
    <cellStyle name="标题 2 5 2 3" xfId="3263"/>
    <cellStyle name="标题 2 5 3" xfId="3264"/>
    <cellStyle name="标题 2 5 3 2" xfId="3265"/>
    <cellStyle name="标题 2 5 4" xfId="3266"/>
    <cellStyle name="标题 2 5 4 2" xfId="3267"/>
    <cellStyle name="标题 2 5 5" xfId="3268"/>
    <cellStyle name="标题 2 6" xfId="3269"/>
    <cellStyle name="标题 2 6 2" xfId="3270"/>
    <cellStyle name="标题 2 6 2 2" xfId="3271"/>
    <cellStyle name="标题 2 6 2 2 2" xfId="3272"/>
    <cellStyle name="标题 2 6 2 3" xfId="3273"/>
    <cellStyle name="标题 2 6 3" xfId="3274"/>
    <cellStyle name="标题 2 6 3 2" xfId="3275"/>
    <cellStyle name="标题 2 6 4" xfId="3276"/>
    <cellStyle name="标题 2 6 4 2" xfId="3277"/>
    <cellStyle name="标题 2 6 5" xfId="3278"/>
    <cellStyle name="标题 3 2" xfId="3279"/>
    <cellStyle name="标题 3 2 2" xfId="3280"/>
    <cellStyle name="标题 3 2 2 2" xfId="3281"/>
    <cellStyle name="标题 3 2 2 2 2" xfId="3282"/>
    <cellStyle name="标题 3 2 2 2 2 2" xfId="3283"/>
    <cellStyle name="标题 3 2 2 2 3" xfId="3284"/>
    <cellStyle name="标题 3 2 2 3" xfId="3285"/>
    <cellStyle name="标题 3 2 2 3 2" xfId="3286"/>
    <cellStyle name="标题 3 2 2 4" xfId="3287"/>
    <cellStyle name="标题 3 2 2 4 2" xfId="3288"/>
    <cellStyle name="标题 3 2 2 5" xfId="3289"/>
    <cellStyle name="标题 3 2 2 6" xfId="8733"/>
    <cellStyle name="标题 3 2 3" xfId="3290"/>
    <cellStyle name="标题 3 2 3 2" xfId="3291"/>
    <cellStyle name="标题 3 2 3 2 2" xfId="3292"/>
    <cellStyle name="标题 3 2 3 3" xfId="3293"/>
    <cellStyle name="标题 3 2 4" xfId="3294"/>
    <cellStyle name="标题 3 2 4 2" xfId="3295"/>
    <cellStyle name="标题 3 2 5" xfId="3296"/>
    <cellStyle name="标题 3 2 5 2" xfId="3297"/>
    <cellStyle name="标题 3 2 6" xfId="3298"/>
    <cellStyle name="标题 3 2 7" xfId="8732"/>
    <cellStyle name="标题 3 2 8" xfId="8925"/>
    <cellStyle name="标题 3 2 9" xfId="8966"/>
    <cellStyle name="标题 3 3" xfId="3299"/>
    <cellStyle name="标题 3 3 2" xfId="3300"/>
    <cellStyle name="标题 3 3 2 2" xfId="3301"/>
    <cellStyle name="标题 3 3 2 2 2" xfId="3302"/>
    <cellStyle name="标题 3 3 2 2 2 2" xfId="3303"/>
    <cellStyle name="标题 3 3 2 2 3" xfId="3304"/>
    <cellStyle name="标题 3 3 2 3" xfId="3305"/>
    <cellStyle name="标题 3 3 2 3 2" xfId="3306"/>
    <cellStyle name="标题 3 3 2 4" xfId="3307"/>
    <cellStyle name="标题 3 3 2 4 2" xfId="3308"/>
    <cellStyle name="标题 3 3 2 5" xfId="3309"/>
    <cellStyle name="标题 3 3 2 6" xfId="8735"/>
    <cellStyle name="标题 3 3 3" xfId="3310"/>
    <cellStyle name="标题 3 3 3 2" xfId="3311"/>
    <cellStyle name="标题 3 3 3 2 2" xfId="3312"/>
    <cellStyle name="标题 3 3 3 3" xfId="3313"/>
    <cellStyle name="标题 3 3 4" xfId="3314"/>
    <cellStyle name="标题 3 3 4 2" xfId="3315"/>
    <cellStyle name="标题 3 3 5" xfId="3316"/>
    <cellStyle name="标题 3 3 5 2" xfId="3317"/>
    <cellStyle name="标题 3 3 6" xfId="3318"/>
    <cellStyle name="标题 3 3 7" xfId="8734"/>
    <cellStyle name="标题 3 4" xfId="3319"/>
    <cellStyle name="标题 3 4 2" xfId="3320"/>
    <cellStyle name="标题 3 4 2 2" xfId="3321"/>
    <cellStyle name="标题 3 4 2 2 2" xfId="3322"/>
    <cellStyle name="标题 3 4 2 2 2 2" xfId="3323"/>
    <cellStyle name="标题 3 4 2 2 3" xfId="3324"/>
    <cellStyle name="标题 3 4 2 3" xfId="3325"/>
    <cellStyle name="标题 3 4 2 3 2" xfId="3326"/>
    <cellStyle name="标题 3 4 2 4" xfId="3327"/>
    <cellStyle name="标题 3 4 2 4 2" xfId="3328"/>
    <cellStyle name="标题 3 4 2 5" xfId="3329"/>
    <cellStyle name="标题 3 4 2 6" xfId="8737"/>
    <cellStyle name="标题 3 4 3" xfId="3330"/>
    <cellStyle name="标题 3 4 3 2" xfId="3331"/>
    <cellStyle name="标题 3 4 3 2 2" xfId="3332"/>
    <cellStyle name="标题 3 4 3 3" xfId="3333"/>
    <cellStyle name="标题 3 4 4" xfId="3334"/>
    <cellStyle name="标题 3 4 4 2" xfId="3335"/>
    <cellStyle name="标题 3 4 5" xfId="3336"/>
    <cellStyle name="标题 3 4 5 2" xfId="3337"/>
    <cellStyle name="标题 3 4 6" xfId="3338"/>
    <cellStyle name="标题 3 4 7" xfId="8736"/>
    <cellStyle name="标题 3 5" xfId="3339"/>
    <cellStyle name="标题 3 5 2" xfId="3340"/>
    <cellStyle name="标题 3 5 2 2" xfId="3341"/>
    <cellStyle name="标题 3 5 2 2 2" xfId="3342"/>
    <cellStyle name="标题 3 5 2 3" xfId="3343"/>
    <cellStyle name="标题 3 5 3" xfId="3344"/>
    <cellStyle name="标题 3 5 3 2" xfId="3345"/>
    <cellStyle name="标题 3 5 4" xfId="3346"/>
    <cellStyle name="标题 3 5 4 2" xfId="3347"/>
    <cellStyle name="标题 3 5 5" xfId="3348"/>
    <cellStyle name="标题 3 6" xfId="3349"/>
    <cellStyle name="标题 3 6 2" xfId="3350"/>
    <cellStyle name="标题 3 6 2 2" xfId="3351"/>
    <cellStyle name="标题 3 6 2 2 2" xfId="3352"/>
    <cellStyle name="标题 3 6 2 3" xfId="3353"/>
    <cellStyle name="标题 3 6 3" xfId="3354"/>
    <cellStyle name="标题 3 6 3 2" xfId="3355"/>
    <cellStyle name="标题 3 6 4" xfId="3356"/>
    <cellStyle name="标题 3 6 4 2" xfId="3357"/>
    <cellStyle name="标题 3 6 5" xfId="3358"/>
    <cellStyle name="标题 4 2" xfId="3359"/>
    <cellStyle name="标题 4 2 2" xfId="3360"/>
    <cellStyle name="标题 4 2 2 2" xfId="3361"/>
    <cellStyle name="标题 4 2 2 2 2" xfId="3362"/>
    <cellStyle name="标题 4 2 2 2 2 2" xfId="3363"/>
    <cellStyle name="标题 4 2 2 2 3" xfId="3364"/>
    <cellStyle name="标题 4 2 2 3" xfId="3365"/>
    <cellStyle name="标题 4 2 2 3 2" xfId="3366"/>
    <cellStyle name="标题 4 2 2 4" xfId="3367"/>
    <cellStyle name="标题 4 2 2 4 2" xfId="3368"/>
    <cellStyle name="标题 4 2 2 5" xfId="3369"/>
    <cellStyle name="标题 4 2 2 6" xfId="8739"/>
    <cellStyle name="标题 4 2 3" xfId="3370"/>
    <cellStyle name="标题 4 2 3 2" xfId="3371"/>
    <cellStyle name="标题 4 2 3 2 2" xfId="3372"/>
    <cellStyle name="标题 4 2 3 3" xfId="3373"/>
    <cellStyle name="标题 4 2 4" xfId="3374"/>
    <cellStyle name="标题 4 2 4 2" xfId="3375"/>
    <cellStyle name="标题 4 2 5" xfId="3376"/>
    <cellStyle name="标题 4 2 5 2" xfId="3377"/>
    <cellStyle name="标题 4 2 6" xfId="3378"/>
    <cellStyle name="标题 4 2 7" xfId="8738"/>
    <cellStyle name="标题 4 2 8" xfId="8926"/>
    <cellStyle name="标题 4 2 9" xfId="8967"/>
    <cellStyle name="标题 4 3" xfId="3379"/>
    <cellStyle name="标题 4 3 2" xfId="3380"/>
    <cellStyle name="标题 4 3 2 2" xfId="3381"/>
    <cellStyle name="标题 4 3 2 2 2" xfId="3382"/>
    <cellStyle name="标题 4 3 2 2 2 2" xfId="3383"/>
    <cellStyle name="标题 4 3 2 2 3" xfId="3384"/>
    <cellStyle name="标题 4 3 2 3" xfId="3385"/>
    <cellStyle name="标题 4 3 2 3 2" xfId="3386"/>
    <cellStyle name="标题 4 3 2 4" xfId="3387"/>
    <cellStyle name="标题 4 3 2 4 2" xfId="3388"/>
    <cellStyle name="标题 4 3 2 5" xfId="3389"/>
    <cellStyle name="标题 4 3 2 6" xfId="8741"/>
    <cellStyle name="标题 4 3 3" xfId="3390"/>
    <cellStyle name="标题 4 3 3 2" xfId="3391"/>
    <cellStyle name="标题 4 3 3 2 2" xfId="3392"/>
    <cellStyle name="标题 4 3 3 3" xfId="3393"/>
    <cellStyle name="标题 4 3 4" xfId="3394"/>
    <cellStyle name="标题 4 3 4 2" xfId="3395"/>
    <cellStyle name="标题 4 3 5" xfId="3396"/>
    <cellStyle name="标题 4 3 5 2" xfId="3397"/>
    <cellStyle name="标题 4 3 6" xfId="3398"/>
    <cellStyle name="标题 4 3 7" xfId="8740"/>
    <cellStyle name="标题 4 4" xfId="3399"/>
    <cellStyle name="标题 4 4 2" xfId="3400"/>
    <cellStyle name="标题 4 4 2 2" xfId="3401"/>
    <cellStyle name="标题 4 4 2 2 2" xfId="3402"/>
    <cellStyle name="标题 4 4 2 2 2 2" xfId="3403"/>
    <cellStyle name="标题 4 4 2 2 3" xfId="3404"/>
    <cellStyle name="标题 4 4 2 3" xfId="3405"/>
    <cellStyle name="标题 4 4 2 3 2" xfId="3406"/>
    <cellStyle name="标题 4 4 2 4" xfId="3407"/>
    <cellStyle name="标题 4 4 2 4 2" xfId="3408"/>
    <cellStyle name="标题 4 4 2 5" xfId="3409"/>
    <cellStyle name="标题 4 4 2 6" xfId="8743"/>
    <cellStyle name="标题 4 4 3" xfId="3410"/>
    <cellStyle name="标题 4 4 3 2" xfId="3411"/>
    <cellStyle name="标题 4 4 3 2 2" xfId="3412"/>
    <cellStyle name="标题 4 4 3 3" xfId="3413"/>
    <cellStyle name="标题 4 4 4" xfId="3414"/>
    <cellStyle name="标题 4 4 4 2" xfId="3415"/>
    <cellStyle name="标题 4 4 5" xfId="3416"/>
    <cellStyle name="标题 4 4 5 2" xfId="3417"/>
    <cellStyle name="标题 4 4 6" xfId="3418"/>
    <cellStyle name="标题 4 4 7" xfId="8742"/>
    <cellStyle name="标题 4 5" xfId="3419"/>
    <cellStyle name="标题 4 5 2" xfId="3420"/>
    <cellStyle name="标题 4 5 2 2" xfId="3421"/>
    <cellStyle name="标题 4 5 2 2 2" xfId="3422"/>
    <cellStyle name="标题 4 5 2 3" xfId="3423"/>
    <cellStyle name="标题 4 5 3" xfId="3424"/>
    <cellStyle name="标题 4 5 3 2" xfId="3425"/>
    <cellStyle name="标题 4 5 4" xfId="3426"/>
    <cellStyle name="标题 4 5 4 2" xfId="3427"/>
    <cellStyle name="标题 4 5 5" xfId="3428"/>
    <cellStyle name="标题 4 6" xfId="3429"/>
    <cellStyle name="标题 4 6 2" xfId="3430"/>
    <cellStyle name="标题 4 6 2 2" xfId="3431"/>
    <cellStyle name="标题 4 6 2 2 2" xfId="3432"/>
    <cellStyle name="标题 4 6 2 3" xfId="3433"/>
    <cellStyle name="标题 4 6 3" xfId="3434"/>
    <cellStyle name="标题 4 6 3 2" xfId="3435"/>
    <cellStyle name="标题 4 6 4" xfId="3436"/>
    <cellStyle name="标题 4 6 4 2" xfId="3437"/>
    <cellStyle name="标题 4 6 5" xfId="3438"/>
    <cellStyle name="标题 5" xfId="3439"/>
    <cellStyle name="标题 5 2" xfId="3440"/>
    <cellStyle name="标题 5 2 2" xfId="3441"/>
    <cellStyle name="标题 5 2 2 2" xfId="3442"/>
    <cellStyle name="标题 5 2 2 2 2" xfId="3443"/>
    <cellStyle name="标题 5 2 2 3" xfId="3444"/>
    <cellStyle name="标题 5 2 3" xfId="3445"/>
    <cellStyle name="标题 5 2 3 2" xfId="3446"/>
    <cellStyle name="标题 5 2 4" xfId="3447"/>
    <cellStyle name="标题 5 2 4 2" xfId="3448"/>
    <cellStyle name="标题 5 2 5" xfId="3449"/>
    <cellStyle name="标题 5 2 6" xfId="8745"/>
    <cellStyle name="标题 5 3" xfId="3450"/>
    <cellStyle name="标题 5 3 2" xfId="3451"/>
    <cellStyle name="标题 5 3 2 2" xfId="3452"/>
    <cellStyle name="标题 5 3 3" xfId="3453"/>
    <cellStyle name="标题 5 4" xfId="3454"/>
    <cellStyle name="标题 5 4 2" xfId="3455"/>
    <cellStyle name="标题 5 5" xfId="3456"/>
    <cellStyle name="标题 5 5 2" xfId="3457"/>
    <cellStyle name="标题 5 6" xfId="3458"/>
    <cellStyle name="标题 5 7" xfId="8744"/>
    <cellStyle name="标题 5 8" xfId="8922"/>
    <cellStyle name="标题 5 9" xfId="8968"/>
    <cellStyle name="标题 6" xfId="3459"/>
    <cellStyle name="标题 6 2" xfId="3460"/>
    <cellStyle name="标题 6 2 2" xfId="3461"/>
    <cellStyle name="标题 6 2 2 2" xfId="3462"/>
    <cellStyle name="标题 6 2 2 2 2" xfId="3463"/>
    <cellStyle name="标题 6 2 2 3" xfId="3464"/>
    <cellStyle name="标题 6 2 3" xfId="3465"/>
    <cellStyle name="标题 6 2 3 2" xfId="3466"/>
    <cellStyle name="标题 6 2 4" xfId="3467"/>
    <cellStyle name="标题 6 2 4 2" xfId="3468"/>
    <cellStyle name="标题 6 2 5" xfId="3469"/>
    <cellStyle name="标题 6 2 6" xfId="8747"/>
    <cellStyle name="标题 6 3" xfId="3470"/>
    <cellStyle name="标题 6 3 2" xfId="3471"/>
    <cellStyle name="标题 6 3 2 2" xfId="3472"/>
    <cellStyle name="标题 6 3 3" xfId="3473"/>
    <cellStyle name="标题 6 4" xfId="3474"/>
    <cellStyle name="标题 6 4 2" xfId="3475"/>
    <cellStyle name="标题 6 5" xfId="3476"/>
    <cellStyle name="标题 6 5 2" xfId="3477"/>
    <cellStyle name="标题 6 6" xfId="3478"/>
    <cellStyle name="标题 6 7" xfId="8746"/>
    <cellStyle name="标题 7" xfId="3479"/>
    <cellStyle name="标题 7 2" xfId="3480"/>
    <cellStyle name="标题 7 2 2" xfId="3481"/>
    <cellStyle name="标题 7 2 2 2" xfId="3482"/>
    <cellStyle name="标题 7 2 2 2 2" xfId="3483"/>
    <cellStyle name="标题 7 2 2 3" xfId="3484"/>
    <cellStyle name="标题 7 2 3" xfId="3485"/>
    <cellStyle name="标题 7 2 3 2" xfId="3486"/>
    <cellStyle name="标题 7 2 4" xfId="3487"/>
    <cellStyle name="标题 7 2 4 2" xfId="3488"/>
    <cellStyle name="标题 7 2 5" xfId="3489"/>
    <cellStyle name="标题 7 2 6" xfId="8749"/>
    <cellStyle name="标题 7 3" xfId="3490"/>
    <cellStyle name="标题 7 3 2" xfId="3491"/>
    <cellStyle name="标题 7 3 2 2" xfId="3492"/>
    <cellStyle name="标题 7 3 3" xfId="3493"/>
    <cellStyle name="标题 7 4" xfId="3494"/>
    <cellStyle name="标题 7 4 2" xfId="3495"/>
    <cellStyle name="标题 7 5" xfId="3496"/>
    <cellStyle name="标题 7 5 2" xfId="3497"/>
    <cellStyle name="标题 7 6" xfId="3498"/>
    <cellStyle name="标题 7 7" xfId="8748"/>
    <cellStyle name="标题 8" xfId="3499"/>
    <cellStyle name="标题 8 2" xfId="3500"/>
    <cellStyle name="标题 8 2 2" xfId="3501"/>
    <cellStyle name="标题 8 2 2 2" xfId="3502"/>
    <cellStyle name="标题 8 2 3" xfId="3503"/>
    <cellStyle name="标题 8 3" xfId="3504"/>
    <cellStyle name="标题 8 3 2" xfId="3505"/>
    <cellStyle name="标题 8 4" xfId="3506"/>
    <cellStyle name="标题 8 4 2" xfId="3507"/>
    <cellStyle name="标题 8 5" xfId="3508"/>
    <cellStyle name="标题 9" xfId="3509"/>
    <cellStyle name="标题 9 2" xfId="3510"/>
    <cellStyle name="标题 9 2 2" xfId="3511"/>
    <cellStyle name="标题 9 2 2 2" xfId="3512"/>
    <cellStyle name="标题 9 2 3" xfId="3513"/>
    <cellStyle name="标题 9 3" xfId="3514"/>
    <cellStyle name="标题 9 3 2" xfId="3515"/>
    <cellStyle name="标题 9 4" xfId="3516"/>
    <cellStyle name="标题 9 4 2" xfId="3517"/>
    <cellStyle name="标题 9 5" xfId="3518"/>
    <cellStyle name="差 2" xfId="3519"/>
    <cellStyle name="差 2 2" xfId="3520"/>
    <cellStyle name="差 2 2 2" xfId="3521"/>
    <cellStyle name="差 2 2 2 2" xfId="3522"/>
    <cellStyle name="差 2 2 2 2 2" xfId="3523"/>
    <cellStyle name="差 2 2 2 3" xfId="3524"/>
    <cellStyle name="差 2 2 3" xfId="3525"/>
    <cellStyle name="差 2 2 3 2" xfId="3526"/>
    <cellStyle name="差 2 2 4" xfId="3527"/>
    <cellStyle name="差 2 2 4 2" xfId="3528"/>
    <cellStyle name="差 2 2 5" xfId="3529"/>
    <cellStyle name="差 2 2 6" xfId="8751"/>
    <cellStyle name="差 2 3" xfId="3530"/>
    <cellStyle name="差 2 3 2" xfId="3531"/>
    <cellStyle name="差 2 3 2 2" xfId="3532"/>
    <cellStyle name="差 2 3 3" xfId="3533"/>
    <cellStyle name="差 2 4" xfId="3534"/>
    <cellStyle name="差 2 4 2" xfId="3535"/>
    <cellStyle name="差 2 5" xfId="3536"/>
    <cellStyle name="差 2 5 2" xfId="3537"/>
    <cellStyle name="差 2 6" xfId="3538"/>
    <cellStyle name="差 2 7" xfId="8750"/>
    <cellStyle name="差 2 8" xfId="8927"/>
    <cellStyle name="差 2 9" xfId="8969"/>
    <cellStyle name="差 3" xfId="3539"/>
    <cellStyle name="差 3 2" xfId="3540"/>
    <cellStyle name="差 3 2 2" xfId="3541"/>
    <cellStyle name="差 3 2 2 2" xfId="3542"/>
    <cellStyle name="差 3 2 2 2 2" xfId="3543"/>
    <cellStyle name="差 3 2 2 3" xfId="3544"/>
    <cellStyle name="差 3 2 3" xfId="3545"/>
    <cellStyle name="差 3 2 3 2" xfId="3546"/>
    <cellStyle name="差 3 2 4" xfId="3547"/>
    <cellStyle name="差 3 2 4 2" xfId="3548"/>
    <cellStyle name="差 3 2 5" xfId="3549"/>
    <cellStyle name="差 3 2 6" xfId="8753"/>
    <cellStyle name="差 3 3" xfId="3550"/>
    <cellStyle name="差 3 3 2" xfId="3551"/>
    <cellStyle name="差 3 3 2 2" xfId="3552"/>
    <cellStyle name="差 3 3 3" xfId="3553"/>
    <cellStyle name="差 3 4" xfId="3554"/>
    <cellStyle name="差 3 4 2" xfId="3555"/>
    <cellStyle name="差 3 5" xfId="3556"/>
    <cellStyle name="差 3 5 2" xfId="3557"/>
    <cellStyle name="差 3 6" xfId="3558"/>
    <cellStyle name="差 3 7" xfId="8752"/>
    <cellStyle name="差 4" xfId="3559"/>
    <cellStyle name="差 4 2" xfId="3560"/>
    <cellStyle name="差 4 2 2" xfId="3561"/>
    <cellStyle name="差 4 2 2 2" xfId="3562"/>
    <cellStyle name="差 4 2 2 2 2" xfId="3563"/>
    <cellStyle name="差 4 2 2 3" xfId="3564"/>
    <cellStyle name="差 4 2 3" xfId="3565"/>
    <cellStyle name="差 4 2 3 2" xfId="3566"/>
    <cellStyle name="差 4 2 4" xfId="3567"/>
    <cellStyle name="差 4 2 4 2" xfId="3568"/>
    <cellStyle name="差 4 2 5" xfId="3569"/>
    <cellStyle name="差 4 2 6" xfId="8755"/>
    <cellStyle name="差 4 3" xfId="3570"/>
    <cellStyle name="差 4 3 2" xfId="3571"/>
    <cellStyle name="差 4 3 2 2" xfId="3572"/>
    <cellStyle name="差 4 3 3" xfId="3573"/>
    <cellStyle name="差 4 4" xfId="3574"/>
    <cellStyle name="差 4 4 2" xfId="3575"/>
    <cellStyle name="差 4 5" xfId="3576"/>
    <cellStyle name="差 4 5 2" xfId="3577"/>
    <cellStyle name="差 4 6" xfId="3578"/>
    <cellStyle name="差 4 7" xfId="8754"/>
    <cellStyle name="差 5" xfId="3579"/>
    <cellStyle name="差 5 2" xfId="3580"/>
    <cellStyle name="差 5 2 2" xfId="3581"/>
    <cellStyle name="差 5 2 2 2" xfId="3582"/>
    <cellStyle name="差 5 2 3" xfId="3583"/>
    <cellStyle name="差 5 3" xfId="3584"/>
    <cellStyle name="差 5 3 2" xfId="3585"/>
    <cellStyle name="差 5 4" xfId="3586"/>
    <cellStyle name="差 5 4 2" xfId="3587"/>
    <cellStyle name="差 5 5" xfId="3588"/>
    <cellStyle name="差 6" xfId="3589"/>
    <cellStyle name="差 6 2" xfId="3590"/>
    <cellStyle name="差 6 2 2" xfId="3591"/>
    <cellStyle name="差 6 2 2 2" xfId="3592"/>
    <cellStyle name="差 6 2 3" xfId="3593"/>
    <cellStyle name="差 6 3" xfId="3594"/>
    <cellStyle name="差 6 3 2" xfId="3595"/>
    <cellStyle name="差 6 4" xfId="3596"/>
    <cellStyle name="差 6 4 2" xfId="3597"/>
    <cellStyle name="差 6 5" xfId="3598"/>
    <cellStyle name="差 7" xfId="3599"/>
    <cellStyle name="差 7 2" xfId="3600"/>
    <cellStyle name="差 7 2 2" xfId="3601"/>
    <cellStyle name="差 7 2 2 2" xfId="3602"/>
    <cellStyle name="差 7 2 3" xfId="3603"/>
    <cellStyle name="差 7 3" xfId="3604"/>
    <cellStyle name="差 7 3 2" xfId="3605"/>
    <cellStyle name="差 7 4" xfId="3606"/>
    <cellStyle name="差 7 4 2" xfId="3607"/>
    <cellStyle name="差 7 5" xfId="3608"/>
    <cellStyle name="差_2013见习培训经费表下半年(chen)2014年9月" xfId="3609"/>
    <cellStyle name="差_2013见习培训经费表下半年(chen)2014年9月 2" xfId="3610"/>
    <cellStyle name="差_2013见习培训经费表下半年(chen)2014年9月 2 2" xfId="3611"/>
    <cellStyle name="差_2013见习培训经费表下半年(chen)2014年9月 2 2 2" xfId="3612"/>
    <cellStyle name="差_2013见习培训经费表下半年(chen)2014年9月 2 2 2 2" xfId="3613"/>
    <cellStyle name="差_2013见习培训经费表下半年(chen)2014年9月 2 2 2 2 2" xfId="3614"/>
    <cellStyle name="差_2013见习培训经费表下半年(chen)2014年9月 2 2 2 3" xfId="3615"/>
    <cellStyle name="差_2013见习培训经费表下半年(chen)2014年9月 2 2 3" xfId="3616"/>
    <cellStyle name="差_2013见习培训经费表下半年(chen)2014年9月 2 2 3 2" xfId="3617"/>
    <cellStyle name="差_2013见习培训经费表下半年(chen)2014年9月 2 2 4" xfId="3618"/>
    <cellStyle name="差_2013见习培训经费表下半年(chen)2014年9月 2 2 4 2" xfId="3619"/>
    <cellStyle name="差_2013见习培训经费表下半年(chen)2014年9月 2 2 5" xfId="3620"/>
    <cellStyle name="差_2013见习培训经费表下半年(chen)2014年9月 2 3" xfId="3621"/>
    <cellStyle name="差_2013见习培训经费表下半年(chen)2014年9月 2 3 2" xfId="3622"/>
    <cellStyle name="差_2013见习培训经费表下半年(chen)2014年9月 2 3 2 2" xfId="3623"/>
    <cellStyle name="差_2013见习培训经费表下半年(chen)2014年9月 2 3 3" xfId="3624"/>
    <cellStyle name="差_2013见习培训经费表下半年(chen)2014年9月 2 4" xfId="3625"/>
    <cellStyle name="差_2013见习培训经费表下半年(chen)2014年9月 2 4 2" xfId="3626"/>
    <cellStyle name="差_2013见习培训经费表下半年(chen)2014年9月 2 5" xfId="3627"/>
    <cellStyle name="差_2013见习培训经费表下半年(chen)2014年9月 2 5 2" xfId="3628"/>
    <cellStyle name="差_2013见习培训经费表下半年(chen)2014年9月 2 6" xfId="3629"/>
    <cellStyle name="差_2013见习培训经费表下半年(chen)2014年9月 3" xfId="3630"/>
    <cellStyle name="差_2013见习培训经费表下半年(chen)2014年9月 3 2" xfId="3631"/>
    <cellStyle name="差_2013见习培训经费表下半年(chen)2014年9月 3 2 2" xfId="3632"/>
    <cellStyle name="差_2013见习培训经费表下半年(chen)2014年9月 3 2 2 2" xfId="3633"/>
    <cellStyle name="差_2013见习培训经费表下半年(chen)2014年9月 3 2 3" xfId="3634"/>
    <cellStyle name="差_2013见习培训经费表下半年(chen)2014年9月 3 3" xfId="3635"/>
    <cellStyle name="差_2013见习培训经费表下半年(chen)2014年9月 3 3 2" xfId="3636"/>
    <cellStyle name="差_2013见习培训经费表下半年(chen)2014年9月 3 4" xfId="3637"/>
    <cellStyle name="差_2013见习培训经费表下半年(chen)2014年9月 3 4 2" xfId="3638"/>
    <cellStyle name="差_2013见习培训经费表下半年(chen)2014年9月 3 5" xfId="3639"/>
    <cellStyle name="差_2013见习培训经费表下半年(chen)2014年9月 4" xfId="3640"/>
    <cellStyle name="差_2013见习培训经费表下半年(chen)2014年9月 4 2" xfId="3641"/>
    <cellStyle name="差_2013见习培训经费表下半年(chen)2014年9月 4 2 2" xfId="3642"/>
    <cellStyle name="差_2013见习培训经费表下半年(chen)2014年9月 4 2 2 2" xfId="3643"/>
    <cellStyle name="差_2013见习培训经费表下半年(chen)2014年9月 4 2 3" xfId="3644"/>
    <cellStyle name="差_2013见习培训经费表下半年(chen)2014年9月 4 3" xfId="3645"/>
    <cellStyle name="差_2013见习培训经费表下半年(chen)2014年9月 4 3 2" xfId="3646"/>
    <cellStyle name="差_2013见习培训经费表下半年(chen)2014年9月 4 4" xfId="3647"/>
    <cellStyle name="差_2013见习培训经费表下半年(chen)2014年9月 4 4 2" xfId="3648"/>
    <cellStyle name="差_2013见习培训经费表下半年(chen)2014年9月 4 5" xfId="3649"/>
    <cellStyle name="差_2013见习培训经费表下半年(chen)2014年9月 5" xfId="3650"/>
    <cellStyle name="差_2013见习培训经费表下半年(chen)2014年9月 5 2" xfId="3651"/>
    <cellStyle name="差_2013见习培训经费表下半年(chen)2014年9月 5 2 2" xfId="3652"/>
    <cellStyle name="差_2013见习培训经费表下半年(chen)2014年9月 5 3" xfId="3653"/>
    <cellStyle name="差_2013见习培训经费表下半年(chen)2014年9月 6" xfId="3654"/>
    <cellStyle name="差_2013见习培训经费表下半年(chen)2014年9月 6 2" xfId="3655"/>
    <cellStyle name="差_2013见习培训经费表下半年(chen)2014年9月 7" xfId="3656"/>
    <cellStyle name="差_2013见习培训经费表下半年(chen)2014年9月 7 2" xfId="3657"/>
    <cellStyle name="差_2013见习培训经费表下半年(chen)2014年9月 8" xfId="3658"/>
    <cellStyle name="差_2013见习培训经费表下半年(chen)2014年9月 8 2" xfId="3659"/>
    <cellStyle name="差_2013见习培训经费表下半年(chen)2014年9月 9" xfId="3660"/>
    <cellStyle name="差_2014年聘用学校导师带教经费表" xfId="3661"/>
    <cellStyle name="差_2014年聘用学校导师带教经费表 10" xfId="3662"/>
    <cellStyle name="差_2014年聘用学校导师带教经费表 10 2" xfId="3663"/>
    <cellStyle name="差_2014年聘用学校导师带教经费表 11" xfId="3664"/>
    <cellStyle name="差_2014年聘用学校导师带教经费表 2" xfId="3665"/>
    <cellStyle name="差_2014年聘用学校导师带教经费表 2 2" xfId="3666"/>
    <cellStyle name="差_2014年聘用学校导师带教经费表 2 2 2" xfId="3667"/>
    <cellStyle name="差_2014年聘用学校导师带教经费表 2 2 2 2" xfId="3668"/>
    <cellStyle name="差_2014年聘用学校导师带教经费表 2 2 2 2 2" xfId="3669"/>
    <cellStyle name="差_2014年聘用学校导师带教经费表 2 2 2 3" xfId="3670"/>
    <cellStyle name="差_2014年聘用学校导师带教经费表 2 2 3" xfId="3671"/>
    <cellStyle name="差_2014年聘用学校导师带教经费表 2 2 3 2" xfId="3672"/>
    <cellStyle name="差_2014年聘用学校导师带教经费表 2 2 4" xfId="3673"/>
    <cellStyle name="差_2014年聘用学校导师带教经费表 2 2 4 2" xfId="3674"/>
    <cellStyle name="差_2014年聘用学校导师带教经费表 2 2 5" xfId="3675"/>
    <cellStyle name="差_2014年聘用学校导师带教经费表 2 3" xfId="3676"/>
    <cellStyle name="差_2014年聘用学校导师带教经费表 2 3 2" xfId="3677"/>
    <cellStyle name="差_2014年聘用学校导师带教经费表 2 3 2 2" xfId="3678"/>
    <cellStyle name="差_2014年聘用学校导师带教经费表 2 3 3" xfId="3679"/>
    <cellStyle name="差_2014年聘用学校导师带教经费表 2 4" xfId="3680"/>
    <cellStyle name="差_2014年聘用学校导师带教经费表 2 4 2" xfId="3681"/>
    <cellStyle name="差_2014年聘用学校导师带教经费表 2 5" xfId="3682"/>
    <cellStyle name="差_2014年聘用学校导师带教经费表 2 5 2" xfId="3683"/>
    <cellStyle name="差_2014年聘用学校导师带教经费表 2 6" xfId="3684"/>
    <cellStyle name="差_2014年聘用学校导师带教经费表 3" xfId="3685"/>
    <cellStyle name="差_2014年聘用学校导师带教经费表 3 2" xfId="3686"/>
    <cellStyle name="差_2014年聘用学校导师带教经费表 3 2 2" xfId="3687"/>
    <cellStyle name="差_2014年聘用学校导师带教经费表 3 2 2 2" xfId="3688"/>
    <cellStyle name="差_2014年聘用学校导师带教经费表 3 2 2 2 2" xfId="3689"/>
    <cellStyle name="差_2014年聘用学校导师带教经费表 3 2 2 3" xfId="3690"/>
    <cellStyle name="差_2014年聘用学校导师带教经费表 3 2 3" xfId="3691"/>
    <cellStyle name="差_2014年聘用学校导师带教经费表 3 2 3 2" xfId="3692"/>
    <cellStyle name="差_2014年聘用学校导师带教经费表 3 2 4" xfId="3693"/>
    <cellStyle name="差_2014年聘用学校导师带教经费表 3 2 4 2" xfId="3694"/>
    <cellStyle name="差_2014年聘用学校导师带教经费表 3 2 5" xfId="3695"/>
    <cellStyle name="差_2014年聘用学校导师带教经费表 3 3" xfId="3696"/>
    <cellStyle name="差_2014年聘用学校导师带教经费表 3 3 2" xfId="3697"/>
    <cellStyle name="差_2014年聘用学校导师带教经费表 3 3 2 2" xfId="3698"/>
    <cellStyle name="差_2014年聘用学校导师带教经费表 3 3 3" xfId="3699"/>
    <cellStyle name="差_2014年聘用学校导师带教经费表 3 4" xfId="3700"/>
    <cellStyle name="差_2014年聘用学校导师带教经费表 3 4 2" xfId="3701"/>
    <cellStyle name="差_2014年聘用学校导师带教经费表 3 5" xfId="3702"/>
    <cellStyle name="差_2014年聘用学校导师带教经费表 3 5 2" xfId="3703"/>
    <cellStyle name="差_2014年聘用学校导师带教经费表 3 6" xfId="3704"/>
    <cellStyle name="差_2014年聘用学校导师带教经费表 4" xfId="3705"/>
    <cellStyle name="差_2014年聘用学校导师带教经费表 4 2" xfId="3706"/>
    <cellStyle name="差_2014年聘用学校导师带教经费表 4 2 2" xfId="3707"/>
    <cellStyle name="差_2014年聘用学校导师带教经费表 4 2 2 2" xfId="3708"/>
    <cellStyle name="差_2014年聘用学校导师带教经费表 4 2 2 2 2" xfId="3709"/>
    <cellStyle name="差_2014年聘用学校导师带教经费表 4 2 2 3" xfId="3710"/>
    <cellStyle name="差_2014年聘用学校导师带教经费表 4 2 3" xfId="3711"/>
    <cellStyle name="差_2014年聘用学校导师带教经费表 4 2 3 2" xfId="3712"/>
    <cellStyle name="差_2014年聘用学校导师带教经费表 4 2 4" xfId="3713"/>
    <cellStyle name="差_2014年聘用学校导师带教经费表 4 2 4 2" xfId="3714"/>
    <cellStyle name="差_2014年聘用学校导师带教经费表 4 2 5" xfId="3715"/>
    <cellStyle name="差_2014年聘用学校导师带教经费表 4 3" xfId="3716"/>
    <cellStyle name="差_2014年聘用学校导师带教经费表 4 3 2" xfId="3717"/>
    <cellStyle name="差_2014年聘用学校导师带教经费表 4 3 2 2" xfId="3718"/>
    <cellStyle name="差_2014年聘用学校导师带教经费表 4 3 3" xfId="3719"/>
    <cellStyle name="差_2014年聘用学校导师带教经费表 4 4" xfId="3720"/>
    <cellStyle name="差_2014年聘用学校导师带教经费表 4 4 2" xfId="3721"/>
    <cellStyle name="差_2014年聘用学校导师带教经费表 4 5" xfId="3722"/>
    <cellStyle name="差_2014年聘用学校导师带教经费表 4 5 2" xfId="3723"/>
    <cellStyle name="差_2014年聘用学校导师带教经费表 4 6" xfId="3724"/>
    <cellStyle name="差_2014年聘用学校导师带教经费表 5" xfId="3725"/>
    <cellStyle name="差_2014年聘用学校导师带教经费表 5 2" xfId="3726"/>
    <cellStyle name="差_2014年聘用学校导师带教经费表 5 2 2" xfId="3727"/>
    <cellStyle name="差_2014年聘用学校导师带教经费表 5 2 2 2" xfId="3728"/>
    <cellStyle name="差_2014年聘用学校导师带教经费表 5 2 3" xfId="3729"/>
    <cellStyle name="差_2014年聘用学校导师带教经费表 5 3" xfId="3730"/>
    <cellStyle name="差_2014年聘用学校导师带教经费表 5 3 2" xfId="3731"/>
    <cellStyle name="差_2014年聘用学校导师带教经费表 5 4" xfId="3732"/>
    <cellStyle name="差_2014年聘用学校导师带教经费表 5 4 2" xfId="3733"/>
    <cellStyle name="差_2014年聘用学校导师带教经费表 5 5" xfId="3734"/>
    <cellStyle name="差_2014年聘用学校导师带教经费表 6" xfId="3735"/>
    <cellStyle name="差_2014年聘用学校导师带教经费表 6 2" xfId="3736"/>
    <cellStyle name="差_2014年聘用学校导师带教经费表 6 2 2" xfId="3737"/>
    <cellStyle name="差_2014年聘用学校导师带教经费表 6 2 2 2" xfId="3738"/>
    <cellStyle name="差_2014年聘用学校导师带教经费表 6 2 3" xfId="3739"/>
    <cellStyle name="差_2014年聘用学校导师带教经费表 6 3" xfId="3740"/>
    <cellStyle name="差_2014年聘用学校导师带教经费表 6 3 2" xfId="3741"/>
    <cellStyle name="差_2014年聘用学校导师带教经费表 6 4" xfId="3742"/>
    <cellStyle name="差_2014年聘用学校导师带教经费表 6 4 2" xfId="3743"/>
    <cellStyle name="差_2014年聘用学校导师带教经费表 6 5" xfId="3744"/>
    <cellStyle name="差_2014年聘用学校导师带教经费表 7" xfId="3745"/>
    <cellStyle name="差_2014年聘用学校导师带教经费表 7 2" xfId="3746"/>
    <cellStyle name="差_2014年聘用学校导师带教经费表 7 2 2" xfId="3747"/>
    <cellStyle name="差_2014年聘用学校导师带教经费表 7 3" xfId="3748"/>
    <cellStyle name="差_2014年聘用学校导师带教经费表 8" xfId="3749"/>
    <cellStyle name="差_2014年聘用学校导师带教经费表 8 2" xfId="3750"/>
    <cellStyle name="差_2014年聘用学校导师带教经费表 9" xfId="3751"/>
    <cellStyle name="差_2014年聘用学校导师带教经费表 9 2" xfId="3752"/>
    <cellStyle name="差_2014年终考核奖完整版-给核算中心" xfId="3753"/>
    <cellStyle name="差_2014年终考核奖完整版-给核算中心 2" xfId="3754"/>
    <cellStyle name="差_2014年终考核奖完整版-给核算中心 2 2" xfId="3755"/>
    <cellStyle name="差_2014年终考核奖完整版-给核算中心 2 2 2" xfId="3756"/>
    <cellStyle name="差_2014年终考核奖完整版-给核算中心 2 2 2 2" xfId="3757"/>
    <cellStyle name="差_2014年终考核奖完整版-给核算中心 2 2 2 2 2" xfId="3758"/>
    <cellStyle name="差_2014年终考核奖完整版-给核算中心 2 2 2 3" xfId="3759"/>
    <cellStyle name="差_2014年终考核奖完整版-给核算中心 2 2 3" xfId="3760"/>
    <cellStyle name="差_2014年终考核奖完整版-给核算中心 2 2 3 2" xfId="3761"/>
    <cellStyle name="差_2014年终考核奖完整版-给核算中心 2 2 4" xfId="3762"/>
    <cellStyle name="差_2014年终考核奖完整版-给核算中心 2 2 4 2" xfId="3763"/>
    <cellStyle name="差_2014年终考核奖完整版-给核算中心 2 2 5" xfId="3764"/>
    <cellStyle name="差_2014年终考核奖完整版-给核算中心 2 3" xfId="3765"/>
    <cellStyle name="差_2014年终考核奖完整版-给核算中心 2 3 2" xfId="3766"/>
    <cellStyle name="差_2014年终考核奖完整版-给核算中心 2 3 2 2" xfId="3767"/>
    <cellStyle name="差_2014年终考核奖完整版-给核算中心 2 3 3" xfId="3768"/>
    <cellStyle name="差_2014年终考核奖完整版-给核算中心 2 4" xfId="3769"/>
    <cellStyle name="差_2014年终考核奖完整版-给核算中心 2 4 2" xfId="3770"/>
    <cellStyle name="差_2014年终考核奖完整版-给核算中心 2 5" xfId="3771"/>
    <cellStyle name="差_2014年终考核奖完整版-给核算中心 2 5 2" xfId="3772"/>
    <cellStyle name="差_2014年终考核奖完整版-给核算中心 2 6" xfId="3773"/>
    <cellStyle name="差_2014年终考核奖完整版-给核算中心 3" xfId="3774"/>
    <cellStyle name="差_2014年终考核奖完整版-给核算中心 3 2" xfId="3775"/>
    <cellStyle name="差_2014年终考核奖完整版-给核算中心 3 2 2" xfId="3776"/>
    <cellStyle name="差_2014年终考核奖完整版-给核算中心 3 2 2 2" xfId="3777"/>
    <cellStyle name="差_2014年终考核奖完整版-给核算中心 3 2 3" xfId="3778"/>
    <cellStyle name="差_2014年终考核奖完整版-给核算中心 3 3" xfId="3779"/>
    <cellStyle name="差_2014年终考核奖完整版-给核算中心 3 3 2" xfId="3780"/>
    <cellStyle name="差_2014年终考核奖完整版-给核算中心 3 4" xfId="3781"/>
    <cellStyle name="差_2014年终考核奖完整版-给核算中心 3 4 2" xfId="3782"/>
    <cellStyle name="差_2014年终考核奖完整版-给核算中心 3 5" xfId="3783"/>
    <cellStyle name="差_2014年终考核奖完整版-给核算中心 4" xfId="3784"/>
    <cellStyle name="差_2014年终考核奖完整版-给核算中心 4 2" xfId="3785"/>
    <cellStyle name="差_2014年终考核奖完整版-给核算中心 4 2 2" xfId="3786"/>
    <cellStyle name="差_2014年终考核奖完整版-给核算中心 4 2 2 2" xfId="3787"/>
    <cellStyle name="差_2014年终考核奖完整版-给核算中心 4 2 3" xfId="3788"/>
    <cellStyle name="差_2014年终考核奖完整版-给核算中心 4 3" xfId="3789"/>
    <cellStyle name="差_2014年终考核奖完整版-给核算中心 4 3 2" xfId="3790"/>
    <cellStyle name="差_2014年终考核奖完整版-给核算中心 4 4" xfId="3791"/>
    <cellStyle name="差_2014年终考核奖完整版-给核算中心 4 4 2" xfId="3792"/>
    <cellStyle name="差_2014年终考核奖完整版-给核算中心 4 5" xfId="3793"/>
    <cellStyle name="差_2014年终考核奖完整版-给核算中心 5" xfId="3794"/>
    <cellStyle name="差_2014年终考核奖完整版-给核算中心 5 2" xfId="3795"/>
    <cellStyle name="差_2014年终考核奖完整版-给核算中心 5 2 2" xfId="3796"/>
    <cellStyle name="差_2014年终考核奖完整版-给核算中心 5 3" xfId="3797"/>
    <cellStyle name="差_2014年终考核奖完整版-给核算中心 6" xfId="3798"/>
    <cellStyle name="差_2014年终考核奖完整版-给核算中心 6 2" xfId="3799"/>
    <cellStyle name="差_2014年终考核奖完整版-给核算中心 7" xfId="3800"/>
    <cellStyle name="差_2014年终考核奖完整版-给核算中心 7 2" xfId="3801"/>
    <cellStyle name="差_2014年终考核奖完整版-给核算中心 8" xfId="3802"/>
    <cellStyle name="差_2014年终考核奖完整版-给核算中心 8 2" xfId="3803"/>
    <cellStyle name="差_2014年终考核奖完整版-给核算中心 9" xfId="3804"/>
    <cellStyle name="差_2014优秀学校奖励测算表" xfId="3805"/>
    <cellStyle name="差_2014优秀学校奖励测算表 2" xfId="3806"/>
    <cellStyle name="差_2014优秀学校奖励测算表 2 2" xfId="3807"/>
    <cellStyle name="差_2014优秀学校奖励测算表 2 2 2" xfId="3808"/>
    <cellStyle name="差_2014优秀学校奖励测算表 2 2 2 2" xfId="3809"/>
    <cellStyle name="差_2014优秀学校奖励测算表 2 2 2 2 2" xfId="3810"/>
    <cellStyle name="差_2014优秀学校奖励测算表 2 2 2 3" xfId="3811"/>
    <cellStyle name="差_2014优秀学校奖励测算表 2 2 3" xfId="3812"/>
    <cellStyle name="差_2014优秀学校奖励测算表 2 2 3 2" xfId="3813"/>
    <cellStyle name="差_2014优秀学校奖励测算表 2 2 4" xfId="3814"/>
    <cellStyle name="差_2014优秀学校奖励测算表 2 2 4 2" xfId="3815"/>
    <cellStyle name="差_2014优秀学校奖励测算表 2 2 5" xfId="3816"/>
    <cellStyle name="差_2014优秀学校奖励测算表 2 3" xfId="3817"/>
    <cellStyle name="差_2014优秀学校奖励测算表 2 3 2" xfId="3818"/>
    <cellStyle name="差_2014优秀学校奖励测算表 2 3 2 2" xfId="3819"/>
    <cellStyle name="差_2014优秀学校奖励测算表 2 3 3" xfId="3820"/>
    <cellStyle name="差_2014优秀学校奖励测算表 2 4" xfId="3821"/>
    <cellStyle name="差_2014优秀学校奖励测算表 2 4 2" xfId="3822"/>
    <cellStyle name="差_2014优秀学校奖励测算表 2 5" xfId="3823"/>
    <cellStyle name="差_2014优秀学校奖励测算表 2 5 2" xfId="3824"/>
    <cellStyle name="差_2014优秀学校奖励测算表 2 6" xfId="3825"/>
    <cellStyle name="差_2014优秀学校奖励测算表 3" xfId="3826"/>
    <cellStyle name="差_2014优秀学校奖励测算表 3 2" xfId="3827"/>
    <cellStyle name="差_2014优秀学校奖励测算表 3 2 2" xfId="3828"/>
    <cellStyle name="差_2014优秀学校奖励测算表 3 2 2 2" xfId="3829"/>
    <cellStyle name="差_2014优秀学校奖励测算表 3 2 3" xfId="3830"/>
    <cellStyle name="差_2014优秀学校奖励测算表 3 3" xfId="3831"/>
    <cellStyle name="差_2014优秀学校奖励测算表 3 3 2" xfId="3832"/>
    <cellStyle name="差_2014优秀学校奖励测算表 3 4" xfId="3833"/>
    <cellStyle name="差_2014优秀学校奖励测算表 3 4 2" xfId="3834"/>
    <cellStyle name="差_2014优秀学校奖励测算表 3 5" xfId="3835"/>
    <cellStyle name="差_2014优秀学校奖励测算表 4" xfId="3836"/>
    <cellStyle name="差_2014优秀学校奖励测算表 4 2" xfId="3837"/>
    <cellStyle name="差_2014优秀学校奖励测算表 4 2 2" xfId="3838"/>
    <cellStyle name="差_2014优秀学校奖励测算表 4 2 2 2" xfId="3839"/>
    <cellStyle name="差_2014优秀学校奖励测算表 4 2 3" xfId="3840"/>
    <cellStyle name="差_2014优秀学校奖励测算表 4 3" xfId="3841"/>
    <cellStyle name="差_2014优秀学校奖励测算表 4 3 2" xfId="3842"/>
    <cellStyle name="差_2014优秀学校奖励测算表 4 4" xfId="3843"/>
    <cellStyle name="差_2014优秀学校奖励测算表 4 4 2" xfId="3844"/>
    <cellStyle name="差_2014优秀学校奖励测算表 4 5" xfId="3845"/>
    <cellStyle name="差_2014优秀学校奖励测算表 5" xfId="3846"/>
    <cellStyle name="差_2014优秀学校奖励测算表 5 2" xfId="3847"/>
    <cellStyle name="差_2014优秀学校奖励测算表 5 2 2" xfId="3848"/>
    <cellStyle name="差_2014优秀学校奖励测算表 5 3" xfId="3849"/>
    <cellStyle name="差_2014优秀学校奖励测算表 6" xfId="3850"/>
    <cellStyle name="差_2014优秀学校奖励测算表 6 2" xfId="3851"/>
    <cellStyle name="差_2014优秀学校奖励测算表 7" xfId="3852"/>
    <cellStyle name="差_2014优秀学校奖励测算表 7 2" xfId="3853"/>
    <cellStyle name="差_2014优秀学校奖励测算表 8" xfId="3854"/>
    <cellStyle name="差_2014优秀学校奖励测算表 8 2" xfId="3855"/>
    <cellStyle name="差_2014优秀学校奖励测算表 9" xfId="3856"/>
    <cellStyle name="差_2015年年终奖预发表-给核算中心" xfId="3857"/>
    <cellStyle name="差_2015年年终奖预发表-给核算中心 2" xfId="3858"/>
    <cellStyle name="差_2015年年终奖预发表-给核算中心 2 2" xfId="3859"/>
    <cellStyle name="差_2015年年终奖预发表-给核算中心 2 2 2" xfId="3860"/>
    <cellStyle name="差_2015年年终奖预发表-给核算中心 2 2 2 2" xfId="3861"/>
    <cellStyle name="差_2015年年终奖预发表-给核算中心 2 2 2 2 2" xfId="3862"/>
    <cellStyle name="差_2015年年终奖预发表-给核算中心 2 2 2 3" xfId="3863"/>
    <cellStyle name="差_2015年年终奖预发表-给核算中心 2 2 3" xfId="3864"/>
    <cellStyle name="差_2015年年终奖预发表-给核算中心 2 2 3 2" xfId="3865"/>
    <cellStyle name="差_2015年年终奖预发表-给核算中心 2 2 4" xfId="3866"/>
    <cellStyle name="差_2015年年终奖预发表-给核算中心 2 2 4 2" xfId="3867"/>
    <cellStyle name="差_2015年年终奖预发表-给核算中心 2 2 5" xfId="3868"/>
    <cellStyle name="差_2015年年终奖预发表-给核算中心 2 3" xfId="3869"/>
    <cellStyle name="差_2015年年终奖预发表-给核算中心 2 3 2" xfId="3870"/>
    <cellStyle name="差_2015年年终奖预发表-给核算中心 2 3 2 2" xfId="3871"/>
    <cellStyle name="差_2015年年终奖预发表-给核算中心 2 3 3" xfId="3872"/>
    <cellStyle name="差_2015年年终奖预发表-给核算中心 2 4" xfId="3873"/>
    <cellStyle name="差_2015年年终奖预发表-给核算中心 2 4 2" xfId="3874"/>
    <cellStyle name="差_2015年年终奖预发表-给核算中心 2 5" xfId="3875"/>
    <cellStyle name="差_2015年年终奖预发表-给核算中心 2 5 2" xfId="3876"/>
    <cellStyle name="差_2015年年终奖预发表-给核算中心 2 6" xfId="3877"/>
    <cellStyle name="差_2015年年终奖预发表-给核算中心 3" xfId="3878"/>
    <cellStyle name="差_2015年年终奖预发表-给核算中心 3 2" xfId="3879"/>
    <cellStyle name="差_2015年年终奖预发表-给核算中心 3 2 2" xfId="3880"/>
    <cellStyle name="差_2015年年终奖预发表-给核算中心 3 2 2 2" xfId="3881"/>
    <cellStyle name="差_2015年年终奖预发表-给核算中心 3 2 3" xfId="3882"/>
    <cellStyle name="差_2015年年终奖预发表-给核算中心 3 3" xfId="3883"/>
    <cellStyle name="差_2015年年终奖预发表-给核算中心 3 3 2" xfId="3884"/>
    <cellStyle name="差_2015年年终奖预发表-给核算中心 3 4" xfId="3885"/>
    <cellStyle name="差_2015年年终奖预发表-给核算中心 3 4 2" xfId="3886"/>
    <cellStyle name="差_2015年年终奖预发表-给核算中心 3 5" xfId="3887"/>
    <cellStyle name="差_2015年年终奖预发表-给核算中心 4" xfId="3888"/>
    <cellStyle name="差_2015年年终奖预发表-给核算中心 4 2" xfId="3889"/>
    <cellStyle name="差_2015年年终奖预发表-给核算中心 4 2 2" xfId="3890"/>
    <cellStyle name="差_2015年年终奖预发表-给核算中心 4 2 2 2" xfId="3891"/>
    <cellStyle name="差_2015年年终奖预发表-给核算中心 4 2 3" xfId="3892"/>
    <cellStyle name="差_2015年年终奖预发表-给核算中心 4 3" xfId="3893"/>
    <cellStyle name="差_2015年年终奖预发表-给核算中心 4 3 2" xfId="3894"/>
    <cellStyle name="差_2015年年终奖预发表-给核算中心 4 4" xfId="3895"/>
    <cellStyle name="差_2015年年终奖预发表-给核算中心 4 4 2" xfId="3896"/>
    <cellStyle name="差_2015年年终奖预发表-给核算中心 4 5" xfId="3897"/>
    <cellStyle name="差_2015年年终奖预发表-给核算中心 5" xfId="3898"/>
    <cellStyle name="差_2015年年终奖预发表-给核算中心 5 2" xfId="3899"/>
    <cellStyle name="差_2015年年终奖预发表-给核算中心 5 2 2" xfId="3900"/>
    <cellStyle name="差_2015年年终奖预发表-给核算中心 5 3" xfId="3901"/>
    <cellStyle name="差_2015年年终奖预发表-给核算中心 6" xfId="3902"/>
    <cellStyle name="差_2015年年终奖预发表-给核算中心 6 2" xfId="3903"/>
    <cellStyle name="差_2015年年终奖预发表-给核算中心 7" xfId="3904"/>
    <cellStyle name="差_2015年年终奖预发表-给核算中心 7 2" xfId="3905"/>
    <cellStyle name="差_2015年年终奖预发表-给核算中心 8" xfId="3906"/>
    <cellStyle name="差_2015年年终奖预发表-给核算中心 8 2" xfId="3907"/>
    <cellStyle name="差_2015年年终奖预发表-给核算中心 9" xfId="3908"/>
    <cellStyle name="差_2016年3月校长职级工资（核算中心）" xfId="3909"/>
    <cellStyle name="差_2016年3月校长职级工资（核算中心） 2" xfId="3910"/>
    <cellStyle name="差_2016年3月校长职级工资（核算中心） 2 2" xfId="3911"/>
    <cellStyle name="差_2016年3月校长职级工资（核算中心） 2 2 2" xfId="3912"/>
    <cellStyle name="差_2016年3月校长职级工资（核算中心） 2 2 2 2" xfId="3913"/>
    <cellStyle name="差_2016年3月校长职级工资（核算中心） 2 2 2 2 2" xfId="3914"/>
    <cellStyle name="差_2016年3月校长职级工资（核算中心） 2 2 2 3" xfId="3915"/>
    <cellStyle name="差_2016年3月校长职级工资（核算中心） 2 2 3" xfId="3916"/>
    <cellStyle name="差_2016年3月校长职级工资（核算中心） 2 2 3 2" xfId="3917"/>
    <cellStyle name="差_2016年3月校长职级工资（核算中心） 2 2 4" xfId="3918"/>
    <cellStyle name="差_2016年3月校长职级工资（核算中心） 2 2 4 2" xfId="3919"/>
    <cellStyle name="差_2016年3月校长职级工资（核算中心） 2 2 5" xfId="3920"/>
    <cellStyle name="差_2016年3月校长职级工资（核算中心） 2 3" xfId="3921"/>
    <cellStyle name="差_2016年3月校长职级工资（核算中心） 2 3 2" xfId="3922"/>
    <cellStyle name="差_2016年3月校长职级工资（核算中心） 2 3 2 2" xfId="3923"/>
    <cellStyle name="差_2016年3月校长职级工资（核算中心） 2 3 3" xfId="3924"/>
    <cellStyle name="差_2016年3月校长职级工资（核算中心） 2 4" xfId="3925"/>
    <cellStyle name="差_2016年3月校长职级工资（核算中心） 2 4 2" xfId="3926"/>
    <cellStyle name="差_2016年3月校长职级工资（核算中心） 2 5" xfId="3927"/>
    <cellStyle name="差_2016年3月校长职级工资（核算中心） 2 5 2" xfId="3928"/>
    <cellStyle name="差_2016年3月校长职级工资（核算中心） 2 6" xfId="3929"/>
    <cellStyle name="差_2016年3月校长职级工资（核算中心） 3" xfId="3930"/>
    <cellStyle name="差_2016年3月校长职级工资（核算中心） 3 2" xfId="3931"/>
    <cellStyle name="差_2016年3月校长职级工资（核算中心） 3 2 2" xfId="3932"/>
    <cellStyle name="差_2016年3月校长职级工资（核算中心） 3 2 2 2" xfId="3933"/>
    <cellStyle name="差_2016年3月校长职级工资（核算中心） 3 2 3" xfId="3934"/>
    <cellStyle name="差_2016年3月校长职级工资（核算中心） 3 3" xfId="3935"/>
    <cellStyle name="差_2016年3月校长职级工资（核算中心） 3 3 2" xfId="3936"/>
    <cellStyle name="差_2016年3月校长职级工资（核算中心） 3 4" xfId="3937"/>
    <cellStyle name="差_2016年3月校长职级工资（核算中心） 3 4 2" xfId="3938"/>
    <cellStyle name="差_2016年3月校长职级工资（核算中心） 3 5" xfId="3939"/>
    <cellStyle name="差_2016年3月校长职级工资（核算中心） 4" xfId="3940"/>
    <cellStyle name="差_2016年3月校长职级工资（核算中心） 4 2" xfId="3941"/>
    <cellStyle name="差_2016年3月校长职级工资（核算中心） 4 2 2" xfId="3942"/>
    <cellStyle name="差_2016年3月校长职级工资（核算中心） 4 2 2 2" xfId="3943"/>
    <cellStyle name="差_2016年3月校长职级工资（核算中心） 4 2 3" xfId="3944"/>
    <cellStyle name="差_2016年3月校长职级工资（核算中心） 4 3" xfId="3945"/>
    <cellStyle name="差_2016年3月校长职级工资（核算中心） 4 3 2" xfId="3946"/>
    <cellStyle name="差_2016年3月校长职级工资（核算中心） 4 4" xfId="3947"/>
    <cellStyle name="差_2016年3月校长职级工资（核算中心） 4 4 2" xfId="3948"/>
    <cellStyle name="差_2016年3月校长职级工资（核算中心） 4 5" xfId="3949"/>
    <cellStyle name="差_2016年3月校长职级工资（核算中心） 5" xfId="3950"/>
    <cellStyle name="差_2016年3月校长职级工资（核算中心） 5 2" xfId="3951"/>
    <cellStyle name="差_2016年3月校长职级工资（核算中心） 5 2 2" xfId="3952"/>
    <cellStyle name="差_2016年3月校长职级工资（核算中心） 5 3" xfId="3953"/>
    <cellStyle name="差_2016年3月校长职级工资（核算中心） 6" xfId="3954"/>
    <cellStyle name="差_2016年3月校长职级工资（核算中心） 6 2" xfId="3955"/>
    <cellStyle name="差_2016年3月校长职级工资（核算中心） 7" xfId="3956"/>
    <cellStyle name="差_2016年3月校长职级工资（核算中心） 7 2" xfId="3957"/>
    <cellStyle name="差_2016年3月校长职级工资（核算中心） 8" xfId="3958"/>
    <cellStyle name="差_2016年3月校长职级工资（核算中心） 8 2" xfId="3959"/>
    <cellStyle name="差_2016年3月校长职级工资（核算中心） 9" xfId="3960"/>
    <cellStyle name="差_2016统计人数汇总表（完稿版）9.12" xfId="3961"/>
    <cellStyle name="差_2016统计人数汇总表（完稿版）9.12 2" xfId="3962"/>
    <cellStyle name="差_2016统计人数汇总表（完稿版）9.12 2 2" xfId="3963"/>
    <cellStyle name="差_2016统计人数汇总表（完稿版）9.12 2 2 2" xfId="3964"/>
    <cellStyle name="差_2016统计人数汇总表（完稿版）9.12 2 2 2 2" xfId="3965"/>
    <cellStyle name="差_2016统计人数汇总表（完稿版）9.12 2 2 2 2 2" xfId="3966"/>
    <cellStyle name="差_2016统计人数汇总表（完稿版）9.12 2 2 2 3" xfId="3967"/>
    <cellStyle name="差_2016统计人数汇总表（完稿版）9.12 2 2 3" xfId="3968"/>
    <cellStyle name="差_2016统计人数汇总表（完稿版）9.12 2 2 3 2" xfId="3969"/>
    <cellStyle name="差_2016统计人数汇总表（完稿版）9.12 2 2 4" xfId="3970"/>
    <cellStyle name="差_2016统计人数汇总表（完稿版）9.12 2 2 4 2" xfId="3971"/>
    <cellStyle name="差_2016统计人数汇总表（完稿版）9.12 2 2 5" xfId="3972"/>
    <cellStyle name="差_2016统计人数汇总表（完稿版）9.12 2 3" xfId="3973"/>
    <cellStyle name="差_2016统计人数汇总表（完稿版）9.12 2 3 2" xfId="3974"/>
    <cellStyle name="差_2016统计人数汇总表（完稿版）9.12 2 3 2 2" xfId="3975"/>
    <cellStyle name="差_2016统计人数汇总表（完稿版）9.12 2 3 3" xfId="3976"/>
    <cellStyle name="差_2016统计人数汇总表（完稿版）9.12 2 4" xfId="3977"/>
    <cellStyle name="差_2016统计人数汇总表（完稿版）9.12 2 4 2" xfId="3978"/>
    <cellStyle name="差_2016统计人数汇总表（完稿版）9.12 2 5" xfId="3979"/>
    <cellStyle name="差_2016统计人数汇总表（完稿版）9.12 2 5 2" xfId="3980"/>
    <cellStyle name="差_2016统计人数汇总表（完稿版）9.12 2 6" xfId="3981"/>
    <cellStyle name="差_2016统计人数汇总表（完稿版）9.12 3" xfId="3982"/>
    <cellStyle name="差_2016统计人数汇总表（完稿版）9.12 3 2" xfId="3983"/>
    <cellStyle name="差_2016统计人数汇总表（完稿版）9.12 3 2 2" xfId="3984"/>
    <cellStyle name="差_2016统计人数汇总表（完稿版）9.12 3 2 2 2" xfId="3985"/>
    <cellStyle name="差_2016统计人数汇总表（完稿版）9.12 3 2 3" xfId="3986"/>
    <cellStyle name="差_2016统计人数汇总表（完稿版）9.12 3 3" xfId="3987"/>
    <cellStyle name="差_2016统计人数汇总表（完稿版）9.12 3 3 2" xfId="3988"/>
    <cellStyle name="差_2016统计人数汇总表（完稿版）9.12 3 4" xfId="3989"/>
    <cellStyle name="差_2016统计人数汇总表（完稿版）9.12 3 4 2" xfId="3990"/>
    <cellStyle name="差_2016统计人数汇总表（完稿版）9.12 3 5" xfId="3991"/>
    <cellStyle name="差_2016统计人数汇总表（完稿版）9.12 4" xfId="3992"/>
    <cellStyle name="差_2016统计人数汇总表（完稿版）9.12 4 2" xfId="3993"/>
    <cellStyle name="差_2016统计人数汇总表（完稿版）9.12 4 2 2" xfId="3994"/>
    <cellStyle name="差_2016统计人数汇总表（完稿版）9.12 4 2 2 2" xfId="3995"/>
    <cellStyle name="差_2016统计人数汇总表（完稿版）9.12 4 2 3" xfId="3996"/>
    <cellStyle name="差_2016统计人数汇总表（完稿版）9.12 4 3" xfId="3997"/>
    <cellStyle name="差_2016统计人数汇总表（完稿版）9.12 4 3 2" xfId="3998"/>
    <cellStyle name="差_2016统计人数汇总表（完稿版）9.12 4 4" xfId="3999"/>
    <cellStyle name="差_2016统计人数汇总表（完稿版）9.12 4 4 2" xfId="4000"/>
    <cellStyle name="差_2016统计人数汇总表（完稿版）9.12 4 5" xfId="4001"/>
    <cellStyle name="差_2016统计人数汇总表（完稿版）9.12 5" xfId="4002"/>
    <cellStyle name="差_2016统计人数汇总表（完稿版）9.12 5 2" xfId="4003"/>
    <cellStyle name="差_2016统计人数汇总表（完稿版）9.12 5 2 2" xfId="4004"/>
    <cellStyle name="差_2016统计人数汇总表（完稿版）9.12 5 3" xfId="4005"/>
    <cellStyle name="差_2016统计人数汇总表（完稿版）9.12 6" xfId="4006"/>
    <cellStyle name="差_2016统计人数汇总表（完稿版）9.12 6 2" xfId="4007"/>
    <cellStyle name="差_2016统计人数汇总表（完稿版）9.12 7" xfId="4008"/>
    <cellStyle name="差_2016统计人数汇总表（完稿版）9.12 7 2" xfId="4009"/>
    <cellStyle name="差_2016统计人数汇总表（完稿版）9.12 8" xfId="4010"/>
    <cellStyle name="差_2016统计人数汇总表（完稿版）9.12 8 2" xfId="4011"/>
    <cellStyle name="差_2016统计人数汇总表（完稿版）9.12 9" xfId="4012"/>
    <cellStyle name="差_2017" xfId="8920"/>
    <cellStyle name="差_2017 2" xfId="8928"/>
    <cellStyle name="差_2017 2 2" xfId="8971"/>
    <cellStyle name="差_2017 3" xfId="8972"/>
    <cellStyle name="差_2017 4" xfId="8970"/>
    <cellStyle name="差_A0汇总表（报计财科：项目津贴发放）" xfId="4013"/>
    <cellStyle name="差_A0汇总表（报计财科：项目津贴发放） 2" xfId="4014"/>
    <cellStyle name="差_A0汇总表（报计财科：项目津贴发放） 2 2" xfId="4015"/>
    <cellStyle name="差_A0汇总表（报计财科：项目津贴发放） 2 2 2" xfId="4016"/>
    <cellStyle name="差_A0汇总表（报计财科：项目津贴发放） 2 2 2 2" xfId="4017"/>
    <cellStyle name="差_A0汇总表（报计财科：项目津贴发放） 2 2 2 2 2" xfId="4018"/>
    <cellStyle name="差_A0汇总表（报计财科：项目津贴发放） 2 2 2 3" xfId="4019"/>
    <cellStyle name="差_A0汇总表（报计财科：项目津贴发放） 2 2 3" xfId="4020"/>
    <cellStyle name="差_A0汇总表（报计财科：项目津贴发放） 2 2 3 2" xfId="4021"/>
    <cellStyle name="差_A0汇总表（报计财科：项目津贴发放） 2 2 4" xfId="4022"/>
    <cellStyle name="差_A0汇总表（报计财科：项目津贴发放） 2 2 4 2" xfId="4023"/>
    <cellStyle name="差_A0汇总表（报计财科：项目津贴发放） 2 2 5" xfId="4024"/>
    <cellStyle name="差_A0汇总表（报计财科：项目津贴发放） 2 3" xfId="4025"/>
    <cellStyle name="差_A0汇总表（报计财科：项目津贴发放） 2 3 2" xfId="4026"/>
    <cellStyle name="差_A0汇总表（报计财科：项目津贴发放） 2 3 2 2" xfId="4027"/>
    <cellStyle name="差_A0汇总表（报计财科：项目津贴发放） 2 3 3" xfId="4028"/>
    <cellStyle name="差_A0汇总表（报计财科：项目津贴发放） 2 4" xfId="4029"/>
    <cellStyle name="差_A0汇总表（报计财科：项目津贴发放） 2 4 2" xfId="4030"/>
    <cellStyle name="差_A0汇总表（报计财科：项目津贴发放） 2 5" xfId="4031"/>
    <cellStyle name="差_A0汇总表（报计财科：项目津贴发放） 2 5 2" xfId="4032"/>
    <cellStyle name="差_A0汇总表（报计财科：项目津贴发放） 2 6" xfId="4033"/>
    <cellStyle name="差_A0汇总表（报计财科：项目津贴发放） 3" xfId="4034"/>
    <cellStyle name="差_A0汇总表（报计财科：项目津贴发放） 3 2" xfId="4035"/>
    <cellStyle name="差_A0汇总表（报计财科：项目津贴发放） 3 2 2" xfId="4036"/>
    <cellStyle name="差_A0汇总表（报计财科：项目津贴发放） 3 2 2 2" xfId="4037"/>
    <cellStyle name="差_A0汇总表（报计财科：项目津贴发放） 3 2 3" xfId="4038"/>
    <cellStyle name="差_A0汇总表（报计财科：项目津贴发放） 3 3" xfId="4039"/>
    <cellStyle name="差_A0汇总表（报计财科：项目津贴发放） 3 3 2" xfId="4040"/>
    <cellStyle name="差_A0汇总表（报计财科：项目津贴发放） 3 4" xfId="4041"/>
    <cellStyle name="差_A0汇总表（报计财科：项目津贴发放） 3 4 2" xfId="4042"/>
    <cellStyle name="差_A0汇总表（报计财科：项目津贴发放） 3 5" xfId="4043"/>
    <cellStyle name="差_A0汇总表（报计财科：项目津贴发放） 4" xfId="4044"/>
    <cellStyle name="差_A0汇总表（报计财科：项目津贴发放） 4 2" xfId="4045"/>
    <cellStyle name="差_A0汇总表（报计财科：项目津贴发放） 4 2 2" xfId="4046"/>
    <cellStyle name="差_A0汇总表（报计财科：项目津贴发放） 4 2 2 2" xfId="4047"/>
    <cellStyle name="差_A0汇总表（报计财科：项目津贴发放） 4 2 3" xfId="4048"/>
    <cellStyle name="差_A0汇总表（报计财科：项目津贴发放） 4 3" xfId="4049"/>
    <cellStyle name="差_A0汇总表（报计财科：项目津贴发放） 4 3 2" xfId="4050"/>
    <cellStyle name="差_A0汇总表（报计财科：项目津贴发放） 4 4" xfId="4051"/>
    <cellStyle name="差_A0汇总表（报计财科：项目津贴发放） 4 4 2" xfId="4052"/>
    <cellStyle name="差_A0汇总表（报计财科：项目津贴发放） 4 5" xfId="4053"/>
    <cellStyle name="差_A0汇总表（报计财科：项目津贴发放） 5" xfId="4054"/>
    <cellStyle name="差_A0汇总表（报计财科：项目津贴发放） 5 2" xfId="4055"/>
    <cellStyle name="差_A0汇总表（报计财科：项目津贴发放） 5 2 2" xfId="4056"/>
    <cellStyle name="差_A0汇总表（报计财科：项目津贴发放） 5 3" xfId="4057"/>
    <cellStyle name="差_A0汇总表（报计财科：项目津贴发放） 6" xfId="4058"/>
    <cellStyle name="差_A0汇总表（报计财科：项目津贴发放） 6 2" xfId="4059"/>
    <cellStyle name="差_A0汇总表（报计财科：项目津贴发放） 7" xfId="4060"/>
    <cellStyle name="差_A0汇总表（报计财科：项目津贴发放） 7 2" xfId="4061"/>
    <cellStyle name="差_A0汇总表（报计财科：项目津贴发放） 8" xfId="4062"/>
    <cellStyle name="差_A0汇总表（报计财科：项目津贴发放） 8 2" xfId="4063"/>
    <cellStyle name="差_A0汇总表（报计财科：项目津贴发放） 9" xfId="4064"/>
    <cellStyle name="差_统筹-校长（暂估）" xfId="4065"/>
    <cellStyle name="差_统筹-校长（暂估） 2" xfId="4066"/>
    <cellStyle name="差_统筹-校长（暂估） 2 2" xfId="4067"/>
    <cellStyle name="差_统筹-校长（暂估） 2 2 2" xfId="4068"/>
    <cellStyle name="差_统筹-校长（暂估） 2 2 2 2" xfId="4069"/>
    <cellStyle name="差_统筹-校长（暂估） 2 2 2 2 2" xfId="4070"/>
    <cellStyle name="差_统筹-校长（暂估） 2 2 2 3" xfId="4071"/>
    <cellStyle name="差_统筹-校长（暂估） 2 2 3" xfId="4072"/>
    <cellStyle name="差_统筹-校长（暂估） 2 2 3 2" xfId="4073"/>
    <cellStyle name="差_统筹-校长（暂估） 2 2 4" xfId="4074"/>
    <cellStyle name="差_统筹-校长（暂估） 2 2 4 2" xfId="4075"/>
    <cellStyle name="差_统筹-校长（暂估） 2 2 5" xfId="4076"/>
    <cellStyle name="差_统筹-校长（暂估） 2 3" xfId="4077"/>
    <cellStyle name="差_统筹-校长（暂估） 2 3 2" xfId="4078"/>
    <cellStyle name="差_统筹-校长（暂估） 2 3 2 2" xfId="4079"/>
    <cellStyle name="差_统筹-校长（暂估） 2 3 3" xfId="4080"/>
    <cellStyle name="差_统筹-校长（暂估） 2 4" xfId="4081"/>
    <cellStyle name="差_统筹-校长（暂估） 2 4 2" xfId="4082"/>
    <cellStyle name="差_统筹-校长（暂估） 2 5" xfId="4083"/>
    <cellStyle name="差_统筹-校长（暂估） 2 5 2" xfId="4084"/>
    <cellStyle name="差_统筹-校长（暂估） 2 6" xfId="4085"/>
    <cellStyle name="差_统筹-校长（暂估） 3" xfId="4086"/>
    <cellStyle name="差_统筹-校长（暂估） 3 2" xfId="4087"/>
    <cellStyle name="差_统筹-校长（暂估） 3 2 2" xfId="4088"/>
    <cellStyle name="差_统筹-校长（暂估） 3 2 2 2" xfId="4089"/>
    <cellStyle name="差_统筹-校长（暂估） 3 2 3" xfId="4090"/>
    <cellStyle name="差_统筹-校长（暂估） 3 3" xfId="4091"/>
    <cellStyle name="差_统筹-校长（暂估） 3 3 2" xfId="4092"/>
    <cellStyle name="差_统筹-校长（暂估） 3 4" xfId="4093"/>
    <cellStyle name="差_统筹-校长（暂估） 3 4 2" xfId="4094"/>
    <cellStyle name="差_统筹-校长（暂估） 3 5" xfId="4095"/>
    <cellStyle name="差_统筹-校长（暂估） 4" xfId="4096"/>
    <cellStyle name="差_统筹-校长（暂估） 4 2" xfId="4097"/>
    <cellStyle name="差_统筹-校长（暂估） 4 2 2" xfId="4098"/>
    <cellStyle name="差_统筹-校长（暂估） 4 2 2 2" xfId="4099"/>
    <cellStyle name="差_统筹-校长（暂估） 4 2 3" xfId="4100"/>
    <cellStyle name="差_统筹-校长（暂估） 4 3" xfId="4101"/>
    <cellStyle name="差_统筹-校长（暂估） 4 3 2" xfId="4102"/>
    <cellStyle name="差_统筹-校长（暂估） 4 4" xfId="4103"/>
    <cellStyle name="差_统筹-校长（暂估） 4 4 2" xfId="4104"/>
    <cellStyle name="差_统筹-校长（暂估） 4 5" xfId="4105"/>
    <cellStyle name="差_统筹-校长（暂估） 5" xfId="4106"/>
    <cellStyle name="差_统筹-校长（暂估） 5 2" xfId="4107"/>
    <cellStyle name="差_统筹-校长（暂估） 5 2 2" xfId="4108"/>
    <cellStyle name="差_统筹-校长（暂估） 5 3" xfId="4109"/>
    <cellStyle name="差_统筹-校长（暂估） 6" xfId="4110"/>
    <cellStyle name="差_统筹-校长（暂估） 6 2" xfId="4111"/>
    <cellStyle name="差_统筹-校长（暂估） 7" xfId="4112"/>
    <cellStyle name="差_统筹-校长（暂估） 7 2" xfId="4113"/>
    <cellStyle name="差_统筹-校长（暂估） 8" xfId="4114"/>
    <cellStyle name="差_统筹-校长（暂估） 8 2" xfId="4115"/>
    <cellStyle name="差_统筹-校长（暂估） 9" xfId="4116"/>
    <cellStyle name="差_校长、书记2015年增量部分发放清单" xfId="4117"/>
    <cellStyle name="差_校长、书记2015年增量部分发放清单 2" xfId="4118"/>
    <cellStyle name="差_校长、书记2015年增量部分发放清单 2 2" xfId="4119"/>
    <cellStyle name="差_校长、书记2015年增量部分发放清单 2 2 2" xfId="4120"/>
    <cellStyle name="差_校长、书记2015年增量部分发放清单 2 2 2 2" xfId="4121"/>
    <cellStyle name="差_校长、书记2015年增量部分发放清单 2 2 2 2 2" xfId="4122"/>
    <cellStyle name="差_校长、书记2015年增量部分发放清单 2 2 2 3" xfId="4123"/>
    <cellStyle name="差_校长、书记2015年增量部分发放清单 2 2 3" xfId="4124"/>
    <cellStyle name="差_校长、书记2015年增量部分发放清单 2 2 3 2" xfId="4125"/>
    <cellStyle name="差_校长、书记2015年增量部分发放清单 2 2 4" xfId="4126"/>
    <cellStyle name="差_校长、书记2015年增量部分发放清单 2 2 4 2" xfId="4127"/>
    <cellStyle name="差_校长、书记2015年增量部分发放清单 2 2 5" xfId="4128"/>
    <cellStyle name="差_校长、书记2015年增量部分发放清单 2 3" xfId="4129"/>
    <cellStyle name="差_校长、书记2015年增量部分发放清单 2 3 2" xfId="4130"/>
    <cellStyle name="差_校长、书记2015年增量部分发放清单 2 3 2 2" xfId="4131"/>
    <cellStyle name="差_校长、书记2015年增量部分发放清单 2 3 3" xfId="4132"/>
    <cellStyle name="差_校长、书记2015年增量部分发放清单 2 4" xfId="4133"/>
    <cellStyle name="差_校长、书记2015年增量部分发放清单 2 4 2" xfId="4134"/>
    <cellStyle name="差_校长、书记2015年增量部分发放清单 2 5" xfId="4135"/>
    <cellStyle name="差_校长、书记2015年增量部分发放清单 2 5 2" xfId="4136"/>
    <cellStyle name="差_校长、书记2015年增量部分发放清单 2 6" xfId="4137"/>
    <cellStyle name="差_校长、书记2015年增量部分发放清单 3" xfId="4138"/>
    <cellStyle name="差_校长、书记2015年增量部分发放清单 3 2" xfId="4139"/>
    <cellStyle name="差_校长、书记2015年增量部分发放清单 3 2 2" xfId="4140"/>
    <cellStyle name="差_校长、书记2015年增量部分发放清单 3 2 2 2" xfId="4141"/>
    <cellStyle name="差_校长、书记2015年增量部分发放清单 3 2 3" xfId="4142"/>
    <cellStyle name="差_校长、书记2015年增量部分发放清单 3 3" xfId="4143"/>
    <cellStyle name="差_校长、书记2015年增量部分发放清单 3 3 2" xfId="4144"/>
    <cellStyle name="差_校长、书记2015年增量部分发放清单 3 4" xfId="4145"/>
    <cellStyle name="差_校长、书记2015年增量部分发放清单 3 4 2" xfId="4146"/>
    <cellStyle name="差_校长、书记2015年增量部分发放清单 3 5" xfId="4147"/>
    <cellStyle name="差_校长、书记2015年增量部分发放清单 4" xfId="4148"/>
    <cellStyle name="差_校长、书记2015年增量部分发放清单 4 2" xfId="4149"/>
    <cellStyle name="差_校长、书记2015年增量部分发放清单 4 2 2" xfId="4150"/>
    <cellStyle name="差_校长、书记2015年增量部分发放清单 4 2 2 2" xfId="4151"/>
    <cellStyle name="差_校长、书记2015年增量部分发放清单 4 2 3" xfId="4152"/>
    <cellStyle name="差_校长、书记2015年增量部分发放清单 4 3" xfId="4153"/>
    <cellStyle name="差_校长、书记2015年增量部分发放清单 4 3 2" xfId="4154"/>
    <cellStyle name="差_校长、书记2015年增量部分发放清单 4 4" xfId="4155"/>
    <cellStyle name="差_校长、书记2015年增量部分发放清单 4 4 2" xfId="4156"/>
    <cellStyle name="差_校长、书记2015年增量部分发放清单 4 5" xfId="4157"/>
    <cellStyle name="差_校长、书记2015年增量部分发放清单 5" xfId="4158"/>
    <cellStyle name="差_校长、书记2015年增量部分发放清单 5 2" xfId="4159"/>
    <cellStyle name="差_校长、书记2015年增量部分发放清单 5 2 2" xfId="4160"/>
    <cellStyle name="差_校长、书记2015年增量部分发放清单 5 3" xfId="4161"/>
    <cellStyle name="差_校长、书记2015年增量部分发放清单 6" xfId="4162"/>
    <cellStyle name="差_校长、书记2015年增量部分发放清单 6 2" xfId="4163"/>
    <cellStyle name="差_校长、书记2015年增量部分发放清单 7" xfId="4164"/>
    <cellStyle name="差_校长、书记2015年增量部分发放清单 7 2" xfId="4165"/>
    <cellStyle name="差_校长、书记2015年增量部分发放清单 8" xfId="4166"/>
    <cellStyle name="差_校长、书记2015年增量部分发放清单 8 2" xfId="4167"/>
    <cellStyle name="差_校长、书记2015年增量部分发放清单 9" xfId="4168"/>
    <cellStyle name="差_校长职级、亚信会奖励、教师节奖励镇管" xfId="4169"/>
    <cellStyle name="差_校长职级、亚信会奖励、教师节奖励镇管 2" xfId="4170"/>
    <cellStyle name="差_校长职级、亚信会奖励、教师节奖励镇管 2 2" xfId="4171"/>
    <cellStyle name="差_校长职级、亚信会奖励、教师节奖励镇管 2 2 2" xfId="4172"/>
    <cellStyle name="差_校长职级、亚信会奖励、教师节奖励镇管 2 2 2 2" xfId="4173"/>
    <cellStyle name="差_校长职级、亚信会奖励、教师节奖励镇管 2 2 2 2 2" xfId="4174"/>
    <cellStyle name="差_校长职级、亚信会奖励、教师节奖励镇管 2 2 2 3" xfId="4175"/>
    <cellStyle name="差_校长职级、亚信会奖励、教师节奖励镇管 2 2 3" xfId="4176"/>
    <cellStyle name="差_校长职级、亚信会奖励、教师节奖励镇管 2 2 3 2" xfId="4177"/>
    <cellStyle name="差_校长职级、亚信会奖励、教师节奖励镇管 2 2 4" xfId="4178"/>
    <cellStyle name="差_校长职级、亚信会奖励、教师节奖励镇管 2 2 4 2" xfId="4179"/>
    <cellStyle name="差_校长职级、亚信会奖励、教师节奖励镇管 2 2 5" xfId="4180"/>
    <cellStyle name="差_校长职级、亚信会奖励、教师节奖励镇管 2 3" xfId="4181"/>
    <cellStyle name="差_校长职级、亚信会奖励、教师节奖励镇管 2 3 2" xfId="4182"/>
    <cellStyle name="差_校长职级、亚信会奖励、教师节奖励镇管 2 3 2 2" xfId="4183"/>
    <cellStyle name="差_校长职级、亚信会奖励、教师节奖励镇管 2 3 3" xfId="4184"/>
    <cellStyle name="差_校长职级、亚信会奖励、教师节奖励镇管 2 4" xfId="4185"/>
    <cellStyle name="差_校长职级、亚信会奖励、教师节奖励镇管 2 4 2" xfId="4186"/>
    <cellStyle name="差_校长职级、亚信会奖励、教师节奖励镇管 2 5" xfId="4187"/>
    <cellStyle name="差_校长职级、亚信会奖励、教师节奖励镇管 2 5 2" xfId="4188"/>
    <cellStyle name="差_校长职级、亚信会奖励、教师节奖励镇管 2 6" xfId="4189"/>
    <cellStyle name="差_校长职级、亚信会奖励、教师节奖励镇管 3" xfId="4190"/>
    <cellStyle name="差_校长职级、亚信会奖励、教师节奖励镇管 3 2" xfId="4191"/>
    <cellStyle name="差_校长职级、亚信会奖励、教师节奖励镇管 3 2 2" xfId="4192"/>
    <cellStyle name="差_校长职级、亚信会奖励、教师节奖励镇管 3 2 2 2" xfId="4193"/>
    <cellStyle name="差_校长职级、亚信会奖励、教师节奖励镇管 3 2 3" xfId="4194"/>
    <cellStyle name="差_校长职级、亚信会奖励、教师节奖励镇管 3 3" xfId="4195"/>
    <cellStyle name="差_校长职级、亚信会奖励、教师节奖励镇管 3 3 2" xfId="4196"/>
    <cellStyle name="差_校长职级、亚信会奖励、教师节奖励镇管 3 4" xfId="4197"/>
    <cellStyle name="差_校长职级、亚信会奖励、教师节奖励镇管 3 4 2" xfId="4198"/>
    <cellStyle name="差_校长职级、亚信会奖励、教师节奖励镇管 3 5" xfId="4199"/>
    <cellStyle name="差_校长职级、亚信会奖励、教师节奖励镇管 4" xfId="4200"/>
    <cellStyle name="差_校长职级、亚信会奖励、教师节奖励镇管 4 2" xfId="4201"/>
    <cellStyle name="差_校长职级、亚信会奖励、教师节奖励镇管 4 2 2" xfId="4202"/>
    <cellStyle name="差_校长职级、亚信会奖励、教师节奖励镇管 4 2 2 2" xfId="4203"/>
    <cellStyle name="差_校长职级、亚信会奖励、教师节奖励镇管 4 2 3" xfId="4204"/>
    <cellStyle name="差_校长职级、亚信会奖励、教师节奖励镇管 4 3" xfId="4205"/>
    <cellStyle name="差_校长职级、亚信会奖励、教师节奖励镇管 4 3 2" xfId="4206"/>
    <cellStyle name="差_校长职级、亚信会奖励、教师节奖励镇管 4 4" xfId="4207"/>
    <cellStyle name="差_校长职级、亚信会奖励、教师节奖励镇管 4 4 2" xfId="4208"/>
    <cellStyle name="差_校长职级、亚信会奖励、教师节奖励镇管 4 5" xfId="4209"/>
    <cellStyle name="差_校长职级、亚信会奖励、教师节奖励镇管 5" xfId="4210"/>
    <cellStyle name="差_校长职级、亚信会奖励、教师节奖励镇管 5 2" xfId="4211"/>
    <cellStyle name="差_校长职级、亚信会奖励、教师节奖励镇管 5 2 2" xfId="4212"/>
    <cellStyle name="差_校长职级、亚信会奖励、教师节奖励镇管 5 3" xfId="4213"/>
    <cellStyle name="差_校长职级、亚信会奖励、教师节奖励镇管 6" xfId="4214"/>
    <cellStyle name="差_校长职级、亚信会奖励、教师节奖励镇管 6 2" xfId="4215"/>
    <cellStyle name="差_校长职级、亚信会奖励、教师节奖励镇管 7" xfId="4216"/>
    <cellStyle name="差_校长职级、亚信会奖励、教师节奖励镇管 7 2" xfId="4217"/>
    <cellStyle name="差_校长职级、亚信会奖励、教师节奖励镇管 8" xfId="4218"/>
    <cellStyle name="差_校长职级、亚信会奖励、教师节奖励镇管 8 2" xfId="4219"/>
    <cellStyle name="差_校长职级、亚信会奖励、教师节奖励镇管 9" xfId="4220"/>
    <cellStyle name="差_镇管汇总" xfId="4221"/>
    <cellStyle name="差_镇管汇总 2" xfId="4222"/>
    <cellStyle name="差_镇管汇总 2 2" xfId="4223"/>
    <cellStyle name="差_镇管汇总 2 2 2" xfId="4224"/>
    <cellStyle name="差_镇管汇总 2 2 2 2" xfId="4225"/>
    <cellStyle name="差_镇管汇总 2 2 2 2 2" xfId="4226"/>
    <cellStyle name="差_镇管汇总 2 2 2 3" xfId="4227"/>
    <cellStyle name="差_镇管汇总 2 2 3" xfId="4228"/>
    <cellStyle name="差_镇管汇总 2 2 3 2" xfId="4229"/>
    <cellStyle name="差_镇管汇总 2 2 4" xfId="4230"/>
    <cellStyle name="差_镇管汇总 2 2 4 2" xfId="4231"/>
    <cellStyle name="差_镇管汇总 2 2 5" xfId="4232"/>
    <cellStyle name="差_镇管汇总 2 3" xfId="4233"/>
    <cellStyle name="差_镇管汇总 2 3 2" xfId="4234"/>
    <cellStyle name="差_镇管汇总 2 3 2 2" xfId="4235"/>
    <cellStyle name="差_镇管汇总 2 3 3" xfId="4236"/>
    <cellStyle name="差_镇管汇总 2 4" xfId="4237"/>
    <cellStyle name="差_镇管汇总 2 4 2" xfId="4238"/>
    <cellStyle name="差_镇管汇总 2 5" xfId="4239"/>
    <cellStyle name="差_镇管汇总 2 5 2" xfId="4240"/>
    <cellStyle name="差_镇管汇总 2 6" xfId="4241"/>
    <cellStyle name="差_镇管汇总 3" xfId="4242"/>
    <cellStyle name="差_镇管汇总 3 2" xfId="4243"/>
    <cellStyle name="差_镇管汇总 3 2 2" xfId="4244"/>
    <cellStyle name="差_镇管汇总 3 2 2 2" xfId="4245"/>
    <cellStyle name="差_镇管汇总 3 2 3" xfId="4246"/>
    <cellStyle name="差_镇管汇总 3 3" xfId="4247"/>
    <cellStyle name="差_镇管汇总 3 3 2" xfId="4248"/>
    <cellStyle name="差_镇管汇总 3 4" xfId="4249"/>
    <cellStyle name="差_镇管汇总 3 4 2" xfId="4250"/>
    <cellStyle name="差_镇管汇总 3 5" xfId="4251"/>
    <cellStyle name="差_镇管汇总 4" xfId="4252"/>
    <cellStyle name="差_镇管汇总 4 2" xfId="4253"/>
    <cellStyle name="差_镇管汇总 4 2 2" xfId="4254"/>
    <cellStyle name="差_镇管汇总 4 2 2 2" xfId="4255"/>
    <cellStyle name="差_镇管汇总 4 2 3" xfId="4256"/>
    <cellStyle name="差_镇管汇总 4 3" xfId="4257"/>
    <cellStyle name="差_镇管汇总 4 3 2" xfId="4258"/>
    <cellStyle name="差_镇管汇总 4 4" xfId="4259"/>
    <cellStyle name="差_镇管汇总 4 4 2" xfId="4260"/>
    <cellStyle name="差_镇管汇总 4 5" xfId="4261"/>
    <cellStyle name="差_镇管汇总 5" xfId="4262"/>
    <cellStyle name="差_镇管汇总 5 2" xfId="4263"/>
    <cellStyle name="差_镇管汇总 5 2 2" xfId="4264"/>
    <cellStyle name="差_镇管汇总 5 3" xfId="4265"/>
    <cellStyle name="差_镇管汇总 6" xfId="4266"/>
    <cellStyle name="差_镇管汇总 6 2" xfId="4267"/>
    <cellStyle name="差_镇管汇总 7" xfId="4268"/>
    <cellStyle name="差_镇管汇总 7 2" xfId="4269"/>
    <cellStyle name="差_镇管汇总 8" xfId="4270"/>
    <cellStyle name="差_镇管汇总 8 2" xfId="4271"/>
    <cellStyle name="差_镇管汇总 9" xfId="4272"/>
    <cellStyle name="常规" xfId="0" builtinId="0"/>
    <cellStyle name="常规 10" xfId="2"/>
    <cellStyle name="常规 10 10" xfId="9170"/>
    <cellStyle name="常规 10 10 2" xfId="9316"/>
    <cellStyle name="常规 10 11" xfId="4273"/>
    <cellStyle name="常规 10 2" xfId="18"/>
    <cellStyle name="常规 10 2 2" xfId="4275"/>
    <cellStyle name="常规 10 2 2 2" xfId="4276"/>
    <cellStyle name="常规 10 2 2 2 2" xfId="4277"/>
    <cellStyle name="常规 10 2 2 3" xfId="4278"/>
    <cellStyle name="常规 10 2 3" xfId="4279"/>
    <cellStyle name="常规 10 2 3 2" xfId="4280"/>
    <cellStyle name="常规 10 2 4" xfId="4281"/>
    <cellStyle name="常规 10 2 4 2" xfId="4282"/>
    <cellStyle name="常规 10 2 5" xfId="4283"/>
    <cellStyle name="常规 10 2 6" xfId="9186"/>
    <cellStyle name="常规 10 2 7" xfId="4274"/>
    <cellStyle name="常规 10 3" xfId="4284"/>
    <cellStyle name="常规 10 3 2" xfId="4285"/>
    <cellStyle name="常规 10 3 2 2" xfId="4286"/>
    <cellStyle name="常规 10 3 3" xfId="4287"/>
    <cellStyle name="常规 10 4" xfId="4288"/>
    <cellStyle name="常规 10 4 2" xfId="4289"/>
    <cellStyle name="常规 10 4 2 2" xfId="4290"/>
    <cellStyle name="常规 10 4 3" xfId="4291"/>
    <cellStyle name="常规 10 5" xfId="4292"/>
    <cellStyle name="常规 10 5 2" xfId="4293"/>
    <cellStyle name="常规 10 6" xfId="4294"/>
    <cellStyle name="常规 10 6 2" xfId="4295"/>
    <cellStyle name="常规 10 7" xfId="4296"/>
    <cellStyle name="常规 10 7 2" xfId="4297"/>
    <cellStyle name="常规 10 8" xfId="4298"/>
    <cellStyle name="常规 10 9" xfId="8886"/>
    <cellStyle name="常规 100" xfId="7"/>
    <cellStyle name="常规 100 2" xfId="12"/>
    <cellStyle name="常规 100 2 2" xfId="4300"/>
    <cellStyle name="常规 100 2 3" xfId="9220"/>
    <cellStyle name="常规 100 3" xfId="4299"/>
    <cellStyle name="常规 101" xfId="4"/>
    <cellStyle name="常规 101 2" xfId="9"/>
    <cellStyle name="常规 101 2 2" xfId="4303"/>
    <cellStyle name="常规 101 2 3" xfId="4302"/>
    <cellStyle name="常规 101 2 4" xfId="9219"/>
    <cellStyle name="常规 101 3" xfId="4304"/>
    <cellStyle name="常规 101 4" xfId="4301"/>
    <cellStyle name="常规 102" xfId="14"/>
    <cellStyle name="常规 102 2" xfId="4306"/>
    <cellStyle name="常规 102 3" xfId="4305"/>
    <cellStyle name="常规 102 4" xfId="9221"/>
    <cellStyle name="常规 103" xfId="4307"/>
    <cellStyle name="常规 103 2" xfId="4308"/>
    <cellStyle name="常规 104" xfId="4309"/>
    <cellStyle name="常规 104 2" xfId="4310"/>
    <cellStyle name="常规 104 2 2" xfId="4311"/>
    <cellStyle name="常规 104 3" xfId="4312"/>
    <cellStyle name="常规 105" xfId="4313"/>
    <cellStyle name="常规 105 2" xfId="4314"/>
    <cellStyle name="常规 106" xfId="4315"/>
    <cellStyle name="常规 107" xfId="8"/>
    <cellStyle name="常规 107 2" xfId="8587"/>
    <cellStyle name="常规 107 2 2" xfId="9222"/>
    <cellStyle name="常规 107 3" xfId="9218"/>
    <cellStyle name="常规 108" xfId="8589"/>
    <cellStyle name="常规 109" xfId="8598"/>
    <cellStyle name="常规 11" xfId="4316"/>
    <cellStyle name="常规 11 2" xfId="4317"/>
    <cellStyle name="常规 11 2 2" xfId="4318"/>
    <cellStyle name="常规 11 2 2 2" xfId="4319"/>
    <cellStyle name="常规 11 2 2 2 2" xfId="4320"/>
    <cellStyle name="常规 11 2 2 3" xfId="4321"/>
    <cellStyle name="常规 11 2 3" xfId="4322"/>
    <cellStyle name="常规 11 2 3 2" xfId="4323"/>
    <cellStyle name="常规 11 2 4" xfId="4324"/>
    <cellStyle name="常规 11 2 5" xfId="9187"/>
    <cellStyle name="常规 11 3" xfId="4325"/>
    <cellStyle name="常规 11 3 2" xfId="4326"/>
    <cellStyle name="常规 11 3 2 2" xfId="4327"/>
    <cellStyle name="常规 11 3 3" xfId="4328"/>
    <cellStyle name="常规 11 4" xfId="4329"/>
    <cellStyle name="常规 11 4 2" xfId="4330"/>
    <cellStyle name="常规 11 4 2 2" xfId="4331"/>
    <cellStyle name="常规 11 4 3" xfId="4332"/>
    <cellStyle name="常规 11 5" xfId="4333"/>
    <cellStyle name="常规 11 5 2" xfId="4334"/>
    <cellStyle name="常规 11 6" xfId="4335"/>
    <cellStyle name="常规 11 7" xfId="8887"/>
    <cellStyle name="常规 11 8" xfId="9168"/>
    <cellStyle name="常规 11 8 2" xfId="9315"/>
    <cellStyle name="常规 110" xfId="8599"/>
    <cellStyle name="常规 111" xfId="1"/>
    <cellStyle name="常规 111 2" xfId="21"/>
    <cellStyle name="常规 112" xfId="8882"/>
    <cellStyle name="常规 113" xfId="8948"/>
    <cellStyle name="常规 114" xfId="8959"/>
    <cellStyle name="常规 115" xfId="8962"/>
    <cellStyle name="常规 116" xfId="8996"/>
    <cellStyle name="常规 117" xfId="9000"/>
    <cellStyle name="常规 118" xfId="9001"/>
    <cellStyle name="常规 119" xfId="9002"/>
    <cellStyle name="常规 12" xfId="4336"/>
    <cellStyle name="常规 12 2" xfId="4337"/>
    <cellStyle name="常规 12 2 2" xfId="4338"/>
    <cellStyle name="常规 12 2 2 2" xfId="4339"/>
    <cellStyle name="常规 12 2 2 2 2" xfId="4340"/>
    <cellStyle name="常规 12 2 2 3" xfId="4341"/>
    <cellStyle name="常规 12 2 3" xfId="4342"/>
    <cellStyle name="常规 12 2 3 2" xfId="4343"/>
    <cellStyle name="常规 12 2 4" xfId="4344"/>
    <cellStyle name="常规 12 2 4 2" xfId="4345"/>
    <cellStyle name="常规 12 2 5" xfId="4346"/>
    <cellStyle name="常规 12 3" xfId="4347"/>
    <cellStyle name="常规 12 3 2" xfId="4348"/>
    <cellStyle name="常规 12 3 2 2" xfId="4349"/>
    <cellStyle name="常规 12 3 3" xfId="4350"/>
    <cellStyle name="常规 12 4" xfId="4351"/>
    <cellStyle name="常规 12 4 2" xfId="4352"/>
    <cellStyle name="常规 12 4 2 2" xfId="4353"/>
    <cellStyle name="常规 12 4 3" xfId="4354"/>
    <cellStyle name="常规 12 5" xfId="4355"/>
    <cellStyle name="常规 12 5 2" xfId="4356"/>
    <cellStyle name="常规 12 6" xfId="4357"/>
    <cellStyle name="常规 12 6 2" xfId="4358"/>
    <cellStyle name="常规 12 7" xfId="4359"/>
    <cellStyle name="常规 12 8" xfId="9179"/>
    <cellStyle name="常规 120" xfId="9003"/>
    <cellStyle name="常规 121" xfId="9004"/>
    <cellStyle name="常规 122" xfId="9005"/>
    <cellStyle name="常规 123" xfId="9006"/>
    <cellStyle name="常规 124" xfId="9007"/>
    <cellStyle name="常规 125" xfId="9008"/>
    <cellStyle name="常规 126" xfId="9009"/>
    <cellStyle name="常规 127" xfId="9010"/>
    <cellStyle name="常规 128" xfId="9011"/>
    <cellStyle name="常规 129" xfId="9012"/>
    <cellStyle name="常规 13" xfId="6"/>
    <cellStyle name="常规 13 2" xfId="11"/>
    <cellStyle name="常规 13 2 2" xfId="4362"/>
    <cellStyle name="常规 13 2 2 2" xfId="4363"/>
    <cellStyle name="常规 13 2 3" xfId="4364"/>
    <cellStyle name="常规 13 2 4" xfId="4361"/>
    <cellStyle name="常规 13 3" xfId="4365"/>
    <cellStyle name="常规 13 3 2" xfId="4366"/>
    <cellStyle name="常规 13 4" xfId="4367"/>
    <cellStyle name="常规 13 4 2" xfId="4368"/>
    <cellStyle name="常规 13 5" xfId="4369"/>
    <cellStyle name="常规 13 6" xfId="8973"/>
    <cellStyle name="常规 13 6 2" xfId="9311"/>
    <cellStyle name="常规 13 7" xfId="4360"/>
    <cellStyle name="常规 130" xfId="9013"/>
    <cellStyle name="常规 131" xfId="9014"/>
    <cellStyle name="常规 132" xfId="9015"/>
    <cellStyle name="常规 133" xfId="9016"/>
    <cellStyle name="常规 134" xfId="9017"/>
    <cellStyle name="常规 135" xfId="9018"/>
    <cellStyle name="常规 136" xfId="9019"/>
    <cellStyle name="常规 137" xfId="9020"/>
    <cellStyle name="常规 138" xfId="9021"/>
    <cellStyle name="常规 139" xfId="9022"/>
    <cellStyle name="常规 14" xfId="4370"/>
    <cellStyle name="常规 14 2" xfId="4371"/>
    <cellStyle name="常规 14 2 2" xfId="4372"/>
    <cellStyle name="常规 14 2 2 2" xfId="4373"/>
    <cellStyle name="常规 14 2 3" xfId="4374"/>
    <cellStyle name="常规 14 3" xfId="4375"/>
    <cellStyle name="常规 14 3 2" xfId="4376"/>
    <cellStyle name="常规 14 4" xfId="4377"/>
    <cellStyle name="常规 14 4 2" xfId="4378"/>
    <cellStyle name="常规 14 5" xfId="4379"/>
    <cellStyle name="常规 14 6" xfId="8885"/>
    <cellStyle name="常规 140" xfId="9023"/>
    <cellStyle name="常规 141" xfId="9024"/>
    <cellStyle name="常规 142" xfId="9025"/>
    <cellStyle name="常规 143" xfId="9026"/>
    <cellStyle name="常规 144" xfId="9027"/>
    <cellStyle name="常规 145" xfId="9028"/>
    <cellStyle name="常规 146" xfId="9029"/>
    <cellStyle name="常规 147" xfId="9030"/>
    <cellStyle name="常规 148" xfId="9031"/>
    <cellStyle name="常规 149" xfId="9032"/>
    <cellStyle name="常规 15" xfId="4380"/>
    <cellStyle name="常规 15 2" xfId="4381"/>
    <cellStyle name="常规 15 2 2" xfId="4382"/>
    <cellStyle name="常规 15 2 2 2" xfId="4383"/>
    <cellStyle name="常规 15 2 3" xfId="4384"/>
    <cellStyle name="常规 15 3" xfId="4385"/>
    <cellStyle name="常规 15 3 2" xfId="4386"/>
    <cellStyle name="常规 15 4" xfId="4387"/>
    <cellStyle name="常规 15 4 2" xfId="4388"/>
    <cellStyle name="常规 15 5" xfId="4389"/>
    <cellStyle name="常规 15 6" xfId="8898"/>
    <cellStyle name="常规 150" xfId="9033"/>
    <cellStyle name="常规 151" xfId="9034"/>
    <cellStyle name="常规 152" xfId="9035"/>
    <cellStyle name="常规 153" xfId="9036"/>
    <cellStyle name="常规 154" xfId="9037"/>
    <cellStyle name="常规 155" xfId="9038"/>
    <cellStyle name="常规 156" xfId="9039"/>
    <cellStyle name="常规 157" xfId="9040"/>
    <cellStyle name="常规 158" xfId="9041"/>
    <cellStyle name="常规 159" xfId="9042"/>
    <cellStyle name="常规 16" xfId="4390"/>
    <cellStyle name="常规 16 2" xfId="4391"/>
    <cellStyle name="常规 16 2 2" xfId="4392"/>
    <cellStyle name="常规 16 2 2 2" xfId="4393"/>
    <cellStyle name="常规 16 2 3" xfId="4394"/>
    <cellStyle name="常规 16 3" xfId="4395"/>
    <cellStyle name="常规 16 3 2" xfId="4396"/>
    <cellStyle name="常规 16 4" xfId="4397"/>
    <cellStyle name="常规 16 4 2" xfId="4398"/>
    <cellStyle name="常规 16 5" xfId="4399"/>
    <cellStyle name="常规 160" xfId="9043"/>
    <cellStyle name="常规 161" xfId="9044"/>
    <cellStyle name="常规 162" xfId="9045"/>
    <cellStyle name="常规 163" xfId="9046"/>
    <cellStyle name="常规 164" xfId="9047"/>
    <cellStyle name="常规 165" xfId="9048"/>
    <cellStyle name="常规 166" xfId="9049"/>
    <cellStyle name="常规 167" xfId="9050"/>
    <cellStyle name="常规 168" xfId="9051"/>
    <cellStyle name="常规 169" xfId="9052"/>
    <cellStyle name="常规 17" xfId="4400"/>
    <cellStyle name="常规 17 2" xfId="4401"/>
    <cellStyle name="常规 17 2 2" xfId="4402"/>
    <cellStyle name="常规 17 2 2 2" xfId="4403"/>
    <cellStyle name="常规 17 2 3" xfId="4404"/>
    <cellStyle name="常规 17 3" xfId="4405"/>
    <cellStyle name="常规 17 3 2" xfId="4406"/>
    <cellStyle name="常规 17 4" xfId="4407"/>
    <cellStyle name="常规 17 4 2" xfId="4408"/>
    <cellStyle name="常规 17 5" xfId="4409"/>
    <cellStyle name="常规 17 6" xfId="8597"/>
    <cellStyle name="常规 170" xfId="9053"/>
    <cellStyle name="常规 171" xfId="9054"/>
    <cellStyle name="常规 172" xfId="9055"/>
    <cellStyle name="常规 173" xfId="9056"/>
    <cellStyle name="常规 174" xfId="9057"/>
    <cellStyle name="常规 175" xfId="9058"/>
    <cellStyle name="常规 176" xfId="9059"/>
    <cellStyle name="常规 177" xfId="9060"/>
    <cellStyle name="常规 178" xfId="9061"/>
    <cellStyle name="常规 179" xfId="9062"/>
    <cellStyle name="常规 18" xfId="4410"/>
    <cellStyle name="常规 18 2" xfId="4411"/>
    <cellStyle name="常规 18 2 2" xfId="4412"/>
    <cellStyle name="常规 18 2 2 2" xfId="4413"/>
    <cellStyle name="常规 18 2 3" xfId="4414"/>
    <cellStyle name="常规 18 3" xfId="4415"/>
    <cellStyle name="常规 18 3 2" xfId="4416"/>
    <cellStyle name="常规 18 3 3" xfId="8593"/>
    <cellStyle name="常规 18 4" xfId="4417"/>
    <cellStyle name="常规 18 4 2" xfId="4418"/>
    <cellStyle name="常规 18 5" xfId="4419"/>
    <cellStyle name="常规 180" xfId="9063"/>
    <cellStyle name="常规 181" xfId="9064"/>
    <cellStyle name="常规 182" xfId="9065"/>
    <cellStyle name="常规 183" xfId="9066"/>
    <cellStyle name="常规 184" xfId="9067"/>
    <cellStyle name="常规 185" xfId="9068"/>
    <cellStyle name="常规 186" xfId="9069"/>
    <cellStyle name="常规 187" xfId="9070"/>
    <cellStyle name="常规 188" xfId="9071"/>
    <cellStyle name="常规 189" xfId="9072"/>
    <cellStyle name="常规 19" xfId="4420"/>
    <cellStyle name="常规 19 2" xfId="4421"/>
    <cellStyle name="常规 19 2 2" xfId="4422"/>
    <cellStyle name="常规 19 2 2 2" xfId="4423"/>
    <cellStyle name="常规 19 2 3" xfId="4424"/>
    <cellStyle name="常规 19 3" xfId="4425"/>
    <cellStyle name="常规 19 3 2" xfId="4426"/>
    <cellStyle name="常规 19 4" xfId="4427"/>
    <cellStyle name="常规 19 4 2" xfId="4428"/>
    <cellStyle name="常规 19 5" xfId="4429"/>
    <cellStyle name="常规 190" xfId="9073"/>
    <cellStyle name="常规 191" xfId="9074"/>
    <cellStyle name="常规 192" xfId="9075"/>
    <cellStyle name="常规 193" xfId="9076"/>
    <cellStyle name="常规 194" xfId="9077"/>
    <cellStyle name="常规 195" xfId="9078"/>
    <cellStyle name="常规 196" xfId="9079"/>
    <cellStyle name="常规 197" xfId="9080"/>
    <cellStyle name="常规 198" xfId="9081"/>
    <cellStyle name="常规 199" xfId="9082"/>
    <cellStyle name="常规 2" xfId="4430"/>
    <cellStyle name="常规 2 10" xfId="4431"/>
    <cellStyle name="常规 2 10 2" xfId="4432"/>
    <cellStyle name="常规 2 10 2 2" xfId="4433"/>
    <cellStyle name="常规 2 10 3" xfId="4434"/>
    <cellStyle name="常规 2 10 4" xfId="4435"/>
    <cellStyle name="常规 2 11" xfId="4436"/>
    <cellStyle name="常规 2 11 2" xfId="4437"/>
    <cellStyle name="常规 2 11 2 2" xfId="4438"/>
    <cellStyle name="常规 2 11 3" xfId="4439"/>
    <cellStyle name="常规 2 11 4" xfId="4440"/>
    <cellStyle name="常规 2 12" xfId="4441"/>
    <cellStyle name="常规 2 12 2" xfId="4442"/>
    <cellStyle name="常规 2 12 3" xfId="8596"/>
    <cellStyle name="常规 2 13" xfId="4443"/>
    <cellStyle name="常规 2 13 2" xfId="4444"/>
    <cellStyle name="常规 2 14" xfId="4445"/>
    <cellStyle name="常规 2 14 2" xfId="4446"/>
    <cellStyle name="常规 2 15" xfId="4447"/>
    <cellStyle name="常规 2 16" xfId="4448"/>
    <cellStyle name="常规 2 17" xfId="8600"/>
    <cellStyle name="常规 2 18" xfId="8756"/>
    <cellStyle name="常规 2 18 2" xfId="9280"/>
    <cellStyle name="常规 2 19" xfId="8883"/>
    <cellStyle name="常规 2 19 2" xfId="9307"/>
    <cellStyle name="常规 2 2" xfId="4449"/>
    <cellStyle name="常规 2 2 10" xfId="4450"/>
    <cellStyle name="常规 2 2 10 2" xfId="8907"/>
    <cellStyle name="常规 2 2 11" xfId="8757"/>
    <cellStyle name="常规 2 2 12" xfId="8910"/>
    <cellStyle name="常规 2 2 13" xfId="8975"/>
    <cellStyle name="常规 2 2 14" xfId="9188"/>
    <cellStyle name="常规 2 2 15" xfId="9211"/>
    <cellStyle name="常规 2 2 15 2" xfId="9326"/>
    <cellStyle name="常规 2 2 2" xfId="4451"/>
    <cellStyle name="常规 2 2 2 2" xfId="4452"/>
    <cellStyle name="常规 2 2 2 2 2" xfId="4453"/>
    <cellStyle name="常规 2 2 2 2 2 2" xfId="4454"/>
    <cellStyle name="常规 2 2 2 2 2 2 2" xfId="4455"/>
    <cellStyle name="常规 2 2 2 2 2 3" xfId="4456"/>
    <cellStyle name="常规 2 2 2 2 2 4" xfId="4457"/>
    <cellStyle name="常规 2 2 2 2 3" xfId="4458"/>
    <cellStyle name="常规 2 2 2 2 3 2" xfId="4459"/>
    <cellStyle name="常规 2 2 2 2 4" xfId="4460"/>
    <cellStyle name="常规 2 2 2 2 4 2" xfId="4461"/>
    <cellStyle name="常规 2 2 2 2 5" xfId="4462"/>
    <cellStyle name="常规 2 2 2 2 6" xfId="4463"/>
    <cellStyle name="常规 2 2 2 3" xfId="4464"/>
    <cellStyle name="常规 2 2 2 3 2" xfId="4465"/>
    <cellStyle name="常规 2 2 2 3 2 2" xfId="4466"/>
    <cellStyle name="常规 2 2 2 3 3" xfId="4467"/>
    <cellStyle name="常规 2 2 2 3 4" xfId="4468"/>
    <cellStyle name="常规 2 2 2 4" xfId="4469"/>
    <cellStyle name="常规 2 2 2 4 2" xfId="4470"/>
    <cellStyle name="常规 2 2 2 5" xfId="4471"/>
    <cellStyle name="常规 2 2 2 5 2" xfId="4472"/>
    <cellStyle name="常规 2 2 2 6" xfId="4473"/>
    <cellStyle name="常规 2 2 2 7" xfId="4474"/>
    <cellStyle name="常规 2 2 2 8" xfId="8891"/>
    <cellStyle name="常规 2 2 2 9" xfId="8976"/>
    <cellStyle name="常规 2 2 3" xfId="4475"/>
    <cellStyle name="常规 2 2 3 2" xfId="4476"/>
    <cellStyle name="常规 2 2 3 2 2" xfId="4477"/>
    <cellStyle name="常规 2 2 3 2 2 2" xfId="4478"/>
    <cellStyle name="常规 2 2 3 2 3" xfId="4479"/>
    <cellStyle name="常规 2 2 3 2 4" xfId="4480"/>
    <cellStyle name="常规 2 2 3 3" xfId="4481"/>
    <cellStyle name="常规 2 2 3 3 2" xfId="4482"/>
    <cellStyle name="常规 2 2 3 4" xfId="4483"/>
    <cellStyle name="常规 2 2 3 4 2" xfId="4484"/>
    <cellStyle name="常规 2 2 3 5" xfId="4485"/>
    <cellStyle name="常规 2 2 3 6" xfId="4486"/>
    <cellStyle name="常规 2 2 4" xfId="4487"/>
    <cellStyle name="常规 2 2 4 2" xfId="4488"/>
    <cellStyle name="常规 2 2 4 2 2" xfId="4489"/>
    <cellStyle name="常规 2 2 4 2 2 2" xfId="4490"/>
    <cellStyle name="常规 2 2 4 2 3" xfId="4491"/>
    <cellStyle name="常规 2 2 4 2 4" xfId="4492"/>
    <cellStyle name="常规 2 2 4 3" xfId="4493"/>
    <cellStyle name="常规 2 2 4 3 2" xfId="4494"/>
    <cellStyle name="常规 2 2 4 4" xfId="4495"/>
    <cellStyle name="常规 2 2 4 4 2" xfId="4496"/>
    <cellStyle name="常规 2 2 4 5" xfId="4497"/>
    <cellStyle name="常规 2 2 4 6" xfId="4498"/>
    <cellStyle name="常规 2 2 5" xfId="4499"/>
    <cellStyle name="常规 2 2 5 2" xfId="4500"/>
    <cellStyle name="常规 2 2 5 2 2" xfId="4501"/>
    <cellStyle name="常规 2 2 5 3" xfId="4502"/>
    <cellStyle name="常规 2 2 5 4" xfId="4503"/>
    <cellStyle name="常规 2 2 6" xfId="4504"/>
    <cellStyle name="常规 2 2 6 2" xfId="4505"/>
    <cellStyle name="常规 2 2 7" xfId="4506"/>
    <cellStyle name="常规 2 2 7 2" xfId="4507"/>
    <cellStyle name="常规 2 2 8" xfId="4508"/>
    <cellStyle name="常规 2 2 8 2" xfId="4509"/>
    <cellStyle name="常规 2 2 9" xfId="4510"/>
    <cellStyle name="常规 2 20" xfId="8960"/>
    <cellStyle name="常规 2 20 2" xfId="9309"/>
    <cellStyle name="常规 2 21" xfId="8974"/>
    <cellStyle name="常规 2 22" xfId="8997"/>
    <cellStyle name="常规 2 22 2" xfId="9313"/>
    <cellStyle name="常规 2 23" xfId="9171"/>
    <cellStyle name="常规 2 24" xfId="9207"/>
    <cellStyle name="常规 2 24 2" xfId="9323"/>
    <cellStyle name="常规 2 25" xfId="9214"/>
    <cellStyle name="常规 2 3" xfId="4511"/>
    <cellStyle name="常规 2 3 10" xfId="8977"/>
    <cellStyle name="常规 2 3 2" xfId="4512"/>
    <cellStyle name="常规 2 3 2 2" xfId="4513"/>
    <cellStyle name="常规 2 3 2 2 2" xfId="4514"/>
    <cellStyle name="常规 2 3 2 2 2 2" xfId="4515"/>
    <cellStyle name="常规 2 3 2 2 3" xfId="4516"/>
    <cellStyle name="常规 2 3 2 2 4" xfId="4517"/>
    <cellStyle name="常规 2 3 2 3" xfId="4518"/>
    <cellStyle name="常规 2 3 2 3 2" xfId="4519"/>
    <cellStyle name="常规 2 3 2 4" xfId="4520"/>
    <cellStyle name="常规 2 3 2 4 2" xfId="4521"/>
    <cellStyle name="常规 2 3 2 5" xfId="4522"/>
    <cellStyle name="常规 2 3 2 6" xfId="4523"/>
    <cellStyle name="常规 2 3 3" xfId="4524"/>
    <cellStyle name="常规 2 3 3 2" xfId="4525"/>
    <cellStyle name="常规 2 3 3 2 2" xfId="4526"/>
    <cellStyle name="常规 2 3 3 3" xfId="4527"/>
    <cellStyle name="常规 2 3 3 4" xfId="4528"/>
    <cellStyle name="常规 2 3 4" xfId="4529"/>
    <cellStyle name="常规 2 3 4 2" xfId="4530"/>
    <cellStyle name="常规 2 3 4 2 2" xfId="4531"/>
    <cellStyle name="常规 2 3 4 3" xfId="4532"/>
    <cellStyle name="常规 2 3 4 4" xfId="4533"/>
    <cellStyle name="常规 2 3 5" xfId="4534"/>
    <cellStyle name="常规 2 3 5 2" xfId="4535"/>
    <cellStyle name="常规 2 3 6" xfId="4536"/>
    <cellStyle name="常规 2 3 6 2" xfId="4537"/>
    <cellStyle name="常规 2 3 7" xfId="4538"/>
    <cellStyle name="常规 2 3 8" xfId="8758"/>
    <cellStyle name="常规 2 3 8 2" xfId="9281"/>
    <cellStyle name="常规 2 3 9" xfId="8915"/>
    <cellStyle name="常规 2 4" xfId="4539"/>
    <cellStyle name="常规 2 4 2" xfId="4540"/>
    <cellStyle name="常规 2 4 2 2" xfId="4541"/>
    <cellStyle name="常规 2 4 2 2 2" xfId="4542"/>
    <cellStyle name="常规 2 4 2 2 2 2" xfId="4543"/>
    <cellStyle name="常规 2 4 2 2 3" xfId="4544"/>
    <cellStyle name="常规 2 4 2 2 4" xfId="4545"/>
    <cellStyle name="常规 2 4 2 3" xfId="4546"/>
    <cellStyle name="常规 2 4 2 3 2" xfId="4547"/>
    <cellStyle name="常规 2 4 2 4" xfId="4548"/>
    <cellStyle name="常规 2 4 2 4 2" xfId="4549"/>
    <cellStyle name="常规 2 4 2 5" xfId="4550"/>
    <cellStyle name="常规 2 4 2 6" xfId="4551"/>
    <cellStyle name="常规 2 4 2 7" xfId="8916"/>
    <cellStyle name="常规 2 4 3" xfId="4552"/>
    <cellStyle name="常规 2 4 3 2" xfId="4553"/>
    <cellStyle name="常规 2 4 3 2 2" xfId="4554"/>
    <cellStyle name="常规 2 4 3 3" xfId="4555"/>
    <cellStyle name="常规 2 4 3 4" xfId="4556"/>
    <cellStyle name="常规 2 4 4" xfId="4557"/>
    <cellStyle name="常规 2 4 4 2" xfId="4558"/>
    <cellStyle name="常规 2 4 5" xfId="4559"/>
    <cellStyle name="常规 2 4 5 2" xfId="4560"/>
    <cellStyle name="常规 2 4 6" xfId="4561"/>
    <cellStyle name="常规 2 4 7" xfId="4562"/>
    <cellStyle name="常规 2 4 8" xfId="8894"/>
    <cellStyle name="常规 2 4 8 2" xfId="9308"/>
    <cellStyle name="常规 2 5" xfId="4563"/>
    <cellStyle name="常规 2 5 2" xfId="4564"/>
    <cellStyle name="常规 2 5 2 2" xfId="4565"/>
    <cellStyle name="常规 2 5 2 2 2" xfId="4566"/>
    <cellStyle name="常规 2 5 2 3" xfId="4567"/>
    <cellStyle name="常规 2 5 2 4" xfId="4568"/>
    <cellStyle name="常规 2 5 3" xfId="4569"/>
    <cellStyle name="常规 2 5 3 2" xfId="4570"/>
    <cellStyle name="常规 2 5 4" xfId="4571"/>
    <cellStyle name="常规 2 5 4 2" xfId="4572"/>
    <cellStyle name="常规 2 5 5" xfId="4573"/>
    <cellStyle name="常规 2 5 6" xfId="4574"/>
    <cellStyle name="常规 2 5 7" xfId="8978"/>
    <cellStyle name="常规 2 6" xfId="4575"/>
    <cellStyle name="常规 2 6 2" xfId="4576"/>
    <cellStyle name="常规 2 6 2 2" xfId="4577"/>
    <cellStyle name="常规 2 6 2 2 2" xfId="4578"/>
    <cellStyle name="常规 2 6 2 3" xfId="4579"/>
    <cellStyle name="常规 2 6 3" xfId="4580"/>
    <cellStyle name="常规 2 6 3 2" xfId="4581"/>
    <cellStyle name="常规 2 6 4" xfId="4582"/>
    <cellStyle name="常规 2 6 4 2" xfId="4583"/>
    <cellStyle name="常规 2 6 5" xfId="4584"/>
    <cellStyle name="常规 2 7" xfId="4585"/>
    <cellStyle name="常规 2 7 2" xfId="8892"/>
    <cellStyle name="常规 2 8" xfId="4586"/>
    <cellStyle name="常规 2 8 2" xfId="4587"/>
    <cellStyle name="常规 2 8 2 2" xfId="4588"/>
    <cellStyle name="常规 2 8 2 2 2" xfId="4589"/>
    <cellStyle name="常规 2 8 2 3" xfId="4590"/>
    <cellStyle name="常规 2 8 2 4" xfId="4591"/>
    <cellStyle name="常规 2 8 3" xfId="4592"/>
    <cellStyle name="常规 2 8 3 2" xfId="4593"/>
    <cellStyle name="常规 2 8 4" xfId="4594"/>
    <cellStyle name="常规 2 8 4 2" xfId="4595"/>
    <cellStyle name="常规 2 8 5" xfId="4596"/>
    <cellStyle name="常规 2 8 6" xfId="4597"/>
    <cellStyle name="常规 2 9" xfId="4598"/>
    <cellStyle name="常规 2 9 2" xfId="4599"/>
    <cellStyle name="常规 2 9 2 2" xfId="4600"/>
    <cellStyle name="常规 2 9 2 2 2" xfId="4601"/>
    <cellStyle name="常规 2 9 2 3" xfId="4602"/>
    <cellStyle name="常规 2 9 2 4" xfId="4603"/>
    <cellStyle name="常规 2 9 3" xfId="4604"/>
    <cellStyle name="常规 2 9 3 2" xfId="4605"/>
    <cellStyle name="常规 2 9 4" xfId="4606"/>
    <cellStyle name="常规 2 9 4 2" xfId="4607"/>
    <cellStyle name="常规 2 9 5" xfId="4608"/>
    <cellStyle name="常规 2 9 6" xfId="4609"/>
    <cellStyle name="常规 2_统筹-校长（暂估）" xfId="4610"/>
    <cellStyle name="常规 20" xfId="4611"/>
    <cellStyle name="常规 200" xfId="9083"/>
    <cellStyle name="常规 201" xfId="9084"/>
    <cellStyle name="常规 202" xfId="9085"/>
    <cellStyle name="常规 203" xfId="9086"/>
    <cellStyle name="常规 204" xfId="9087"/>
    <cellStyle name="常规 205" xfId="9088"/>
    <cellStyle name="常规 206" xfId="9089"/>
    <cellStyle name="常规 207" xfId="9090"/>
    <cellStyle name="常规 208" xfId="9091"/>
    <cellStyle name="常规 209" xfId="9092"/>
    <cellStyle name="常规 21" xfId="4612"/>
    <cellStyle name="常规 21 2" xfId="4613"/>
    <cellStyle name="常规 21 2 2" xfId="4614"/>
    <cellStyle name="常规 21 2 2 2" xfId="4615"/>
    <cellStyle name="常规 21 2 3" xfId="4616"/>
    <cellStyle name="常规 21 3" xfId="4617"/>
    <cellStyle name="常规 21 3 2" xfId="4618"/>
    <cellStyle name="常规 21 4" xfId="4619"/>
    <cellStyle name="常规 21 4 2" xfId="4620"/>
    <cellStyle name="常规 21 5" xfId="4621"/>
    <cellStyle name="常规 210" xfId="9093"/>
    <cellStyle name="常规 211" xfId="9094"/>
    <cellStyle name="常规 212" xfId="9095"/>
    <cellStyle name="常规 213" xfId="9096"/>
    <cellStyle name="常规 214" xfId="9097"/>
    <cellStyle name="常规 215" xfId="9098"/>
    <cellStyle name="常规 216" xfId="9099"/>
    <cellStyle name="常规 217" xfId="9100"/>
    <cellStyle name="常规 218" xfId="9101"/>
    <cellStyle name="常规 219" xfId="9102"/>
    <cellStyle name="常规 22" xfId="4622"/>
    <cellStyle name="常规 220" xfId="9103"/>
    <cellStyle name="常规 221" xfId="9104"/>
    <cellStyle name="常规 222" xfId="9105"/>
    <cellStyle name="常规 223" xfId="9106"/>
    <cellStyle name="常规 224" xfId="9107"/>
    <cellStyle name="常规 225" xfId="9108"/>
    <cellStyle name="常规 226" xfId="9109"/>
    <cellStyle name="常规 227" xfId="9110"/>
    <cellStyle name="常规 228" xfId="9111"/>
    <cellStyle name="常规 229" xfId="9112"/>
    <cellStyle name="常规 23" xfId="4623"/>
    <cellStyle name="常规 23 2" xfId="4624"/>
    <cellStyle name="常规 23 2 2" xfId="4625"/>
    <cellStyle name="常规 23 2 2 2" xfId="4626"/>
    <cellStyle name="常规 23 2 3" xfId="4627"/>
    <cellStyle name="常规 23 3" xfId="4628"/>
    <cellStyle name="常规 23 3 2" xfId="4629"/>
    <cellStyle name="常规 23 4" xfId="4630"/>
    <cellStyle name="常规 23 4 2" xfId="4631"/>
    <cellStyle name="常规 23 5" xfId="4632"/>
    <cellStyle name="常规 230" xfId="9113"/>
    <cellStyle name="常规 231" xfId="9114"/>
    <cellStyle name="常规 232" xfId="9115"/>
    <cellStyle name="常规 233" xfId="9116"/>
    <cellStyle name="常规 234" xfId="9117"/>
    <cellStyle name="常规 235" xfId="9118"/>
    <cellStyle name="常规 236" xfId="9119"/>
    <cellStyle name="常规 237" xfId="9120"/>
    <cellStyle name="常规 238" xfId="9121"/>
    <cellStyle name="常规 239" xfId="9122"/>
    <cellStyle name="常规 24" xfId="4633"/>
    <cellStyle name="常规 240" xfId="9123"/>
    <cellStyle name="常规 241" xfId="9124"/>
    <cellStyle name="常规 242" xfId="9125"/>
    <cellStyle name="常规 243" xfId="9126"/>
    <cellStyle name="常规 244" xfId="9127"/>
    <cellStyle name="常规 245" xfId="9128"/>
    <cellStyle name="常规 246" xfId="9129"/>
    <cellStyle name="常规 247" xfId="9130"/>
    <cellStyle name="常规 248" xfId="9131"/>
    <cellStyle name="常规 249" xfId="9132"/>
    <cellStyle name="常规 25" xfId="4634"/>
    <cellStyle name="常规 25 2" xfId="4635"/>
    <cellStyle name="常规 25 2 2" xfId="4636"/>
    <cellStyle name="常规 25 2 2 2" xfId="4637"/>
    <cellStyle name="常规 25 2 3" xfId="4638"/>
    <cellStyle name="常规 25 3" xfId="4639"/>
    <cellStyle name="常规 25 3 2" xfId="4640"/>
    <cellStyle name="常规 25 4" xfId="4641"/>
    <cellStyle name="常规 25 4 2" xfId="4642"/>
    <cellStyle name="常规 25 5" xfId="4643"/>
    <cellStyle name="常规 250" xfId="9133"/>
    <cellStyle name="常规 251" xfId="9134"/>
    <cellStyle name="常规 252" xfId="9135"/>
    <cellStyle name="常规 253" xfId="9136"/>
    <cellStyle name="常规 254" xfId="9137"/>
    <cellStyle name="常规 255" xfId="9138"/>
    <cellStyle name="常规 256" xfId="9139"/>
    <cellStyle name="常规 257" xfId="9140"/>
    <cellStyle name="常规 258" xfId="9141"/>
    <cellStyle name="常规 259" xfId="9142"/>
    <cellStyle name="常规 26" xfId="4644"/>
    <cellStyle name="常规 26 2" xfId="4645"/>
    <cellStyle name="常规 26 2 2" xfId="4646"/>
    <cellStyle name="常规 26 2 2 2" xfId="4647"/>
    <cellStyle name="常规 26 2 3" xfId="4648"/>
    <cellStyle name="常规 26 3" xfId="4649"/>
    <cellStyle name="常规 26 3 2" xfId="4650"/>
    <cellStyle name="常规 26 4" xfId="4651"/>
    <cellStyle name="常规 26 4 2" xfId="4652"/>
    <cellStyle name="常规 26 5" xfId="4653"/>
    <cellStyle name="常规 260" xfId="9143"/>
    <cellStyle name="常规 261" xfId="9144"/>
    <cellStyle name="常规 262" xfId="9145"/>
    <cellStyle name="常规 263" xfId="9146"/>
    <cellStyle name="常规 264" xfId="9147"/>
    <cellStyle name="常规 265" xfId="9148"/>
    <cellStyle name="常规 266" xfId="9149"/>
    <cellStyle name="常规 267" xfId="9150"/>
    <cellStyle name="常规 268" xfId="9151"/>
    <cellStyle name="常规 269" xfId="9152"/>
    <cellStyle name="常规 27" xfId="4654"/>
    <cellStyle name="常规 27 2" xfId="4655"/>
    <cellStyle name="常规 27 2 2" xfId="4656"/>
    <cellStyle name="常规 27 2 2 2" xfId="4657"/>
    <cellStyle name="常规 27 2 3" xfId="4658"/>
    <cellStyle name="常规 27 3" xfId="4659"/>
    <cellStyle name="常规 27 3 2" xfId="4660"/>
    <cellStyle name="常规 27 4" xfId="4661"/>
    <cellStyle name="常规 27 4 2" xfId="4662"/>
    <cellStyle name="常规 27 5" xfId="4663"/>
    <cellStyle name="常规 270" xfId="9153"/>
    <cellStyle name="常规 271" xfId="9154"/>
    <cellStyle name="常规 272" xfId="9155"/>
    <cellStyle name="常规 273" xfId="9156"/>
    <cellStyle name="常规 274" xfId="9157"/>
    <cellStyle name="常规 275" xfId="9158"/>
    <cellStyle name="常规 276" xfId="9159"/>
    <cellStyle name="常规 277" xfId="9160"/>
    <cellStyle name="常规 278" xfId="9161"/>
    <cellStyle name="常规 279" xfId="9162"/>
    <cellStyle name="常规 28" xfId="4664"/>
    <cellStyle name="常规 28 2" xfId="4665"/>
    <cellStyle name="常规 28 2 2" xfId="4666"/>
    <cellStyle name="常规 28 2 2 2" xfId="4667"/>
    <cellStyle name="常规 28 2 3" xfId="4668"/>
    <cellStyle name="常规 28 3" xfId="4669"/>
    <cellStyle name="常规 28 3 2" xfId="4670"/>
    <cellStyle name="常规 28 4" xfId="4671"/>
    <cellStyle name="常规 28 4 2" xfId="4672"/>
    <cellStyle name="常规 28 5" xfId="4673"/>
    <cellStyle name="常规 280" xfId="9163"/>
    <cellStyle name="常规 281" xfId="9164"/>
    <cellStyle name="常规 282" xfId="9165"/>
    <cellStyle name="常规 283" xfId="9166"/>
    <cellStyle name="常规 284" xfId="9167"/>
    <cellStyle name="常规 285" xfId="9194"/>
    <cellStyle name="常规 286" xfId="9195"/>
    <cellStyle name="常规 287" xfId="9197"/>
    <cellStyle name="常规 288" xfId="9196"/>
    <cellStyle name="常规 289" xfId="9198"/>
    <cellStyle name="常规 29" xfId="4674"/>
    <cellStyle name="常规 29 2" xfId="4675"/>
    <cellStyle name="常规 29 2 2" xfId="4676"/>
    <cellStyle name="常规 29 2 2 2" xfId="4677"/>
    <cellStyle name="常规 29 2 3" xfId="4678"/>
    <cellStyle name="常规 29 3" xfId="4679"/>
    <cellStyle name="常规 29 3 2" xfId="4680"/>
    <cellStyle name="常规 29 4" xfId="4681"/>
    <cellStyle name="常规 29 4 2" xfId="4682"/>
    <cellStyle name="常规 29 5" xfId="4683"/>
    <cellStyle name="常规 290" xfId="9201"/>
    <cellStyle name="常规 291" xfId="9199"/>
    <cellStyle name="常规 292" xfId="19"/>
    <cellStyle name="常规 293" xfId="20"/>
    <cellStyle name="常规 294" xfId="9205"/>
    <cellStyle name="常规 294 2" xfId="9210"/>
    <cellStyle name="常规 294 2 2" xfId="9325"/>
    <cellStyle name="常规 294 3" xfId="9215"/>
    <cellStyle name="常规 295" xfId="9202"/>
    <cellStyle name="常规 296" xfId="9204"/>
    <cellStyle name="常规 297" xfId="9203"/>
    <cellStyle name="常规 298" xfId="9213"/>
    <cellStyle name="常规 299" xfId="9217"/>
    <cellStyle name="常规 3" xfId="4684"/>
    <cellStyle name="常规 3 10" xfId="4685"/>
    <cellStyle name="常规 3 10 2" xfId="4686"/>
    <cellStyle name="常规 3 11" xfId="4687"/>
    <cellStyle name="常规 3 11 2" xfId="4688"/>
    <cellStyle name="常规 3 12" xfId="4689"/>
    <cellStyle name="常规 3 13" xfId="4690"/>
    <cellStyle name="常规 3 14" xfId="8759"/>
    <cellStyle name="常规 3 14 2" xfId="9282"/>
    <cellStyle name="常规 3 15" xfId="8896"/>
    <cellStyle name="常规 3 16" xfId="8961"/>
    <cellStyle name="常规 3 16 2" xfId="9310"/>
    <cellStyle name="常规 3 17" xfId="8979"/>
    <cellStyle name="常规 3 18" xfId="8998"/>
    <cellStyle name="常规 3 18 2" xfId="9314"/>
    <cellStyle name="常规 3 19" xfId="9208"/>
    <cellStyle name="常规 3 19 2" xfId="9324"/>
    <cellStyle name="常规 3 2" xfId="5"/>
    <cellStyle name="常规 3 2 10" xfId="4692"/>
    <cellStyle name="常规 3 2 10 2" xfId="4693"/>
    <cellStyle name="常规 3 2 11" xfId="4694"/>
    <cellStyle name="常规 3 2 12" xfId="8760"/>
    <cellStyle name="常规 3 2 12 2" xfId="9283"/>
    <cellStyle name="常规 3 2 13" xfId="8906"/>
    <cellStyle name="常规 3 2 14" xfId="8980"/>
    <cellStyle name="常规 3 2 15" xfId="9189"/>
    <cellStyle name="常规 3 2 16" xfId="4691"/>
    <cellStyle name="常规 3 2 17" xfId="9212"/>
    <cellStyle name="常规 3 2 17 2" xfId="9327"/>
    <cellStyle name="常规 3 2 2" xfId="10"/>
    <cellStyle name="常规 3 2 2 2" xfId="4696"/>
    <cellStyle name="常规 3 2 2 2 2" xfId="4697"/>
    <cellStyle name="常规 3 2 2 2 2 2" xfId="4698"/>
    <cellStyle name="常规 3 2 2 2 2 2 2" xfId="4699"/>
    <cellStyle name="常规 3 2 2 2 2 3" xfId="4700"/>
    <cellStyle name="常规 3 2 2 2 3" xfId="4701"/>
    <cellStyle name="常规 3 2 2 2 3 2" xfId="4702"/>
    <cellStyle name="常规 3 2 2 2 4" xfId="4703"/>
    <cellStyle name="常规 3 2 2 2 4 2" xfId="4704"/>
    <cellStyle name="常规 3 2 2 2 5" xfId="4705"/>
    <cellStyle name="常规 3 2 2 3" xfId="4706"/>
    <cellStyle name="常规 3 2 2 3 2" xfId="4707"/>
    <cellStyle name="常规 3 2 2 3 2 2" xfId="4708"/>
    <cellStyle name="常规 3 2 2 3 3" xfId="4709"/>
    <cellStyle name="常规 3 2 2 4" xfId="4710"/>
    <cellStyle name="常规 3 2 2 4 2" xfId="4711"/>
    <cellStyle name="常规 3 2 2 5" xfId="4712"/>
    <cellStyle name="常规 3 2 2 5 2" xfId="4713"/>
    <cellStyle name="常规 3 2 2 6" xfId="4714"/>
    <cellStyle name="常规 3 2 2 7" xfId="4695"/>
    <cellStyle name="常规 3 2 3" xfId="4715"/>
    <cellStyle name="常规 3 2 3 2" xfId="4716"/>
    <cellStyle name="常规 3 2 3 2 2" xfId="4717"/>
    <cellStyle name="常规 3 2 3 2 2 2" xfId="4718"/>
    <cellStyle name="常规 3 2 3 2 3" xfId="4719"/>
    <cellStyle name="常规 3 2 3 3" xfId="4720"/>
    <cellStyle name="常规 3 2 3 3 2" xfId="4721"/>
    <cellStyle name="常规 3 2 3 4" xfId="4722"/>
    <cellStyle name="常规 3 2 3 4 2" xfId="4723"/>
    <cellStyle name="常规 3 2 3 5" xfId="4724"/>
    <cellStyle name="常规 3 2 4" xfId="4725"/>
    <cellStyle name="常规 3 2 4 2" xfId="4726"/>
    <cellStyle name="常规 3 2 4 2 2" xfId="4727"/>
    <cellStyle name="常规 3 2 4 2 2 2" xfId="4728"/>
    <cellStyle name="常规 3 2 4 2 3" xfId="4729"/>
    <cellStyle name="常规 3 2 4 3" xfId="4730"/>
    <cellStyle name="常规 3 2 4 3 2" xfId="4731"/>
    <cellStyle name="常规 3 2 4 4" xfId="4732"/>
    <cellStyle name="常规 3 2 4 4 2" xfId="4733"/>
    <cellStyle name="常规 3 2 4 5" xfId="4734"/>
    <cellStyle name="常规 3 2 5" xfId="4735"/>
    <cellStyle name="常规 3 2 5 2" xfId="4736"/>
    <cellStyle name="常规 3 2 5 2 2" xfId="4737"/>
    <cellStyle name="常规 3 2 5 2 2 2" xfId="4738"/>
    <cellStyle name="常规 3 2 5 2 3" xfId="4739"/>
    <cellStyle name="常规 3 2 5 3" xfId="4740"/>
    <cellStyle name="常规 3 2 5 3 2" xfId="4741"/>
    <cellStyle name="常规 3 2 5 4" xfId="4742"/>
    <cellStyle name="常规 3 2 5 4 2" xfId="4743"/>
    <cellStyle name="常规 3 2 5 5" xfId="4744"/>
    <cellStyle name="常规 3 2 6" xfId="4745"/>
    <cellStyle name="常规 3 2 6 2" xfId="4746"/>
    <cellStyle name="常规 3 2 6 2 2" xfId="4747"/>
    <cellStyle name="常规 3 2 6 3" xfId="4748"/>
    <cellStyle name="常规 3 2 7" xfId="4749"/>
    <cellStyle name="常规 3 2 7 2" xfId="4750"/>
    <cellStyle name="常规 3 2 7 2 2" xfId="4751"/>
    <cellStyle name="常规 3 2 7 3" xfId="4752"/>
    <cellStyle name="常规 3 2 8" xfId="4753"/>
    <cellStyle name="常规 3 2 8 2" xfId="4754"/>
    <cellStyle name="常规 3 2 9" xfId="4755"/>
    <cellStyle name="常规 3 2 9 2" xfId="4756"/>
    <cellStyle name="常规 3 20" xfId="9216"/>
    <cellStyle name="常规 3 3" xfId="4757"/>
    <cellStyle name="常规 3 3 10" xfId="4758"/>
    <cellStyle name="常规 3 3 11" xfId="8942"/>
    <cellStyle name="常规 3 3 2" xfId="4759"/>
    <cellStyle name="常规 3 3 2 2" xfId="4760"/>
    <cellStyle name="常规 3 3 2 2 2" xfId="4761"/>
    <cellStyle name="常规 3 3 2 2 2 2" xfId="4762"/>
    <cellStyle name="常规 3 3 2 2 2 2 2" xfId="4763"/>
    <cellStyle name="常规 3 3 2 2 2 3" xfId="4764"/>
    <cellStyle name="常规 3 3 2 2 3" xfId="4765"/>
    <cellStyle name="常规 3 3 2 2 3 2" xfId="4766"/>
    <cellStyle name="常规 3 3 2 2 4" xfId="4767"/>
    <cellStyle name="常规 3 3 2 2 4 2" xfId="4768"/>
    <cellStyle name="常规 3 3 2 2 5" xfId="4769"/>
    <cellStyle name="常规 3 3 2 3" xfId="4770"/>
    <cellStyle name="常规 3 3 2 3 2" xfId="4771"/>
    <cellStyle name="常规 3 3 2 3 2 2" xfId="4772"/>
    <cellStyle name="常规 3 3 2 3 3" xfId="4773"/>
    <cellStyle name="常规 3 3 2 4" xfId="4774"/>
    <cellStyle name="常规 3 3 2 4 2" xfId="4775"/>
    <cellStyle name="常规 3 3 2 5" xfId="4776"/>
    <cellStyle name="常规 3 3 2 5 2" xfId="4777"/>
    <cellStyle name="常规 3 3 2 6" xfId="4778"/>
    <cellStyle name="常规 3 3 3" xfId="4779"/>
    <cellStyle name="常规 3 3 3 2" xfId="4780"/>
    <cellStyle name="常规 3 3 3 2 2" xfId="4781"/>
    <cellStyle name="常规 3 3 3 2 2 2" xfId="4782"/>
    <cellStyle name="常规 3 3 3 2 3" xfId="4783"/>
    <cellStyle name="常规 3 3 3 3" xfId="4784"/>
    <cellStyle name="常规 3 3 3 3 2" xfId="4785"/>
    <cellStyle name="常规 3 3 3 4" xfId="4786"/>
    <cellStyle name="常规 3 3 3 4 2" xfId="4787"/>
    <cellStyle name="常规 3 3 3 5" xfId="4788"/>
    <cellStyle name="常规 3 3 4" xfId="4789"/>
    <cellStyle name="常规 3 3 4 2" xfId="4790"/>
    <cellStyle name="常规 3 3 4 2 2" xfId="4791"/>
    <cellStyle name="常规 3 3 4 2 2 2" xfId="4792"/>
    <cellStyle name="常规 3 3 4 2 3" xfId="4793"/>
    <cellStyle name="常规 3 3 4 3" xfId="4794"/>
    <cellStyle name="常规 3 3 4 3 2" xfId="4795"/>
    <cellStyle name="常规 3 3 4 4" xfId="4796"/>
    <cellStyle name="常规 3 3 4 4 2" xfId="4797"/>
    <cellStyle name="常规 3 3 4 5" xfId="4798"/>
    <cellStyle name="常规 3 3 5" xfId="4799"/>
    <cellStyle name="常规 3 3 5 2" xfId="4800"/>
    <cellStyle name="常规 3 3 5 2 2" xfId="4801"/>
    <cellStyle name="常规 3 3 5 2 2 2" xfId="4802"/>
    <cellStyle name="常规 3 3 5 2 3" xfId="4803"/>
    <cellStyle name="常规 3 3 5 3" xfId="4804"/>
    <cellStyle name="常规 3 3 5 3 2" xfId="4805"/>
    <cellStyle name="常规 3 3 5 4" xfId="4806"/>
    <cellStyle name="常规 3 3 5 4 2" xfId="4807"/>
    <cellStyle name="常规 3 3 5 5" xfId="4808"/>
    <cellStyle name="常规 3 3 6" xfId="4809"/>
    <cellStyle name="常规 3 3 6 2" xfId="4810"/>
    <cellStyle name="常规 3 3 6 2 2" xfId="4811"/>
    <cellStyle name="常规 3 3 6 3" xfId="4812"/>
    <cellStyle name="常规 3 3 7" xfId="4813"/>
    <cellStyle name="常规 3 3 7 2" xfId="4814"/>
    <cellStyle name="常规 3 3 8" xfId="4815"/>
    <cellStyle name="常规 3 3 8 2" xfId="4816"/>
    <cellStyle name="常规 3 3 9" xfId="4817"/>
    <cellStyle name="常规 3 3 9 2" xfId="4818"/>
    <cellStyle name="常规 3 4" xfId="4819"/>
    <cellStyle name="常规 3 4 2" xfId="4820"/>
    <cellStyle name="常规 3 4 2 2" xfId="4821"/>
    <cellStyle name="常规 3 4 2 2 2" xfId="4822"/>
    <cellStyle name="常规 3 4 2 2 2 2" xfId="4823"/>
    <cellStyle name="常规 3 4 2 2 3" xfId="4824"/>
    <cellStyle name="常规 3 4 2 2 4" xfId="4825"/>
    <cellStyle name="常规 3 4 2 3" xfId="4826"/>
    <cellStyle name="常规 3 4 2 3 2" xfId="4827"/>
    <cellStyle name="常规 3 4 2 4" xfId="4828"/>
    <cellStyle name="常规 3 4 2 4 2" xfId="4829"/>
    <cellStyle name="常规 3 4 2 5" xfId="4830"/>
    <cellStyle name="常规 3 4 2 6" xfId="4831"/>
    <cellStyle name="常规 3 4 3" xfId="4832"/>
    <cellStyle name="常规 3 4 3 2" xfId="4833"/>
    <cellStyle name="常规 3 4 3 2 2" xfId="4834"/>
    <cellStyle name="常规 3 4 3 3" xfId="4835"/>
    <cellStyle name="常规 3 4 3 4" xfId="4836"/>
    <cellStyle name="常规 3 4 4" xfId="4837"/>
    <cellStyle name="常规 3 4 4 2" xfId="4838"/>
    <cellStyle name="常规 3 4 4 2 2" xfId="4839"/>
    <cellStyle name="常规 3 4 4 3" xfId="4840"/>
    <cellStyle name="常规 3 4 4 4" xfId="4841"/>
    <cellStyle name="常规 3 4 5" xfId="4842"/>
    <cellStyle name="常规 3 4 5 2" xfId="4843"/>
    <cellStyle name="常规 3 4 6" xfId="4844"/>
    <cellStyle name="常规 3 4 6 2" xfId="4845"/>
    <cellStyle name="常规 3 4 7" xfId="4846"/>
    <cellStyle name="常规 3 4 8" xfId="8908"/>
    <cellStyle name="常规 3 5" xfId="4847"/>
    <cellStyle name="常规 3 5 2" xfId="4848"/>
    <cellStyle name="常规 3 5 2 2" xfId="4849"/>
    <cellStyle name="常规 3 5 2 2 2" xfId="4850"/>
    <cellStyle name="常规 3 5 2 3" xfId="4851"/>
    <cellStyle name="常规 3 5 2 4" xfId="4852"/>
    <cellStyle name="常规 3 5 3" xfId="4853"/>
    <cellStyle name="常规 3 5 3 2" xfId="4854"/>
    <cellStyle name="常规 3 5 4" xfId="4855"/>
    <cellStyle name="常规 3 5 4 2" xfId="4856"/>
    <cellStyle name="常规 3 5 5" xfId="4857"/>
    <cellStyle name="常规 3 5 6" xfId="4858"/>
    <cellStyle name="常规 3 6" xfId="4859"/>
    <cellStyle name="常规 3 6 2" xfId="4860"/>
    <cellStyle name="常规 3 6 2 2" xfId="4861"/>
    <cellStyle name="常规 3 6 3" xfId="4862"/>
    <cellStyle name="常规 3 6 3 2" xfId="4863"/>
    <cellStyle name="常规 3 6 4" xfId="4864"/>
    <cellStyle name="常规 3 7" xfId="4865"/>
    <cellStyle name="常规 3 7 2" xfId="4866"/>
    <cellStyle name="常规 3 7 2 2" xfId="4867"/>
    <cellStyle name="常规 3 7 2 2 2" xfId="4868"/>
    <cellStyle name="常规 3 7 2 3" xfId="4869"/>
    <cellStyle name="常规 3 7 2 4" xfId="4870"/>
    <cellStyle name="常规 3 7 3" xfId="4871"/>
    <cellStyle name="常规 3 7 3 2" xfId="4872"/>
    <cellStyle name="常规 3 7 4" xfId="4873"/>
    <cellStyle name="常规 3 7 4 2" xfId="4874"/>
    <cellStyle name="常规 3 7 5" xfId="4875"/>
    <cellStyle name="常规 3 7 6" xfId="4876"/>
    <cellStyle name="常规 3 8" xfId="4877"/>
    <cellStyle name="常规 3 8 2" xfId="4878"/>
    <cellStyle name="常规 3 8 2 2" xfId="4879"/>
    <cellStyle name="常规 3 8 3" xfId="4880"/>
    <cellStyle name="常规 3 8 4" xfId="4881"/>
    <cellStyle name="常规 3 9" xfId="4882"/>
    <cellStyle name="常规 3 9 2" xfId="4883"/>
    <cellStyle name="常规 3_统筹-校长（暂估）" xfId="4884"/>
    <cellStyle name="常规 30" xfId="4885"/>
    <cellStyle name="常规 30 2" xfId="4886"/>
    <cellStyle name="常规 30 2 2" xfId="4887"/>
    <cellStyle name="常规 30 2 2 2" xfId="4888"/>
    <cellStyle name="常规 30 2 3" xfId="4889"/>
    <cellStyle name="常规 30 3" xfId="4890"/>
    <cellStyle name="常规 30 3 2" xfId="4891"/>
    <cellStyle name="常规 30 4" xfId="4892"/>
    <cellStyle name="常规 30 4 2" xfId="4893"/>
    <cellStyle name="常规 30 5" xfId="4894"/>
    <cellStyle name="常规 31" xfId="4895"/>
    <cellStyle name="常规 31 2" xfId="4896"/>
    <cellStyle name="常规 31 2 2" xfId="4897"/>
    <cellStyle name="常规 31 2 2 2" xfId="4898"/>
    <cellStyle name="常规 31 2 3" xfId="4899"/>
    <cellStyle name="常规 31 3" xfId="4900"/>
    <cellStyle name="常规 31 3 2" xfId="4901"/>
    <cellStyle name="常规 31 4" xfId="4902"/>
    <cellStyle name="常规 31 4 2" xfId="4903"/>
    <cellStyle name="常规 31 5" xfId="4904"/>
    <cellStyle name="常规 31 6" xfId="8895"/>
    <cellStyle name="常规 32" xfId="4905"/>
    <cellStyle name="常规 32 2" xfId="4906"/>
    <cellStyle name="常规 32 2 2" xfId="4907"/>
    <cellStyle name="常规 32 2 2 2" xfId="4908"/>
    <cellStyle name="常规 32 2 3" xfId="4909"/>
    <cellStyle name="常规 32 3" xfId="4910"/>
    <cellStyle name="常规 32 3 2" xfId="4911"/>
    <cellStyle name="常规 32 4" xfId="4912"/>
    <cellStyle name="常规 32 4 2" xfId="4913"/>
    <cellStyle name="常规 32 5" xfId="4914"/>
    <cellStyle name="常规 33" xfId="4915"/>
    <cellStyle name="常规 33 2" xfId="4916"/>
    <cellStyle name="常规 33 2 2" xfId="4917"/>
    <cellStyle name="常规 33 2 2 2" xfId="4918"/>
    <cellStyle name="常规 33 2 3" xfId="4919"/>
    <cellStyle name="常规 33 3" xfId="4920"/>
    <cellStyle name="常规 33 3 2" xfId="4921"/>
    <cellStyle name="常规 33 4" xfId="4922"/>
    <cellStyle name="常规 33 4 2" xfId="4923"/>
    <cellStyle name="常规 33 5" xfId="4924"/>
    <cellStyle name="常规 34" xfId="4925"/>
    <cellStyle name="常规 34 2" xfId="4926"/>
    <cellStyle name="常规 34 2 2" xfId="4927"/>
    <cellStyle name="常规 34 2 2 2" xfId="4928"/>
    <cellStyle name="常规 34 2 3" xfId="4929"/>
    <cellStyle name="常规 34 3" xfId="4930"/>
    <cellStyle name="常规 34 3 2" xfId="4931"/>
    <cellStyle name="常规 34 4" xfId="4932"/>
    <cellStyle name="常规 34 4 2" xfId="4933"/>
    <cellStyle name="常规 34 5" xfId="4934"/>
    <cellStyle name="常规 35" xfId="4935"/>
    <cellStyle name="常规 35 2" xfId="4936"/>
    <cellStyle name="常规 35 2 2" xfId="4937"/>
    <cellStyle name="常规 35 2 2 2" xfId="4938"/>
    <cellStyle name="常规 35 2 3" xfId="4939"/>
    <cellStyle name="常规 35 3" xfId="4940"/>
    <cellStyle name="常规 35 3 2" xfId="4941"/>
    <cellStyle name="常规 35 4" xfId="4942"/>
    <cellStyle name="常规 35 4 2" xfId="4943"/>
    <cellStyle name="常规 35 5" xfId="4944"/>
    <cellStyle name="常规 36" xfId="4945"/>
    <cellStyle name="常规 36 2" xfId="4946"/>
    <cellStyle name="常规 36 2 2" xfId="4947"/>
    <cellStyle name="常规 36 2 2 2" xfId="4948"/>
    <cellStyle name="常规 36 2 3" xfId="4949"/>
    <cellStyle name="常规 36 3" xfId="4950"/>
    <cellStyle name="常规 36 3 2" xfId="4951"/>
    <cellStyle name="常规 36 4" xfId="4952"/>
    <cellStyle name="常规 36 4 2" xfId="4953"/>
    <cellStyle name="常规 36 5" xfId="4954"/>
    <cellStyle name="常规 37" xfId="4955"/>
    <cellStyle name="常规 37 2" xfId="4956"/>
    <cellStyle name="常规 37 2 2" xfId="4957"/>
    <cellStyle name="常规 37 2 2 2" xfId="4958"/>
    <cellStyle name="常规 37 2 3" xfId="4959"/>
    <cellStyle name="常规 37 3" xfId="4960"/>
    <cellStyle name="常规 37 3 2" xfId="4961"/>
    <cellStyle name="常规 37 4" xfId="4962"/>
    <cellStyle name="常规 37 4 2" xfId="4963"/>
    <cellStyle name="常规 37 5" xfId="4964"/>
    <cellStyle name="常规 38" xfId="4965"/>
    <cellStyle name="常规 38 2" xfId="4966"/>
    <cellStyle name="常规 38 2 2" xfId="4967"/>
    <cellStyle name="常规 38 2 2 2" xfId="4968"/>
    <cellStyle name="常规 38 2 3" xfId="4969"/>
    <cellStyle name="常规 38 3" xfId="4970"/>
    <cellStyle name="常规 38 3 2" xfId="4971"/>
    <cellStyle name="常规 38 4" xfId="4972"/>
    <cellStyle name="常规 38 4 2" xfId="4973"/>
    <cellStyle name="常规 38 5" xfId="4974"/>
    <cellStyle name="常规 39" xfId="4975"/>
    <cellStyle name="常规 39 2" xfId="4976"/>
    <cellStyle name="常规 39 2 2" xfId="4977"/>
    <cellStyle name="常规 39 2 2 2" xfId="4978"/>
    <cellStyle name="常规 39 2 3" xfId="4979"/>
    <cellStyle name="常规 39 3" xfId="4980"/>
    <cellStyle name="常规 39 3 2" xfId="4981"/>
    <cellStyle name="常规 39 4" xfId="4982"/>
    <cellStyle name="常规 39 4 2" xfId="4983"/>
    <cellStyle name="常规 39 5" xfId="4984"/>
    <cellStyle name="常规 4" xfId="4985"/>
    <cellStyle name="常规 4 10" xfId="4986"/>
    <cellStyle name="常规 4 10 2" xfId="4987"/>
    <cellStyle name="常规 4 11" xfId="4988"/>
    <cellStyle name="常规 4 11 2" xfId="4989"/>
    <cellStyle name="常规 4 12" xfId="4990"/>
    <cellStyle name="常规 4 13" xfId="8604"/>
    <cellStyle name="常规 4 14" xfId="8761"/>
    <cellStyle name="常规 4 14 2" xfId="9284"/>
    <cellStyle name="常规 4 15" xfId="8889"/>
    <cellStyle name="常规 4 16" xfId="8981"/>
    <cellStyle name="常规 4 16 2" xfId="9312"/>
    <cellStyle name="常规 4 17" xfId="9172"/>
    <cellStyle name="常规 4 17 2" xfId="9317"/>
    <cellStyle name="常规 4 18" xfId="9206"/>
    <cellStyle name="常规 4 2" xfId="4991"/>
    <cellStyle name="常规 4 2 2" xfId="4992"/>
    <cellStyle name="常规 4 2 2 2" xfId="4993"/>
    <cellStyle name="常规 4 2 2 2 2" xfId="4994"/>
    <cellStyle name="常规 4 2 2 2 2 2" xfId="4995"/>
    <cellStyle name="常规 4 2 2 2 3" xfId="4996"/>
    <cellStyle name="常规 4 2 2 3" xfId="4997"/>
    <cellStyle name="常规 4 2 2 3 2" xfId="4998"/>
    <cellStyle name="常规 4 2 2 4" xfId="4999"/>
    <cellStyle name="常规 4 2 2 4 2" xfId="5000"/>
    <cellStyle name="常规 4 2 2 5" xfId="5001"/>
    <cellStyle name="常规 4 2 3" xfId="5002"/>
    <cellStyle name="常规 4 2 3 2" xfId="5003"/>
    <cellStyle name="常规 4 2 3 2 2" xfId="5004"/>
    <cellStyle name="常规 4 2 3 3" xfId="5005"/>
    <cellStyle name="常规 4 2 4" xfId="5006"/>
    <cellStyle name="常规 4 2 4 2" xfId="5007"/>
    <cellStyle name="常规 4 2 5" xfId="5008"/>
    <cellStyle name="常规 4 2 5 2" xfId="5009"/>
    <cellStyle name="常规 4 2 6" xfId="5010"/>
    <cellStyle name="常规 4 2 7" xfId="8762"/>
    <cellStyle name="常规 4 2 7 2" xfId="9285"/>
    <cellStyle name="常规 4 2 8" xfId="8918"/>
    <cellStyle name="常规 4 2 9" xfId="9190"/>
    <cellStyle name="常规 4 3" xfId="5011"/>
    <cellStyle name="常规 4 3 2" xfId="5012"/>
    <cellStyle name="常规 4 3 2 2" xfId="5013"/>
    <cellStyle name="常规 4 3 2 2 2" xfId="5014"/>
    <cellStyle name="常规 4 3 2 3" xfId="5015"/>
    <cellStyle name="常规 4 3 3" xfId="5016"/>
    <cellStyle name="常规 4 3 3 2" xfId="5017"/>
    <cellStyle name="常规 4 3 4" xfId="5018"/>
    <cellStyle name="常规 4 3 4 2" xfId="5019"/>
    <cellStyle name="常规 4 3 5" xfId="5020"/>
    <cellStyle name="常规 4 4" xfId="5021"/>
    <cellStyle name="常规 4 4 2" xfId="5022"/>
    <cellStyle name="常规 4 4 2 2" xfId="5023"/>
    <cellStyle name="常规 4 4 2 2 2" xfId="5024"/>
    <cellStyle name="常规 4 4 2 3" xfId="5025"/>
    <cellStyle name="常规 4 4 3" xfId="5026"/>
    <cellStyle name="常规 4 4 3 2" xfId="5027"/>
    <cellStyle name="常规 4 4 4" xfId="5028"/>
    <cellStyle name="常规 4 4 4 2" xfId="5029"/>
    <cellStyle name="常规 4 4 5" xfId="5030"/>
    <cellStyle name="常规 4 5" xfId="5031"/>
    <cellStyle name="常规 4 5 2" xfId="5032"/>
    <cellStyle name="常规 4 5 2 2" xfId="5033"/>
    <cellStyle name="常规 4 5 2 2 2" xfId="5034"/>
    <cellStyle name="常规 4 5 2 3" xfId="5035"/>
    <cellStyle name="常规 4 5 3" xfId="5036"/>
    <cellStyle name="常规 4 5 3 2" xfId="5037"/>
    <cellStyle name="常规 4 5 4" xfId="5038"/>
    <cellStyle name="常规 4 5 4 2" xfId="5039"/>
    <cellStyle name="常规 4 5 5" xfId="5040"/>
    <cellStyle name="常规 4 6" xfId="5041"/>
    <cellStyle name="常规 4 6 2" xfId="5042"/>
    <cellStyle name="常规 4 6 2 2" xfId="5043"/>
    <cellStyle name="常规 4 6 2 2 2" xfId="5044"/>
    <cellStyle name="常规 4 6 2 3" xfId="5045"/>
    <cellStyle name="常规 4 6 3" xfId="5046"/>
    <cellStyle name="常规 4 6 3 2" xfId="5047"/>
    <cellStyle name="常规 4 6 4" xfId="5048"/>
    <cellStyle name="常规 4 6 4 2" xfId="5049"/>
    <cellStyle name="常规 4 6 5" xfId="5050"/>
    <cellStyle name="常规 4 7" xfId="5051"/>
    <cellStyle name="常规 4 7 2" xfId="5052"/>
    <cellStyle name="常规 4 7 2 2" xfId="5053"/>
    <cellStyle name="常规 4 7 3" xfId="5054"/>
    <cellStyle name="常规 4 8" xfId="5055"/>
    <cellStyle name="常规 4 8 2" xfId="5056"/>
    <cellStyle name="常规 4 8 2 2" xfId="5057"/>
    <cellStyle name="常规 4 8 3" xfId="5058"/>
    <cellStyle name="常规 4 9" xfId="5059"/>
    <cellStyle name="常规 4 9 2" xfId="5060"/>
    <cellStyle name="常规 40" xfId="5061"/>
    <cellStyle name="常规 40 2" xfId="5062"/>
    <cellStyle name="常规 40 2 2" xfId="5063"/>
    <cellStyle name="常规 40 2 2 2" xfId="5064"/>
    <cellStyle name="常规 40 2 3" xfId="5065"/>
    <cellStyle name="常规 40 3" xfId="5066"/>
    <cellStyle name="常规 40 3 2" xfId="5067"/>
    <cellStyle name="常规 40 4" xfId="5068"/>
    <cellStyle name="常规 40 4 2" xfId="5069"/>
    <cellStyle name="常规 40 5" xfId="5070"/>
    <cellStyle name="常规 41" xfId="5071"/>
    <cellStyle name="常规 41 2" xfId="5072"/>
    <cellStyle name="常规 41 2 2" xfId="5073"/>
    <cellStyle name="常规 41 2 2 2" xfId="5074"/>
    <cellStyle name="常规 41 2 3" xfId="5075"/>
    <cellStyle name="常规 41 3" xfId="5076"/>
    <cellStyle name="常规 41 3 2" xfId="5077"/>
    <cellStyle name="常规 41 4" xfId="5078"/>
    <cellStyle name="常规 41 4 2" xfId="5079"/>
    <cellStyle name="常规 41 5" xfId="5080"/>
    <cellStyle name="常规 42" xfId="5081"/>
    <cellStyle name="常规 42 2" xfId="5082"/>
    <cellStyle name="常规 42 2 2" xfId="5083"/>
    <cellStyle name="常规 42 2 2 2" xfId="5084"/>
    <cellStyle name="常规 42 2 3" xfId="5085"/>
    <cellStyle name="常规 42 3" xfId="5086"/>
    <cellStyle name="常规 42 3 2" xfId="5087"/>
    <cellStyle name="常规 42 4" xfId="5088"/>
    <cellStyle name="常规 42 4 2" xfId="5089"/>
    <cellStyle name="常规 42 5" xfId="5090"/>
    <cellStyle name="常规 43" xfId="5091"/>
    <cellStyle name="常规 43 2" xfId="5092"/>
    <cellStyle name="常规 43 2 2" xfId="5093"/>
    <cellStyle name="常规 43 2 2 2" xfId="5094"/>
    <cellStyle name="常规 43 2 3" xfId="5095"/>
    <cellStyle name="常规 43 3" xfId="5096"/>
    <cellStyle name="常规 43 3 2" xfId="5097"/>
    <cellStyle name="常规 43 4" xfId="5098"/>
    <cellStyle name="常规 43 4 2" xfId="5099"/>
    <cellStyle name="常规 43 5" xfId="5100"/>
    <cellStyle name="常规 44" xfId="5101"/>
    <cellStyle name="常规 44 2" xfId="5102"/>
    <cellStyle name="常规 44 2 2" xfId="5103"/>
    <cellStyle name="常规 44 2 2 2" xfId="5104"/>
    <cellStyle name="常规 44 2 3" xfId="5105"/>
    <cellStyle name="常规 44 3" xfId="5106"/>
    <cellStyle name="常规 44 3 2" xfId="5107"/>
    <cellStyle name="常规 44 4" xfId="5108"/>
    <cellStyle name="常规 44 4 2" xfId="5109"/>
    <cellStyle name="常规 44 5" xfId="5110"/>
    <cellStyle name="常规 45" xfId="5111"/>
    <cellStyle name="常规 45 2" xfId="5112"/>
    <cellStyle name="常规 45 2 2" xfId="5113"/>
    <cellStyle name="常规 45 2 2 2" xfId="5114"/>
    <cellStyle name="常规 45 2 3" xfId="5115"/>
    <cellStyle name="常规 45 3" xfId="5116"/>
    <cellStyle name="常规 45 3 2" xfId="5117"/>
    <cellStyle name="常规 45 4" xfId="5118"/>
    <cellStyle name="常规 45 4 2" xfId="5119"/>
    <cellStyle name="常规 45 5" xfId="5120"/>
    <cellStyle name="常规 46" xfId="5121"/>
    <cellStyle name="常规 46 2" xfId="5122"/>
    <cellStyle name="常规 46 2 2" xfId="5123"/>
    <cellStyle name="常规 46 2 2 2" xfId="5124"/>
    <cellStyle name="常规 46 2 3" xfId="5125"/>
    <cellStyle name="常规 46 3" xfId="5126"/>
    <cellStyle name="常规 46 3 2" xfId="5127"/>
    <cellStyle name="常规 46 4" xfId="5128"/>
    <cellStyle name="常规 46 4 2" xfId="5129"/>
    <cellStyle name="常规 46 5" xfId="5130"/>
    <cellStyle name="常规 47" xfId="5131"/>
    <cellStyle name="常规 47 2" xfId="5132"/>
    <cellStyle name="常规 47 2 2" xfId="5133"/>
    <cellStyle name="常规 47 2 2 2" xfId="5134"/>
    <cellStyle name="常规 47 2 3" xfId="5135"/>
    <cellStyle name="常规 47 3" xfId="5136"/>
    <cellStyle name="常规 47 3 2" xfId="5137"/>
    <cellStyle name="常规 47 4" xfId="5138"/>
    <cellStyle name="常规 47 4 2" xfId="5139"/>
    <cellStyle name="常规 47 5" xfId="5140"/>
    <cellStyle name="常规 48" xfId="5141"/>
    <cellStyle name="常规 48 2" xfId="5142"/>
    <cellStyle name="常规 48 2 2" xfId="5143"/>
    <cellStyle name="常规 48 2 2 2" xfId="5144"/>
    <cellStyle name="常规 48 2 3" xfId="5145"/>
    <cellStyle name="常规 48 3" xfId="5146"/>
    <cellStyle name="常规 48 3 2" xfId="5147"/>
    <cellStyle name="常规 48 4" xfId="5148"/>
    <cellStyle name="常规 48 4 2" xfId="5149"/>
    <cellStyle name="常规 48 5" xfId="5150"/>
    <cellStyle name="常规 49" xfId="5151"/>
    <cellStyle name="常规 49 2" xfId="5152"/>
    <cellStyle name="常规 49 2 2" xfId="5153"/>
    <cellStyle name="常规 49 2 2 2" xfId="5154"/>
    <cellStyle name="常规 49 2 3" xfId="5155"/>
    <cellStyle name="常规 49 3" xfId="5156"/>
    <cellStyle name="常规 49 3 2" xfId="5157"/>
    <cellStyle name="常规 49 4" xfId="5158"/>
    <cellStyle name="常规 49 4 2" xfId="5159"/>
    <cellStyle name="常规 49 5" xfId="5160"/>
    <cellStyle name="常规 5" xfId="5161"/>
    <cellStyle name="常规 5 10" xfId="5162"/>
    <cellStyle name="常规 5 11" xfId="8763"/>
    <cellStyle name="常规 5 12" xfId="8897"/>
    <cellStyle name="常规 5 13" xfId="9173"/>
    <cellStyle name="常规 5 13 2" xfId="9318"/>
    <cellStyle name="常规 5 14" xfId="9209"/>
    <cellStyle name="常规 5 2" xfId="5163"/>
    <cellStyle name="常规 5 2 2" xfId="5164"/>
    <cellStyle name="常规 5 2 2 2" xfId="5165"/>
    <cellStyle name="常规 5 2 2 2 2" xfId="5166"/>
    <cellStyle name="常规 5 2 2 2 2 2" xfId="5167"/>
    <cellStyle name="常规 5 2 2 2 3" xfId="5168"/>
    <cellStyle name="常规 5 2 2 3" xfId="5169"/>
    <cellStyle name="常规 5 2 2 3 2" xfId="5170"/>
    <cellStyle name="常规 5 2 2 4" xfId="5171"/>
    <cellStyle name="常规 5 2 2 4 2" xfId="5172"/>
    <cellStyle name="常规 5 2 2 5" xfId="5173"/>
    <cellStyle name="常规 5 2 3" xfId="5174"/>
    <cellStyle name="常规 5 2 3 2" xfId="5175"/>
    <cellStyle name="常规 5 2 3 2 2" xfId="5176"/>
    <cellStyle name="常规 5 2 3 3" xfId="5177"/>
    <cellStyle name="常规 5 2 4" xfId="5178"/>
    <cellStyle name="常规 5 2 4 2" xfId="5179"/>
    <cellStyle name="常规 5 2 5" xfId="5180"/>
    <cellStyle name="常规 5 2 5 2" xfId="5181"/>
    <cellStyle name="常规 5 2 6" xfId="5182"/>
    <cellStyle name="常规 5 2 7" xfId="8914"/>
    <cellStyle name="常规 5 2 8" xfId="9191"/>
    <cellStyle name="常规 5 3" xfId="5183"/>
    <cellStyle name="常规 5 3 2" xfId="5184"/>
    <cellStyle name="常规 5 3 2 2" xfId="5185"/>
    <cellStyle name="常规 5 3 2 2 2" xfId="5186"/>
    <cellStyle name="常规 5 3 2 3" xfId="5187"/>
    <cellStyle name="常规 5 3 3" xfId="5188"/>
    <cellStyle name="常规 5 3 3 2" xfId="5189"/>
    <cellStyle name="常规 5 3 4" xfId="5190"/>
    <cellStyle name="常规 5 3 4 2" xfId="5191"/>
    <cellStyle name="常规 5 3 5" xfId="5192"/>
    <cellStyle name="常规 5 4" xfId="5193"/>
    <cellStyle name="常规 5 4 2" xfId="5194"/>
    <cellStyle name="常规 5 4 2 2" xfId="5195"/>
    <cellStyle name="常规 5 4 2 2 2" xfId="5196"/>
    <cellStyle name="常规 5 4 2 3" xfId="5197"/>
    <cellStyle name="常规 5 4 3" xfId="5198"/>
    <cellStyle name="常规 5 4 3 2" xfId="5199"/>
    <cellStyle name="常规 5 4 4" xfId="5200"/>
    <cellStyle name="常规 5 4 4 2" xfId="5201"/>
    <cellStyle name="常规 5 4 5" xfId="5202"/>
    <cellStyle name="常规 5 5" xfId="5203"/>
    <cellStyle name="常规 5 5 2" xfId="5204"/>
    <cellStyle name="常规 5 5 2 2" xfId="5205"/>
    <cellStyle name="常规 5 5 2 2 2" xfId="5206"/>
    <cellStyle name="常规 5 5 2 3" xfId="5207"/>
    <cellStyle name="常规 5 5 3" xfId="5208"/>
    <cellStyle name="常规 5 5 3 2" xfId="5209"/>
    <cellStyle name="常规 5 5 4" xfId="5210"/>
    <cellStyle name="常规 5 5 4 2" xfId="5211"/>
    <cellStyle name="常规 5 5 5" xfId="5212"/>
    <cellStyle name="常规 5 6" xfId="5213"/>
    <cellStyle name="常规 5 6 2" xfId="5214"/>
    <cellStyle name="常规 5 6 2 2" xfId="5215"/>
    <cellStyle name="常规 5 6 3" xfId="5216"/>
    <cellStyle name="常规 5 7" xfId="5217"/>
    <cellStyle name="常规 5 7 2" xfId="5218"/>
    <cellStyle name="常规 5 8" xfId="5219"/>
    <cellStyle name="常规 5 8 2" xfId="5220"/>
    <cellStyle name="常规 5 9" xfId="5221"/>
    <cellStyle name="常规 5 9 2" xfId="5222"/>
    <cellStyle name="常规 50" xfId="5223"/>
    <cellStyle name="常规 50 2" xfId="5224"/>
    <cellStyle name="常规 50 2 2" xfId="5225"/>
    <cellStyle name="常规 50 2 2 2" xfId="5226"/>
    <cellStyle name="常规 50 2 3" xfId="5227"/>
    <cellStyle name="常规 50 3" xfId="5228"/>
    <cellStyle name="常规 50 3 2" xfId="5229"/>
    <cellStyle name="常规 50 4" xfId="5230"/>
    <cellStyle name="常规 50 4 2" xfId="5231"/>
    <cellStyle name="常规 50 5" xfId="5232"/>
    <cellStyle name="常规 51" xfId="5233"/>
    <cellStyle name="常规 51 2" xfId="5234"/>
    <cellStyle name="常规 51 2 2" xfId="5235"/>
    <cellStyle name="常规 51 2 2 2" xfId="5236"/>
    <cellStyle name="常规 51 2 3" xfId="5237"/>
    <cellStyle name="常规 51 3" xfId="5238"/>
    <cellStyle name="常规 51 3 2" xfId="5239"/>
    <cellStyle name="常规 51 4" xfId="5240"/>
    <cellStyle name="常规 51 4 2" xfId="5241"/>
    <cellStyle name="常规 51 5" xfId="5242"/>
    <cellStyle name="常规 52" xfId="5243"/>
    <cellStyle name="常规 52 2" xfId="5244"/>
    <cellStyle name="常规 52 2 2" xfId="5245"/>
    <cellStyle name="常规 52 2 2 2" xfId="5246"/>
    <cellStyle name="常规 52 2 3" xfId="5247"/>
    <cellStyle name="常规 52 3" xfId="5248"/>
    <cellStyle name="常规 52 3 2" xfId="5249"/>
    <cellStyle name="常规 52 4" xfId="5250"/>
    <cellStyle name="常规 52 4 2" xfId="5251"/>
    <cellStyle name="常规 52 5" xfId="5252"/>
    <cellStyle name="常规 53" xfId="5253"/>
    <cellStyle name="常规 53 2" xfId="5254"/>
    <cellStyle name="常规 53 2 2" xfId="5255"/>
    <cellStyle name="常规 53 2 2 2" xfId="5256"/>
    <cellStyle name="常规 53 2 3" xfId="5257"/>
    <cellStyle name="常规 53 3" xfId="5258"/>
    <cellStyle name="常规 53 3 2" xfId="5259"/>
    <cellStyle name="常规 53 4" xfId="5260"/>
    <cellStyle name="常规 53 4 2" xfId="5261"/>
    <cellStyle name="常规 53 5" xfId="5262"/>
    <cellStyle name="常规 54" xfId="5263"/>
    <cellStyle name="常规 54 2" xfId="5264"/>
    <cellStyle name="常规 54 2 2" xfId="5265"/>
    <cellStyle name="常规 54 2 2 2" xfId="5266"/>
    <cellStyle name="常规 54 2 3" xfId="5267"/>
    <cellStyle name="常规 54 3" xfId="5268"/>
    <cellStyle name="常规 54 3 2" xfId="5269"/>
    <cellStyle name="常规 54 4" xfId="5270"/>
    <cellStyle name="常规 54 4 2" xfId="5271"/>
    <cellStyle name="常规 54 5" xfId="5272"/>
    <cellStyle name="常规 55" xfId="5273"/>
    <cellStyle name="常规 55 2" xfId="5274"/>
    <cellStyle name="常规 55 2 2" xfId="5275"/>
    <cellStyle name="常规 55 2 2 2" xfId="5276"/>
    <cellStyle name="常规 55 2 3" xfId="5277"/>
    <cellStyle name="常规 55 3" xfId="5278"/>
    <cellStyle name="常规 55 3 2" xfId="5279"/>
    <cellStyle name="常规 55 4" xfId="5280"/>
    <cellStyle name="常规 55 4 2" xfId="5281"/>
    <cellStyle name="常规 55 5" xfId="5282"/>
    <cellStyle name="常规 56" xfId="5283"/>
    <cellStyle name="常规 56 2" xfId="5284"/>
    <cellStyle name="常规 56 2 2" xfId="5285"/>
    <cellStyle name="常规 56 2 2 2" xfId="5286"/>
    <cellStyle name="常规 56 2 3" xfId="5287"/>
    <cellStyle name="常规 56 3" xfId="5288"/>
    <cellStyle name="常规 56 3 2" xfId="5289"/>
    <cellStyle name="常规 56 4" xfId="5290"/>
    <cellStyle name="常规 56 4 2" xfId="5291"/>
    <cellStyle name="常规 56 5" xfId="5292"/>
    <cellStyle name="常规 57" xfId="5293"/>
    <cellStyle name="常规 57 2" xfId="5294"/>
    <cellStyle name="常规 57 2 2" xfId="5295"/>
    <cellStyle name="常规 57 2 2 2" xfId="5296"/>
    <cellStyle name="常规 57 2 3" xfId="5297"/>
    <cellStyle name="常规 57 3" xfId="5298"/>
    <cellStyle name="常规 57 3 2" xfId="5299"/>
    <cellStyle name="常规 57 4" xfId="5300"/>
    <cellStyle name="常规 57 4 2" xfId="5301"/>
    <cellStyle name="常规 57 5" xfId="5302"/>
    <cellStyle name="常规 58" xfId="5303"/>
    <cellStyle name="常规 58 2" xfId="5304"/>
    <cellStyle name="常规 58 2 2" xfId="5305"/>
    <cellStyle name="常规 58 2 2 2" xfId="5306"/>
    <cellStyle name="常规 58 2 3" xfId="5307"/>
    <cellStyle name="常规 58 3" xfId="5308"/>
    <cellStyle name="常规 58 3 2" xfId="5309"/>
    <cellStyle name="常规 58 4" xfId="5310"/>
    <cellStyle name="常规 58 4 2" xfId="5311"/>
    <cellStyle name="常规 58 5" xfId="5312"/>
    <cellStyle name="常规 58 6" xfId="8899"/>
    <cellStyle name="常规 59" xfId="5313"/>
    <cellStyle name="常规 59 2" xfId="5314"/>
    <cellStyle name="常规 59 2 2" xfId="5315"/>
    <cellStyle name="常规 59 2 2 2" xfId="5316"/>
    <cellStyle name="常规 59 2 3" xfId="5317"/>
    <cellStyle name="常规 59 3" xfId="5318"/>
    <cellStyle name="常规 59 3 2" xfId="5319"/>
    <cellStyle name="常规 59 4" xfId="5320"/>
    <cellStyle name="常规 59 4 2" xfId="5321"/>
    <cellStyle name="常规 59 5" xfId="5322"/>
    <cellStyle name="常规 6" xfId="5323"/>
    <cellStyle name="常规 6 10" xfId="5324"/>
    <cellStyle name="常规 6 11" xfId="8884"/>
    <cellStyle name="常规 6 12" xfId="8999"/>
    <cellStyle name="常规 6 13" xfId="9174"/>
    <cellStyle name="常规 6 13 2" xfId="9319"/>
    <cellStyle name="常规 6 2" xfId="5325"/>
    <cellStyle name="常规 6 2 2" xfId="5326"/>
    <cellStyle name="常规 6 2 2 2" xfId="5327"/>
    <cellStyle name="常规 6 2 2 2 2" xfId="5328"/>
    <cellStyle name="常规 6 2 2 2 2 2" xfId="5329"/>
    <cellStyle name="常规 6 2 2 2 3" xfId="5330"/>
    <cellStyle name="常规 6 2 2 3" xfId="5331"/>
    <cellStyle name="常规 6 2 2 3 2" xfId="5332"/>
    <cellStyle name="常规 6 2 2 4" xfId="5333"/>
    <cellStyle name="常规 6 2 2 4 2" xfId="5334"/>
    <cellStyle name="常规 6 2 2 5" xfId="5335"/>
    <cellStyle name="常规 6 2 3" xfId="5336"/>
    <cellStyle name="常规 6 2 3 2" xfId="5337"/>
    <cellStyle name="常规 6 2 3 2 2" xfId="5338"/>
    <cellStyle name="常规 6 2 3 3" xfId="5339"/>
    <cellStyle name="常规 6 2 4" xfId="5340"/>
    <cellStyle name="常规 6 2 4 2" xfId="5341"/>
    <cellStyle name="常规 6 2 5" xfId="5342"/>
    <cellStyle name="常规 6 2 5 2" xfId="5343"/>
    <cellStyle name="常规 6 2 6" xfId="5344"/>
    <cellStyle name="常规 6 2 7" xfId="9182"/>
    <cellStyle name="常规 6 3" xfId="5345"/>
    <cellStyle name="常规 6 3 2" xfId="5346"/>
    <cellStyle name="常规 6 3 2 2" xfId="5347"/>
    <cellStyle name="常规 6 3 2 2 2" xfId="5348"/>
    <cellStyle name="常规 6 3 2 3" xfId="5349"/>
    <cellStyle name="常规 6 3 3" xfId="5350"/>
    <cellStyle name="常规 6 3 3 2" xfId="5351"/>
    <cellStyle name="常规 6 3 4" xfId="5352"/>
    <cellStyle name="常规 6 3 4 2" xfId="5353"/>
    <cellStyle name="常规 6 3 5" xfId="5354"/>
    <cellStyle name="常规 6 4" xfId="5355"/>
    <cellStyle name="常规 6 4 2" xfId="5356"/>
    <cellStyle name="常规 6 4 2 2" xfId="5357"/>
    <cellStyle name="常规 6 4 2 2 2" xfId="5358"/>
    <cellStyle name="常规 6 4 2 3" xfId="5359"/>
    <cellStyle name="常规 6 4 3" xfId="5360"/>
    <cellStyle name="常规 6 4 3 2" xfId="5361"/>
    <cellStyle name="常规 6 4 4" xfId="5362"/>
    <cellStyle name="常规 6 4 4 2" xfId="5363"/>
    <cellStyle name="常规 6 4 5" xfId="5364"/>
    <cellStyle name="常规 6 5" xfId="5365"/>
    <cellStyle name="常规 6 5 2" xfId="5366"/>
    <cellStyle name="常规 6 5 2 2" xfId="5367"/>
    <cellStyle name="常规 6 5 2 2 2" xfId="5368"/>
    <cellStyle name="常规 6 5 2 3" xfId="5369"/>
    <cellStyle name="常规 6 5 3" xfId="5370"/>
    <cellStyle name="常规 6 5 3 2" xfId="5371"/>
    <cellStyle name="常规 6 5 4" xfId="5372"/>
    <cellStyle name="常规 6 5 4 2" xfId="5373"/>
    <cellStyle name="常规 6 5 5" xfId="5374"/>
    <cellStyle name="常规 6 6" xfId="5375"/>
    <cellStyle name="常规 6 6 2" xfId="5376"/>
    <cellStyle name="常规 6 6 2 2" xfId="5377"/>
    <cellStyle name="常规 6 6 3" xfId="5378"/>
    <cellStyle name="常规 6 7" xfId="5379"/>
    <cellStyle name="常规 6 7 2" xfId="5380"/>
    <cellStyle name="常规 6 8" xfId="5381"/>
    <cellStyle name="常规 6 8 2" xfId="5382"/>
    <cellStyle name="常规 6 9" xfId="5383"/>
    <cellStyle name="常规 6 9 2" xfId="5384"/>
    <cellStyle name="常规 60" xfId="5385"/>
    <cellStyle name="常规 60 2" xfId="5386"/>
    <cellStyle name="常规 60 2 2" xfId="5387"/>
    <cellStyle name="常规 60 2 2 2" xfId="5388"/>
    <cellStyle name="常规 60 2 3" xfId="5389"/>
    <cellStyle name="常规 60 3" xfId="5390"/>
    <cellStyle name="常规 60 3 2" xfId="5391"/>
    <cellStyle name="常规 60 4" xfId="5392"/>
    <cellStyle name="常规 60 4 2" xfId="5393"/>
    <cellStyle name="常规 60 5" xfId="5394"/>
    <cellStyle name="常规 60 6" xfId="8901"/>
    <cellStyle name="常规 61" xfId="5395"/>
    <cellStyle name="常规 61 2" xfId="5396"/>
    <cellStyle name="常规 61 2 2" xfId="5397"/>
    <cellStyle name="常规 61 2 2 2" xfId="5398"/>
    <cellStyle name="常规 61 2 3" xfId="5399"/>
    <cellStyle name="常规 61 3" xfId="5400"/>
    <cellStyle name="常规 61 3 2" xfId="5401"/>
    <cellStyle name="常规 61 4" xfId="5402"/>
    <cellStyle name="常规 61 4 2" xfId="5403"/>
    <cellStyle name="常规 61 5" xfId="5404"/>
    <cellStyle name="常规 61 6" xfId="8902"/>
    <cellStyle name="常规 62" xfId="5405"/>
    <cellStyle name="常规 62 2" xfId="5406"/>
    <cellStyle name="常规 62 2 2" xfId="5407"/>
    <cellStyle name="常规 62 2 2 2" xfId="5408"/>
    <cellStyle name="常规 62 2 3" xfId="5409"/>
    <cellStyle name="常规 62 3" xfId="5410"/>
    <cellStyle name="常规 62 3 2" xfId="5411"/>
    <cellStyle name="常规 62 4" xfId="5412"/>
    <cellStyle name="常规 62 4 2" xfId="5413"/>
    <cellStyle name="常规 62 5" xfId="5414"/>
    <cellStyle name="常规 62 6" xfId="8900"/>
    <cellStyle name="常规 63" xfId="5415"/>
    <cellStyle name="常规 63 2" xfId="5416"/>
    <cellStyle name="常规 63 2 2" xfId="5417"/>
    <cellStyle name="常规 63 2 2 2" xfId="5418"/>
    <cellStyle name="常规 63 2 3" xfId="5419"/>
    <cellStyle name="常规 63 3" xfId="5420"/>
    <cellStyle name="常规 63 3 2" xfId="5421"/>
    <cellStyle name="常规 63 4" xfId="5422"/>
    <cellStyle name="常规 63 4 2" xfId="5423"/>
    <cellStyle name="常规 63 5" xfId="5424"/>
    <cellStyle name="常规 63 6" xfId="8903"/>
    <cellStyle name="常规 64" xfId="5425"/>
    <cellStyle name="常规 64 2" xfId="5426"/>
    <cellStyle name="常规 64 2 2" xfId="5427"/>
    <cellStyle name="常规 64 2 2 2" xfId="5428"/>
    <cellStyle name="常规 64 2 3" xfId="5429"/>
    <cellStyle name="常规 64 3" xfId="5430"/>
    <cellStyle name="常规 64 3 2" xfId="5431"/>
    <cellStyle name="常规 64 4" xfId="5432"/>
    <cellStyle name="常规 64 4 2" xfId="5433"/>
    <cellStyle name="常规 64 5" xfId="5434"/>
    <cellStyle name="常规 65" xfId="5435"/>
    <cellStyle name="常规 65 2" xfId="5436"/>
    <cellStyle name="常规 65 2 2" xfId="5437"/>
    <cellStyle name="常规 65 3" xfId="5438"/>
    <cellStyle name="常规 66" xfId="5439"/>
    <cellStyle name="常规 66 2" xfId="5440"/>
    <cellStyle name="常规 66 2 2" xfId="5441"/>
    <cellStyle name="常规 66 3" xfId="5442"/>
    <cellStyle name="常规 67" xfId="5443"/>
    <cellStyle name="常规 67 2" xfId="5444"/>
    <cellStyle name="常规 67 2 2" xfId="5445"/>
    <cellStyle name="常规 67 3" xfId="5446"/>
    <cellStyle name="常规 68" xfId="5447"/>
    <cellStyle name="常规 68 2" xfId="5448"/>
    <cellStyle name="常规 68 2 2" xfId="5449"/>
    <cellStyle name="常规 68 3" xfId="5450"/>
    <cellStyle name="常规 69" xfId="5451"/>
    <cellStyle name="常规 69 2" xfId="5452"/>
    <cellStyle name="常规 69 2 2" xfId="5453"/>
    <cellStyle name="常规 69 3" xfId="5454"/>
    <cellStyle name="常规 7" xfId="5455"/>
    <cellStyle name="常规 7 10" xfId="5456"/>
    <cellStyle name="常规 7 11" xfId="8888"/>
    <cellStyle name="常规 7 12" xfId="9175"/>
    <cellStyle name="常规 7 12 2" xfId="9320"/>
    <cellStyle name="常规 7 2" xfId="5457"/>
    <cellStyle name="常规 7 2 2" xfId="5458"/>
    <cellStyle name="常规 7 2 2 2" xfId="5459"/>
    <cellStyle name="常规 7 2 2 2 2" xfId="5460"/>
    <cellStyle name="常规 7 2 2 2 2 2" xfId="5461"/>
    <cellStyle name="常规 7 2 2 2 3" xfId="5462"/>
    <cellStyle name="常规 7 2 2 3" xfId="5463"/>
    <cellStyle name="常规 7 2 2 3 2" xfId="5464"/>
    <cellStyle name="常规 7 2 2 4" xfId="5465"/>
    <cellStyle name="常规 7 2 2 4 2" xfId="5466"/>
    <cellStyle name="常规 7 2 2 5" xfId="5467"/>
    <cellStyle name="常规 7 2 3" xfId="5468"/>
    <cellStyle name="常规 7 2 3 2" xfId="5469"/>
    <cellStyle name="常规 7 2 3 2 2" xfId="5470"/>
    <cellStyle name="常规 7 2 3 3" xfId="5471"/>
    <cellStyle name="常规 7 2 4" xfId="5472"/>
    <cellStyle name="常规 7 2 4 2" xfId="5473"/>
    <cellStyle name="常规 7 2 5" xfId="5474"/>
    <cellStyle name="常规 7 2 5 2" xfId="5475"/>
    <cellStyle name="常规 7 2 6" xfId="5476"/>
    <cellStyle name="常规 7 2 7" xfId="9180"/>
    <cellStyle name="常规 7 3" xfId="5477"/>
    <cellStyle name="常规 7 3 2" xfId="5478"/>
    <cellStyle name="常规 7 3 2 2" xfId="5479"/>
    <cellStyle name="常规 7 3 2 2 2" xfId="5480"/>
    <cellStyle name="常规 7 3 2 3" xfId="5481"/>
    <cellStyle name="常规 7 3 3" xfId="5482"/>
    <cellStyle name="常规 7 3 3 2" xfId="5483"/>
    <cellStyle name="常规 7 3 4" xfId="5484"/>
    <cellStyle name="常规 7 3 4 2" xfId="5485"/>
    <cellStyle name="常规 7 3 5" xfId="5486"/>
    <cellStyle name="常规 7 4" xfId="5487"/>
    <cellStyle name="常规 7 4 2" xfId="5488"/>
    <cellStyle name="常规 7 4 2 2" xfId="5489"/>
    <cellStyle name="常规 7 4 2 2 2" xfId="5490"/>
    <cellStyle name="常规 7 4 2 3" xfId="5491"/>
    <cellStyle name="常规 7 4 3" xfId="5492"/>
    <cellStyle name="常规 7 4 3 2" xfId="5493"/>
    <cellStyle name="常规 7 4 4" xfId="5494"/>
    <cellStyle name="常规 7 4 4 2" xfId="5495"/>
    <cellStyle name="常规 7 4 5" xfId="5496"/>
    <cellStyle name="常规 7 5" xfId="5497"/>
    <cellStyle name="常规 7 5 2" xfId="5498"/>
    <cellStyle name="常规 7 5 2 2" xfId="5499"/>
    <cellStyle name="常规 7 5 2 2 2" xfId="5500"/>
    <cellStyle name="常规 7 5 2 3" xfId="5501"/>
    <cellStyle name="常规 7 5 3" xfId="5502"/>
    <cellStyle name="常规 7 5 3 2" xfId="5503"/>
    <cellStyle name="常规 7 5 4" xfId="5504"/>
    <cellStyle name="常规 7 5 4 2" xfId="5505"/>
    <cellStyle name="常规 7 5 5" xfId="5506"/>
    <cellStyle name="常规 7 6" xfId="5507"/>
    <cellStyle name="常规 7 6 2" xfId="5508"/>
    <cellStyle name="常规 7 6 2 2" xfId="5509"/>
    <cellStyle name="常规 7 6 3" xfId="5510"/>
    <cellStyle name="常规 7 7" xfId="5511"/>
    <cellStyle name="常规 7 7 2" xfId="5512"/>
    <cellStyle name="常规 7 8" xfId="5513"/>
    <cellStyle name="常规 7 8 2" xfId="5514"/>
    <cellStyle name="常规 7 9" xfId="5515"/>
    <cellStyle name="常规 7 9 2" xfId="5516"/>
    <cellStyle name="常规 70" xfId="5517"/>
    <cellStyle name="常规 70 2" xfId="5518"/>
    <cellStyle name="常规 70 2 2" xfId="5519"/>
    <cellStyle name="常规 70 3" xfId="5520"/>
    <cellStyle name="常规 71" xfId="5521"/>
    <cellStyle name="常规 71 2" xfId="5522"/>
    <cellStyle name="常规 71 2 2" xfId="5523"/>
    <cellStyle name="常规 71 3" xfId="5524"/>
    <cellStyle name="常规 72" xfId="5525"/>
    <cellStyle name="常规 72 2" xfId="5526"/>
    <cellStyle name="常规 72 2 2" xfId="5527"/>
    <cellStyle name="常规 72 3" xfId="5528"/>
    <cellStyle name="常规 73" xfId="5529"/>
    <cellStyle name="常规 73 2" xfId="5530"/>
    <cellStyle name="常规 73 2 2" xfId="5531"/>
    <cellStyle name="常规 73 3" xfId="5532"/>
    <cellStyle name="常规 74" xfId="5533"/>
    <cellStyle name="常规 74 2" xfId="5534"/>
    <cellStyle name="常规 74 2 2" xfId="5535"/>
    <cellStyle name="常规 74 3" xfId="5536"/>
    <cellStyle name="常规 75" xfId="5537"/>
    <cellStyle name="常规 75 2" xfId="5538"/>
    <cellStyle name="常规 75 2 2" xfId="5539"/>
    <cellStyle name="常规 75 3" xfId="5540"/>
    <cellStyle name="常规 76" xfId="5541"/>
    <cellStyle name="常规 76 2" xfId="5542"/>
    <cellStyle name="常规 76 2 2" xfId="5543"/>
    <cellStyle name="常规 76 3" xfId="5544"/>
    <cellStyle name="常规 77" xfId="5545"/>
    <cellStyle name="常规 77 2" xfId="5546"/>
    <cellStyle name="常规 77 2 2" xfId="5547"/>
    <cellStyle name="常规 77 3" xfId="5548"/>
    <cellStyle name="常规 78" xfId="5549"/>
    <cellStyle name="常规 78 2" xfId="5550"/>
    <cellStyle name="常规 78 2 2" xfId="5551"/>
    <cellStyle name="常规 78 3" xfId="5552"/>
    <cellStyle name="常规 79" xfId="5553"/>
    <cellStyle name="常规 79 2" xfId="5554"/>
    <cellStyle name="常规 79 2 2" xfId="5555"/>
    <cellStyle name="常规 79 3" xfId="5556"/>
    <cellStyle name="常规 8" xfId="13"/>
    <cellStyle name="常规 8 10" xfId="5558"/>
    <cellStyle name="常规 8 11" xfId="8602"/>
    <cellStyle name="常规 8 12" xfId="8890"/>
    <cellStyle name="常规 8 13" xfId="9176"/>
    <cellStyle name="常规 8 13 2" xfId="9321"/>
    <cellStyle name="常规 8 14" xfId="5557"/>
    <cellStyle name="常规 8 2" xfId="15"/>
    <cellStyle name="常规 8 2 2" xfId="5560"/>
    <cellStyle name="常规 8 2 2 2" xfId="5561"/>
    <cellStyle name="常规 8 2 2 2 2" xfId="5562"/>
    <cellStyle name="常规 8 2 2 2 2 2" xfId="5563"/>
    <cellStyle name="常规 8 2 2 2 3" xfId="5564"/>
    <cellStyle name="常规 8 2 2 3" xfId="5565"/>
    <cellStyle name="常规 8 2 2 3 2" xfId="5566"/>
    <cellStyle name="常规 8 2 2 4" xfId="5567"/>
    <cellStyle name="常规 8 2 2 4 2" xfId="5568"/>
    <cellStyle name="常规 8 2 2 5" xfId="5569"/>
    <cellStyle name="常规 8 2 3" xfId="5570"/>
    <cellStyle name="常规 8 2 3 2" xfId="5571"/>
    <cellStyle name="常规 8 2 3 2 2" xfId="5572"/>
    <cellStyle name="常规 8 2 3 3" xfId="5573"/>
    <cellStyle name="常规 8 2 4" xfId="5574"/>
    <cellStyle name="常规 8 2 4 2" xfId="5575"/>
    <cellStyle name="常规 8 2 5" xfId="5576"/>
    <cellStyle name="常规 8 2 5 2" xfId="5577"/>
    <cellStyle name="常规 8 2 6" xfId="5578"/>
    <cellStyle name="常规 8 2 7" xfId="8764"/>
    <cellStyle name="常规 8 2 8" xfId="9184"/>
    <cellStyle name="常规 8 2 9" xfId="5559"/>
    <cellStyle name="常规 8 3" xfId="5579"/>
    <cellStyle name="常规 8 3 2" xfId="5580"/>
    <cellStyle name="常规 8 3 2 2" xfId="5581"/>
    <cellStyle name="常规 8 3 2 2 2" xfId="5582"/>
    <cellStyle name="常规 8 3 2 3" xfId="5583"/>
    <cellStyle name="常规 8 3 3" xfId="5584"/>
    <cellStyle name="常规 8 3 3 2" xfId="5585"/>
    <cellStyle name="常规 8 3 4" xfId="5586"/>
    <cellStyle name="常规 8 3 4 2" xfId="5587"/>
    <cellStyle name="常规 8 3 5" xfId="5588"/>
    <cellStyle name="常规 8 4" xfId="5589"/>
    <cellStyle name="常规 8 4 2" xfId="5590"/>
    <cellStyle name="常规 8 4 2 2" xfId="5591"/>
    <cellStyle name="常规 8 4 2 2 2" xfId="5592"/>
    <cellStyle name="常规 8 4 2 3" xfId="5593"/>
    <cellStyle name="常规 8 4 3" xfId="5594"/>
    <cellStyle name="常规 8 4 3 2" xfId="5595"/>
    <cellStyle name="常规 8 4 4" xfId="5596"/>
    <cellStyle name="常规 8 4 4 2" xfId="5597"/>
    <cellStyle name="常规 8 4 5" xfId="5598"/>
    <cellStyle name="常规 8 5" xfId="5599"/>
    <cellStyle name="常规 8 5 2" xfId="5600"/>
    <cellStyle name="常规 8 5 2 2" xfId="5601"/>
    <cellStyle name="常规 8 5 2 2 2" xfId="5602"/>
    <cellStyle name="常规 8 5 2 3" xfId="5603"/>
    <cellStyle name="常规 8 5 3" xfId="5604"/>
    <cellStyle name="常规 8 5 3 2" xfId="5605"/>
    <cellStyle name="常规 8 5 4" xfId="5606"/>
    <cellStyle name="常规 8 5 4 2" xfId="5607"/>
    <cellStyle name="常规 8 5 5" xfId="5608"/>
    <cellStyle name="常规 8 6" xfId="5609"/>
    <cellStyle name="常规 8 6 2" xfId="5610"/>
    <cellStyle name="常规 8 6 2 2" xfId="5611"/>
    <cellStyle name="常规 8 6 3" xfId="5612"/>
    <cellStyle name="常规 8 7" xfId="5613"/>
    <cellStyle name="常规 8 7 2" xfId="5614"/>
    <cellStyle name="常规 8 8" xfId="5615"/>
    <cellStyle name="常规 8 8 2" xfId="5616"/>
    <cellStyle name="常规 8 9" xfId="5617"/>
    <cellStyle name="常规 8 9 2" xfId="5618"/>
    <cellStyle name="常规 80" xfId="5619"/>
    <cellStyle name="常规 80 2" xfId="5620"/>
    <cellStyle name="常规 80 2 2" xfId="5621"/>
    <cellStyle name="常规 80 3" xfId="5622"/>
    <cellStyle name="常规 81" xfId="5623"/>
    <cellStyle name="常规 81 2" xfId="5624"/>
    <cellStyle name="常规 81 2 2" xfId="5625"/>
    <cellStyle name="常规 81 3" xfId="5626"/>
    <cellStyle name="常规 82" xfId="5627"/>
    <cellStyle name="常规 82 2" xfId="5628"/>
    <cellStyle name="常规 82 2 2" xfId="5629"/>
    <cellStyle name="常规 82 3" xfId="5630"/>
    <cellStyle name="常规 83" xfId="5631"/>
    <cellStyle name="常规 83 2" xfId="5632"/>
    <cellStyle name="常规 83 2 2" xfId="5633"/>
    <cellStyle name="常规 83 3" xfId="5634"/>
    <cellStyle name="常规 84" xfId="5635"/>
    <cellStyle name="常规 84 2" xfId="5636"/>
    <cellStyle name="常规 84 2 2" xfId="5637"/>
    <cellStyle name="常规 84 3" xfId="5638"/>
    <cellStyle name="常规 85" xfId="5639"/>
    <cellStyle name="常规 85 2" xfId="5640"/>
    <cellStyle name="常规 85 2 2" xfId="5641"/>
    <cellStyle name="常规 85 3" xfId="5642"/>
    <cellStyle name="常规 86" xfId="5643"/>
    <cellStyle name="常规 86 2" xfId="5644"/>
    <cellStyle name="常规 86 2 2" xfId="5645"/>
    <cellStyle name="常规 86 3" xfId="5646"/>
    <cellStyle name="常规 87" xfId="5647"/>
    <cellStyle name="常规 87 2" xfId="5648"/>
    <cellStyle name="常规 87 2 2" xfId="5649"/>
    <cellStyle name="常规 87 3" xfId="5650"/>
    <cellStyle name="常规 88" xfId="5651"/>
    <cellStyle name="常规 88 2" xfId="5652"/>
    <cellStyle name="常规 88 2 2" xfId="5653"/>
    <cellStyle name="常规 88 3" xfId="5654"/>
    <cellStyle name="常规 89" xfId="5655"/>
    <cellStyle name="常规 89 2" xfId="5656"/>
    <cellStyle name="常规 89 2 2" xfId="5657"/>
    <cellStyle name="常规 89 3" xfId="5658"/>
    <cellStyle name="常规 9" xfId="5659"/>
    <cellStyle name="常规 9 10" xfId="5660"/>
    <cellStyle name="常规 9 11" xfId="8893"/>
    <cellStyle name="常规 9 12" xfId="9177"/>
    <cellStyle name="常规 9 12 2" xfId="9322"/>
    <cellStyle name="常规 9 2" xfId="5661"/>
    <cellStyle name="常规 9 2 2" xfId="5662"/>
    <cellStyle name="常规 9 2 2 2" xfId="5663"/>
    <cellStyle name="常规 9 2 2 2 2" xfId="5664"/>
    <cellStyle name="常规 9 2 2 2 2 2" xfId="5665"/>
    <cellStyle name="常规 9 2 2 2 3" xfId="5666"/>
    <cellStyle name="常规 9 2 2 2 4" xfId="5667"/>
    <cellStyle name="常规 9 2 2 3" xfId="5668"/>
    <cellStyle name="常规 9 2 2 3 2" xfId="5669"/>
    <cellStyle name="常规 9 2 2 4" xfId="5670"/>
    <cellStyle name="常规 9 2 2 4 2" xfId="5671"/>
    <cellStyle name="常规 9 2 2 5" xfId="5672"/>
    <cellStyle name="常规 9 2 2 6" xfId="5673"/>
    <cellStyle name="常规 9 2 3" xfId="5674"/>
    <cellStyle name="常规 9 2 3 2" xfId="5675"/>
    <cellStyle name="常规 9 2 3 2 2" xfId="5676"/>
    <cellStyle name="常规 9 2 3 3" xfId="5677"/>
    <cellStyle name="常规 9 2 3 4" xfId="5678"/>
    <cellStyle name="常规 9 2 4" xfId="5679"/>
    <cellStyle name="常规 9 2 4 2" xfId="5680"/>
    <cellStyle name="常规 9 2 5" xfId="5681"/>
    <cellStyle name="常规 9 2 5 2" xfId="5682"/>
    <cellStyle name="常规 9 2 6" xfId="5683"/>
    <cellStyle name="常规 9 2 7" xfId="5684"/>
    <cellStyle name="常规 9 2 8" xfId="9192"/>
    <cellStyle name="常规 9 3" xfId="5685"/>
    <cellStyle name="常规 9 3 2" xfId="5686"/>
    <cellStyle name="常规 9 3 2 2" xfId="5687"/>
    <cellStyle name="常规 9 3 2 2 2" xfId="5688"/>
    <cellStyle name="常规 9 3 2 3" xfId="5689"/>
    <cellStyle name="常规 9 3 2 4" xfId="5690"/>
    <cellStyle name="常规 9 3 3" xfId="5691"/>
    <cellStyle name="常规 9 3 3 2" xfId="5692"/>
    <cellStyle name="常规 9 3 4" xfId="5693"/>
    <cellStyle name="常规 9 3 4 2" xfId="5694"/>
    <cellStyle name="常规 9 3 5" xfId="5695"/>
    <cellStyle name="常规 9 3 6" xfId="5696"/>
    <cellStyle name="常规 9 4" xfId="5697"/>
    <cellStyle name="常规 9 4 2" xfId="5698"/>
    <cellStyle name="常规 9 4 2 2" xfId="5699"/>
    <cellStyle name="常规 9 4 2 2 2" xfId="5700"/>
    <cellStyle name="常规 9 4 2 3" xfId="5701"/>
    <cellStyle name="常规 9 4 2 4" xfId="5702"/>
    <cellStyle name="常规 9 4 3" xfId="5703"/>
    <cellStyle name="常规 9 4 3 2" xfId="5704"/>
    <cellStyle name="常规 9 4 4" xfId="5705"/>
    <cellStyle name="常规 9 4 4 2" xfId="5706"/>
    <cellStyle name="常规 9 4 5" xfId="5707"/>
    <cellStyle name="常规 9 4 6" xfId="5708"/>
    <cellStyle name="常规 9 5" xfId="5709"/>
    <cellStyle name="常规 9 5 2" xfId="5710"/>
    <cellStyle name="常规 9 5 2 2" xfId="5711"/>
    <cellStyle name="常规 9 5 3" xfId="5712"/>
    <cellStyle name="常规 9 5 4" xfId="5713"/>
    <cellStyle name="常规 9 6" xfId="5714"/>
    <cellStyle name="常规 9 6 2" xfId="5715"/>
    <cellStyle name="常规 9 7" xfId="5716"/>
    <cellStyle name="常规 9 7 2" xfId="5717"/>
    <cellStyle name="常规 9 8" xfId="5718"/>
    <cellStyle name="常规 9 8 2" xfId="5719"/>
    <cellStyle name="常规 9 9" xfId="5720"/>
    <cellStyle name="常规 90" xfId="5721"/>
    <cellStyle name="常规 90 2" xfId="5722"/>
    <cellStyle name="常规 90 2 2" xfId="5723"/>
    <cellStyle name="常规 90 3" xfId="5724"/>
    <cellStyle name="常规 91" xfId="5725"/>
    <cellStyle name="常规 91 2" xfId="5726"/>
    <cellStyle name="常规 91 2 2" xfId="5727"/>
    <cellStyle name="常规 91 3" xfId="5728"/>
    <cellStyle name="常规 92" xfId="5729"/>
    <cellStyle name="常规 92 2" xfId="5730"/>
    <cellStyle name="常规 92 2 2" xfId="5731"/>
    <cellStyle name="常规 92 3" xfId="5732"/>
    <cellStyle name="常规 93" xfId="5733"/>
    <cellStyle name="常规 93 2" xfId="5734"/>
    <cellStyle name="常规 93 2 2" xfId="5735"/>
    <cellStyle name="常规 93 3" xfId="5736"/>
    <cellStyle name="常规 94" xfId="5737"/>
    <cellStyle name="常规 94 2" xfId="5738"/>
    <cellStyle name="常规 94 2 2" xfId="5739"/>
    <cellStyle name="常规 94 3" xfId="5740"/>
    <cellStyle name="常规 95" xfId="5741"/>
    <cellStyle name="常规 95 2" xfId="5742"/>
    <cellStyle name="常规 95 2 2" xfId="5743"/>
    <cellStyle name="常规 95 3" xfId="5744"/>
    <cellStyle name="常规 96" xfId="5745"/>
    <cellStyle name="常规 96 2" xfId="5746"/>
    <cellStyle name="常规 96 2 2" xfId="5747"/>
    <cellStyle name="常规 96 3" xfId="5748"/>
    <cellStyle name="常规 97" xfId="5749"/>
    <cellStyle name="常规 97 2" xfId="5750"/>
    <cellStyle name="常规 97 2 2" xfId="5751"/>
    <cellStyle name="常规 97 3" xfId="5752"/>
    <cellStyle name="常规 98" xfId="5753"/>
    <cellStyle name="常规 98 2" xfId="5754"/>
    <cellStyle name="常规 98 2 2" xfId="5755"/>
    <cellStyle name="常规 98 3" xfId="5756"/>
    <cellStyle name="常规 99" xfId="5757"/>
    <cellStyle name="常规 99 2" xfId="5758"/>
    <cellStyle name="常规 99 2 2" xfId="5759"/>
    <cellStyle name="常规 99 3" xfId="5760"/>
    <cellStyle name="超链接 2" xfId="5761"/>
    <cellStyle name="超链接 2 2" xfId="5762"/>
    <cellStyle name="超链接 2 2 2" xfId="5763"/>
    <cellStyle name="超链接 2 3" xfId="5764"/>
    <cellStyle name="超链接 2 3 2" xfId="5765"/>
    <cellStyle name="超链接 2 4" xfId="5766"/>
    <cellStyle name="好 2" xfId="5767"/>
    <cellStyle name="好 2 10" xfId="8982"/>
    <cellStyle name="好 2 2" xfId="5768"/>
    <cellStyle name="好 2 2 2" xfId="5769"/>
    <cellStyle name="好 2 2 2 2" xfId="5770"/>
    <cellStyle name="好 2 2 2 2 2" xfId="5771"/>
    <cellStyle name="好 2 2 2 3" xfId="5772"/>
    <cellStyle name="好 2 2 3" xfId="5773"/>
    <cellStyle name="好 2 2 3 2" xfId="5774"/>
    <cellStyle name="好 2 2 4" xfId="5775"/>
    <cellStyle name="好 2 2 4 2" xfId="5776"/>
    <cellStyle name="好 2 2 5" xfId="5777"/>
    <cellStyle name="好 2 2 6" xfId="8766"/>
    <cellStyle name="好 2 3" xfId="5778"/>
    <cellStyle name="好 2 3 2" xfId="5779"/>
    <cellStyle name="好 2 3 2 2" xfId="5780"/>
    <cellStyle name="好 2 3 3" xfId="5781"/>
    <cellStyle name="好 2 4" xfId="5782"/>
    <cellStyle name="好 2 4 2" xfId="5783"/>
    <cellStyle name="好 2 5" xfId="5784"/>
    <cellStyle name="好 2 5 2" xfId="5785"/>
    <cellStyle name="好 2 6" xfId="5786"/>
    <cellStyle name="好 2 7" xfId="8605"/>
    <cellStyle name="好 2 8" xfId="8765"/>
    <cellStyle name="好 2 9" xfId="8929"/>
    <cellStyle name="好 3" xfId="5787"/>
    <cellStyle name="好 3 2" xfId="5788"/>
    <cellStyle name="好 3 2 2" xfId="5789"/>
    <cellStyle name="好 3 2 2 2" xfId="5790"/>
    <cellStyle name="好 3 2 2 2 2" xfId="5791"/>
    <cellStyle name="好 3 2 2 3" xfId="5792"/>
    <cellStyle name="好 3 2 3" xfId="5793"/>
    <cellStyle name="好 3 2 3 2" xfId="5794"/>
    <cellStyle name="好 3 2 4" xfId="5795"/>
    <cellStyle name="好 3 2 4 2" xfId="5796"/>
    <cellStyle name="好 3 2 5" xfId="5797"/>
    <cellStyle name="好 3 2 6" xfId="8768"/>
    <cellStyle name="好 3 3" xfId="5798"/>
    <cellStyle name="好 3 3 2" xfId="5799"/>
    <cellStyle name="好 3 3 2 2" xfId="5800"/>
    <cellStyle name="好 3 3 3" xfId="5801"/>
    <cellStyle name="好 3 4" xfId="5802"/>
    <cellStyle name="好 3 4 2" xfId="5803"/>
    <cellStyle name="好 3 5" xfId="5804"/>
    <cellStyle name="好 3 5 2" xfId="5805"/>
    <cellStyle name="好 3 6" xfId="5806"/>
    <cellStyle name="好 3 7" xfId="8767"/>
    <cellStyle name="好 4" xfId="5807"/>
    <cellStyle name="好 4 2" xfId="5808"/>
    <cellStyle name="好 4 2 2" xfId="5809"/>
    <cellStyle name="好 4 2 2 2" xfId="5810"/>
    <cellStyle name="好 4 2 2 2 2" xfId="5811"/>
    <cellStyle name="好 4 2 2 3" xfId="5812"/>
    <cellStyle name="好 4 2 3" xfId="5813"/>
    <cellStyle name="好 4 2 3 2" xfId="5814"/>
    <cellStyle name="好 4 2 4" xfId="5815"/>
    <cellStyle name="好 4 2 4 2" xfId="5816"/>
    <cellStyle name="好 4 2 5" xfId="5817"/>
    <cellStyle name="好 4 2 6" xfId="8770"/>
    <cellStyle name="好 4 3" xfId="5818"/>
    <cellStyle name="好 4 3 2" xfId="5819"/>
    <cellStyle name="好 4 3 2 2" xfId="5820"/>
    <cellStyle name="好 4 3 3" xfId="5821"/>
    <cellStyle name="好 4 4" xfId="5822"/>
    <cellStyle name="好 4 4 2" xfId="5823"/>
    <cellStyle name="好 4 5" xfId="5824"/>
    <cellStyle name="好 4 5 2" xfId="5825"/>
    <cellStyle name="好 4 6" xfId="5826"/>
    <cellStyle name="好 4 7" xfId="8769"/>
    <cellStyle name="好 5" xfId="5827"/>
    <cellStyle name="好 5 2" xfId="5828"/>
    <cellStyle name="好 5 2 2" xfId="5829"/>
    <cellStyle name="好 5 2 2 2" xfId="5830"/>
    <cellStyle name="好 5 2 3" xfId="5831"/>
    <cellStyle name="好 5 3" xfId="5832"/>
    <cellStyle name="好 5 3 2" xfId="5833"/>
    <cellStyle name="好 5 4" xfId="5834"/>
    <cellStyle name="好 5 4 2" xfId="5835"/>
    <cellStyle name="好 5 5" xfId="5836"/>
    <cellStyle name="好 6" xfId="5837"/>
    <cellStyle name="好 6 2" xfId="5838"/>
    <cellStyle name="好 6 2 2" xfId="5839"/>
    <cellStyle name="好 6 2 2 2" xfId="5840"/>
    <cellStyle name="好 6 2 3" xfId="5841"/>
    <cellStyle name="好 6 3" xfId="5842"/>
    <cellStyle name="好 6 3 2" xfId="5843"/>
    <cellStyle name="好 6 4" xfId="5844"/>
    <cellStyle name="好 6 4 2" xfId="5845"/>
    <cellStyle name="好 6 5" xfId="5846"/>
    <cellStyle name="好 7" xfId="5847"/>
    <cellStyle name="好 7 2" xfId="5848"/>
    <cellStyle name="好 7 2 2" xfId="5849"/>
    <cellStyle name="好 7 2 2 2" xfId="5850"/>
    <cellStyle name="好 7 2 3" xfId="5851"/>
    <cellStyle name="好 7 3" xfId="5852"/>
    <cellStyle name="好 7 3 2" xfId="5853"/>
    <cellStyle name="好 7 4" xfId="5854"/>
    <cellStyle name="好 7 4 2" xfId="5855"/>
    <cellStyle name="好 7 5" xfId="5856"/>
    <cellStyle name="好 8" xfId="5857"/>
    <cellStyle name="好 8 2" xfId="5858"/>
    <cellStyle name="好 8 2 2" xfId="5859"/>
    <cellStyle name="好 8 3" xfId="5860"/>
    <cellStyle name="好_2013见习培训经费表下半年(chen)2014年9月" xfId="5861"/>
    <cellStyle name="好_2013见习培训经费表下半年(chen)2014年9月 2" xfId="5862"/>
    <cellStyle name="好_2013见习培训经费表下半年(chen)2014年9月 2 2" xfId="5863"/>
    <cellStyle name="好_2013见习培训经费表下半年(chen)2014年9月 2 2 2" xfId="5864"/>
    <cellStyle name="好_2013见习培训经费表下半年(chen)2014年9月 2 2 2 2" xfId="5865"/>
    <cellStyle name="好_2013见习培训经费表下半年(chen)2014年9月 2 2 2 2 2" xfId="5866"/>
    <cellStyle name="好_2013见习培训经费表下半年(chen)2014年9月 2 2 2 3" xfId="5867"/>
    <cellStyle name="好_2013见习培训经费表下半年(chen)2014年9月 2 2 3" xfId="5868"/>
    <cellStyle name="好_2013见习培训经费表下半年(chen)2014年9月 2 2 3 2" xfId="5869"/>
    <cellStyle name="好_2013见习培训经费表下半年(chen)2014年9月 2 2 4" xfId="5870"/>
    <cellStyle name="好_2013见习培训经费表下半年(chen)2014年9月 2 2 4 2" xfId="5871"/>
    <cellStyle name="好_2013见习培训经费表下半年(chen)2014年9月 2 2 5" xfId="5872"/>
    <cellStyle name="好_2013见习培训经费表下半年(chen)2014年9月 2 3" xfId="5873"/>
    <cellStyle name="好_2013见习培训经费表下半年(chen)2014年9月 2 3 2" xfId="5874"/>
    <cellStyle name="好_2013见习培训经费表下半年(chen)2014年9月 2 3 2 2" xfId="5875"/>
    <cellStyle name="好_2013见习培训经费表下半年(chen)2014年9月 2 3 3" xfId="5876"/>
    <cellStyle name="好_2013见习培训经费表下半年(chen)2014年9月 2 4" xfId="5877"/>
    <cellStyle name="好_2013见习培训经费表下半年(chen)2014年9月 2 4 2" xfId="5878"/>
    <cellStyle name="好_2013见习培训经费表下半年(chen)2014年9月 2 5" xfId="5879"/>
    <cellStyle name="好_2013见习培训经费表下半年(chen)2014年9月 2 5 2" xfId="5880"/>
    <cellStyle name="好_2013见习培训经费表下半年(chen)2014年9月 2 6" xfId="5881"/>
    <cellStyle name="好_2013见习培训经费表下半年(chen)2014年9月 3" xfId="5882"/>
    <cellStyle name="好_2013见习培训经费表下半年(chen)2014年9月 3 2" xfId="5883"/>
    <cellStyle name="好_2013见习培训经费表下半年(chen)2014年9月 3 2 2" xfId="5884"/>
    <cellStyle name="好_2013见习培训经费表下半年(chen)2014年9月 3 2 2 2" xfId="5885"/>
    <cellStyle name="好_2013见习培训经费表下半年(chen)2014年9月 3 2 3" xfId="5886"/>
    <cellStyle name="好_2013见习培训经费表下半年(chen)2014年9月 3 3" xfId="5887"/>
    <cellStyle name="好_2013见习培训经费表下半年(chen)2014年9月 3 3 2" xfId="5888"/>
    <cellStyle name="好_2013见习培训经费表下半年(chen)2014年9月 3 4" xfId="5889"/>
    <cellStyle name="好_2013见习培训经费表下半年(chen)2014年9月 3 4 2" xfId="5890"/>
    <cellStyle name="好_2013见习培训经费表下半年(chen)2014年9月 3 5" xfId="5891"/>
    <cellStyle name="好_2013见习培训经费表下半年(chen)2014年9月 4" xfId="5892"/>
    <cellStyle name="好_2013见习培训经费表下半年(chen)2014年9月 4 2" xfId="5893"/>
    <cellStyle name="好_2013见习培训经费表下半年(chen)2014年9月 4 2 2" xfId="5894"/>
    <cellStyle name="好_2013见习培训经费表下半年(chen)2014年9月 4 2 2 2" xfId="5895"/>
    <cellStyle name="好_2013见习培训经费表下半年(chen)2014年9月 4 2 3" xfId="5896"/>
    <cellStyle name="好_2013见习培训经费表下半年(chen)2014年9月 4 3" xfId="5897"/>
    <cellStyle name="好_2013见习培训经费表下半年(chen)2014年9月 4 3 2" xfId="5898"/>
    <cellStyle name="好_2013见习培训经费表下半年(chen)2014年9月 4 4" xfId="5899"/>
    <cellStyle name="好_2013见习培训经费表下半年(chen)2014年9月 4 4 2" xfId="5900"/>
    <cellStyle name="好_2013见习培训经费表下半年(chen)2014年9月 4 5" xfId="5901"/>
    <cellStyle name="好_2013见习培训经费表下半年(chen)2014年9月 5" xfId="5902"/>
    <cellStyle name="好_2013见习培训经费表下半年(chen)2014年9月 5 2" xfId="5903"/>
    <cellStyle name="好_2013见习培训经费表下半年(chen)2014年9月 5 2 2" xfId="5904"/>
    <cellStyle name="好_2013见习培训经费表下半年(chen)2014年9月 5 3" xfId="5905"/>
    <cellStyle name="好_2013见习培训经费表下半年(chen)2014年9月 6" xfId="5906"/>
    <cellStyle name="好_2013见习培训经费表下半年(chen)2014年9月 6 2" xfId="5907"/>
    <cellStyle name="好_2013见习培训经费表下半年(chen)2014年9月 7" xfId="5908"/>
    <cellStyle name="好_2013见习培训经费表下半年(chen)2014年9月 7 2" xfId="5909"/>
    <cellStyle name="好_2013见习培训经费表下半年(chen)2014年9月 8" xfId="5910"/>
    <cellStyle name="好_2013见习培训经费表下半年(chen)2014年9月 8 2" xfId="5911"/>
    <cellStyle name="好_2013见习培训经费表下半年(chen)2014年9月 9" xfId="5912"/>
    <cellStyle name="好_2014年聘用学校导师带教经费表" xfId="5913"/>
    <cellStyle name="好_2014年聘用学校导师带教经费表 10" xfId="5914"/>
    <cellStyle name="好_2014年聘用学校导师带教经费表 10 2" xfId="5915"/>
    <cellStyle name="好_2014年聘用学校导师带教经费表 11" xfId="5916"/>
    <cellStyle name="好_2014年聘用学校导师带教经费表 2" xfId="5917"/>
    <cellStyle name="好_2014年聘用学校导师带教经费表 2 2" xfId="5918"/>
    <cellStyle name="好_2014年聘用学校导师带教经费表 2 2 2" xfId="5919"/>
    <cellStyle name="好_2014年聘用学校导师带教经费表 2 2 2 2" xfId="5920"/>
    <cellStyle name="好_2014年聘用学校导师带教经费表 2 2 2 2 2" xfId="5921"/>
    <cellStyle name="好_2014年聘用学校导师带教经费表 2 2 2 3" xfId="5922"/>
    <cellStyle name="好_2014年聘用学校导师带教经费表 2 2 3" xfId="5923"/>
    <cellStyle name="好_2014年聘用学校导师带教经费表 2 2 3 2" xfId="5924"/>
    <cellStyle name="好_2014年聘用学校导师带教经费表 2 2 4" xfId="5925"/>
    <cellStyle name="好_2014年聘用学校导师带教经费表 2 2 4 2" xfId="5926"/>
    <cellStyle name="好_2014年聘用学校导师带教经费表 2 2 5" xfId="5927"/>
    <cellStyle name="好_2014年聘用学校导师带教经费表 2 3" xfId="5928"/>
    <cellStyle name="好_2014年聘用学校导师带教经费表 2 3 2" xfId="5929"/>
    <cellStyle name="好_2014年聘用学校导师带教经费表 2 3 2 2" xfId="5930"/>
    <cellStyle name="好_2014年聘用学校导师带教经费表 2 3 3" xfId="5931"/>
    <cellStyle name="好_2014年聘用学校导师带教经费表 2 4" xfId="5932"/>
    <cellStyle name="好_2014年聘用学校导师带教经费表 2 4 2" xfId="5933"/>
    <cellStyle name="好_2014年聘用学校导师带教经费表 2 5" xfId="5934"/>
    <cellStyle name="好_2014年聘用学校导师带教经费表 2 5 2" xfId="5935"/>
    <cellStyle name="好_2014年聘用学校导师带教经费表 2 6" xfId="5936"/>
    <cellStyle name="好_2014年聘用学校导师带教经费表 3" xfId="5937"/>
    <cellStyle name="好_2014年聘用学校导师带教经费表 3 2" xfId="5938"/>
    <cellStyle name="好_2014年聘用学校导师带教经费表 3 2 2" xfId="5939"/>
    <cellStyle name="好_2014年聘用学校导师带教经费表 3 2 2 2" xfId="5940"/>
    <cellStyle name="好_2014年聘用学校导师带教经费表 3 2 2 2 2" xfId="5941"/>
    <cellStyle name="好_2014年聘用学校导师带教经费表 3 2 2 3" xfId="5942"/>
    <cellStyle name="好_2014年聘用学校导师带教经费表 3 2 3" xfId="5943"/>
    <cellStyle name="好_2014年聘用学校导师带教经费表 3 2 3 2" xfId="5944"/>
    <cellStyle name="好_2014年聘用学校导师带教经费表 3 2 4" xfId="5945"/>
    <cellStyle name="好_2014年聘用学校导师带教经费表 3 2 4 2" xfId="5946"/>
    <cellStyle name="好_2014年聘用学校导师带教经费表 3 2 5" xfId="5947"/>
    <cellStyle name="好_2014年聘用学校导师带教经费表 3 3" xfId="5948"/>
    <cellStyle name="好_2014年聘用学校导师带教经费表 3 3 2" xfId="5949"/>
    <cellStyle name="好_2014年聘用学校导师带教经费表 3 3 2 2" xfId="5950"/>
    <cellStyle name="好_2014年聘用学校导师带教经费表 3 3 3" xfId="5951"/>
    <cellStyle name="好_2014年聘用学校导师带教经费表 3 4" xfId="5952"/>
    <cellStyle name="好_2014年聘用学校导师带教经费表 3 4 2" xfId="5953"/>
    <cellStyle name="好_2014年聘用学校导师带教经费表 3 5" xfId="5954"/>
    <cellStyle name="好_2014年聘用学校导师带教经费表 3 5 2" xfId="5955"/>
    <cellStyle name="好_2014年聘用学校导师带教经费表 3 6" xfId="5956"/>
    <cellStyle name="好_2014年聘用学校导师带教经费表 4" xfId="5957"/>
    <cellStyle name="好_2014年聘用学校导师带教经费表 4 2" xfId="5958"/>
    <cellStyle name="好_2014年聘用学校导师带教经费表 4 2 2" xfId="5959"/>
    <cellStyle name="好_2014年聘用学校导师带教经费表 4 2 2 2" xfId="5960"/>
    <cellStyle name="好_2014年聘用学校导师带教经费表 4 2 2 2 2" xfId="5961"/>
    <cellStyle name="好_2014年聘用学校导师带教经费表 4 2 2 3" xfId="5962"/>
    <cellStyle name="好_2014年聘用学校导师带教经费表 4 2 3" xfId="5963"/>
    <cellStyle name="好_2014年聘用学校导师带教经费表 4 2 3 2" xfId="5964"/>
    <cellStyle name="好_2014年聘用学校导师带教经费表 4 2 4" xfId="5965"/>
    <cellStyle name="好_2014年聘用学校导师带教经费表 4 2 4 2" xfId="5966"/>
    <cellStyle name="好_2014年聘用学校导师带教经费表 4 2 5" xfId="5967"/>
    <cellStyle name="好_2014年聘用学校导师带教经费表 4 3" xfId="5968"/>
    <cellStyle name="好_2014年聘用学校导师带教经费表 4 3 2" xfId="5969"/>
    <cellStyle name="好_2014年聘用学校导师带教经费表 4 3 2 2" xfId="5970"/>
    <cellStyle name="好_2014年聘用学校导师带教经费表 4 3 3" xfId="5971"/>
    <cellStyle name="好_2014年聘用学校导师带教经费表 4 4" xfId="5972"/>
    <cellStyle name="好_2014年聘用学校导师带教经费表 4 4 2" xfId="5973"/>
    <cellStyle name="好_2014年聘用学校导师带教经费表 4 5" xfId="5974"/>
    <cellStyle name="好_2014年聘用学校导师带教经费表 4 5 2" xfId="5975"/>
    <cellStyle name="好_2014年聘用学校导师带教经费表 4 6" xfId="5976"/>
    <cellStyle name="好_2014年聘用学校导师带教经费表 5" xfId="5977"/>
    <cellStyle name="好_2014年聘用学校导师带教经费表 5 2" xfId="5978"/>
    <cellStyle name="好_2014年聘用学校导师带教经费表 5 2 2" xfId="5979"/>
    <cellStyle name="好_2014年聘用学校导师带教经费表 5 2 2 2" xfId="5980"/>
    <cellStyle name="好_2014年聘用学校导师带教经费表 5 2 3" xfId="5981"/>
    <cellStyle name="好_2014年聘用学校导师带教经费表 5 3" xfId="5982"/>
    <cellStyle name="好_2014年聘用学校导师带教经费表 5 3 2" xfId="5983"/>
    <cellStyle name="好_2014年聘用学校导师带教经费表 5 4" xfId="5984"/>
    <cellStyle name="好_2014年聘用学校导师带教经费表 5 4 2" xfId="5985"/>
    <cellStyle name="好_2014年聘用学校导师带教经费表 5 5" xfId="5986"/>
    <cellStyle name="好_2014年聘用学校导师带教经费表 6" xfId="5987"/>
    <cellStyle name="好_2014年聘用学校导师带教经费表 6 2" xfId="5988"/>
    <cellStyle name="好_2014年聘用学校导师带教经费表 6 2 2" xfId="5989"/>
    <cellStyle name="好_2014年聘用学校导师带教经费表 6 2 2 2" xfId="5990"/>
    <cellStyle name="好_2014年聘用学校导师带教经费表 6 2 3" xfId="5991"/>
    <cellStyle name="好_2014年聘用学校导师带教经费表 6 3" xfId="5992"/>
    <cellStyle name="好_2014年聘用学校导师带教经费表 6 3 2" xfId="5993"/>
    <cellStyle name="好_2014年聘用学校导师带教经费表 6 4" xfId="5994"/>
    <cellStyle name="好_2014年聘用学校导师带教经费表 6 4 2" xfId="5995"/>
    <cellStyle name="好_2014年聘用学校导师带教经费表 6 5" xfId="5996"/>
    <cellStyle name="好_2014年聘用学校导师带教经费表 7" xfId="5997"/>
    <cellStyle name="好_2014年聘用学校导师带教经费表 7 2" xfId="5998"/>
    <cellStyle name="好_2014年聘用学校导师带教经费表 7 2 2" xfId="5999"/>
    <cellStyle name="好_2014年聘用学校导师带教经费表 7 3" xfId="6000"/>
    <cellStyle name="好_2014年聘用学校导师带教经费表 8" xfId="6001"/>
    <cellStyle name="好_2014年聘用学校导师带教经费表 8 2" xfId="6002"/>
    <cellStyle name="好_2014年聘用学校导师带教经费表 9" xfId="6003"/>
    <cellStyle name="好_2014年聘用学校导师带教经费表 9 2" xfId="6004"/>
    <cellStyle name="好_2014年终考核奖完整版-给核算中心" xfId="6005"/>
    <cellStyle name="好_2014年终考核奖完整版-给核算中心 2" xfId="6006"/>
    <cellStyle name="好_2014年终考核奖完整版-给核算中心 2 2" xfId="6007"/>
    <cellStyle name="好_2014年终考核奖完整版-给核算中心 2 2 2" xfId="6008"/>
    <cellStyle name="好_2014年终考核奖完整版-给核算中心 2 2 2 2" xfId="6009"/>
    <cellStyle name="好_2014年终考核奖完整版-给核算中心 2 2 2 2 2" xfId="6010"/>
    <cellStyle name="好_2014年终考核奖完整版-给核算中心 2 2 2 3" xfId="6011"/>
    <cellStyle name="好_2014年终考核奖完整版-给核算中心 2 2 3" xfId="6012"/>
    <cellStyle name="好_2014年终考核奖完整版-给核算中心 2 2 3 2" xfId="6013"/>
    <cellStyle name="好_2014年终考核奖完整版-给核算中心 2 2 4" xfId="6014"/>
    <cellStyle name="好_2014年终考核奖完整版-给核算中心 2 2 4 2" xfId="6015"/>
    <cellStyle name="好_2014年终考核奖完整版-给核算中心 2 2 5" xfId="6016"/>
    <cellStyle name="好_2014年终考核奖完整版-给核算中心 2 3" xfId="6017"/>
    <cellStyle name="好_2014年终考核奖完整版-给核算中心 2 3 2" xfId="6018"/>
    <cellStyle name="好_2014年终考核奖完整版-给核算中心 2 3 2 2" xfId="6019"/>
    <cellStyle name="好_2014年终考核奖完整版-给核算中心 2 3 3" xfId="6020"/>
    <cellStyle name="好_2014年终考核奖完整版-给核算中心 2 4" xfId="6021"/>
    <cellStyle name="好_2014年终考核奖完整版-给核算中心 2 4 2" xfId="6022"/>
    <cellStyle name="好_2014年终考核奖完整版-给核算中心 2 5" xfId="6023"/>
    <cellStyle name="好_2014年终考核奖完整版-给核算中心 2 5 2" xfId="6024"/>
    <cellStyle name="好_2014年终考核奖完整版-给核算中心 2 6" xfId="6025"/>
    <cellStyle name="好_2014年终考核奖完整版-给核算中心 3" xfId="6026"/>
    <cellStyle name="好_2014年终考核奖完整版-给核算中心 3 2" xfId="6027"/>
    <cellStyle name="好_2014年终考核奖完整版-给核算中心 3 2 2" xfId="6028"/>
    <cellStyle name="好_2014年终考核奖完整版-给核算中心 3 2 2 2" xfId="6029"/>
    <cellStyle name="好_2014年终考核奖完整版-给核算中心 3 2 3" xfId="6030"/>
    <cellStyle name="好_2014年终考核奖完整版-给核算中心 3 3" xfId="6031"/>
    <cellStyle name="好_2014年终考核奖完整版-给核算中心 3 3 2" xfId="6032"/>
    <cellStyle name="好_2014年终考核奖完整版-给核算中心 3 4" xfId="6033"/>
    <cellStyle name="好_2014年终考核奖完整版-给核算中心 3 4 2" xfId="6034"/>
    <cellStyle name="好_2014年终考核奖完整版-给核算中心 3 5" xfId="6035"/>
    <cellStyle name="好_2014年终考核奖完整版-给核算中心 4" xfId="6036"/>
    <cellStyle name="好_2014年终考核奖完整版-给核算中心 4 2" xfId="6037"/>
    <cellStyle name="好_2014年终考核奖完整版-给核算中心 4 2 2" xfId="6038"/>
    <cellStyle name="好_2014年终考核奖完整版-给核算中心 4 2 2 2" xfId="6039"/>
    <cellStyle name="好_2014年终考核奖完整版-给核算中心 4 2 3" xfId="6040"/>
    <cellStyle name="好_2014年终考核奖完整版-给核算中心 4 3" xfId="6041"/>
    <cellStyle name="好_2014年终考核奖完整版-给核算中心 4 3 2" xfId="6042"/>
    <cellStyle name="好_2014年终考核奖完整版-给核算中心 4 4" xfId="6043"/>
    <cellStyle name="好_2014年终考核奖完整版-给核算中心 4 4 2" xfId="6044"/>
    <cellStyle name="好_2014年终考核奖完整版-给核算中心 4 5" xfId="6045"/>
    <cellStyle name="好_2014年终考核奖完整版-给核算中心 5" xfId="6046"/>
    <cellStyle name="好_2014年终考核奖完整版-给核算中心 5 2" xfId="6047"/>
    <cellStyle name="好_2014年终考核奖完整版-给核算中心 5 2 2" xfId="6048"/>
    <cellStyle name="好_2014年终考核奖完整版-给核算中心 5 3" xfId="6049"/>
    <cellStyle name="好_2014年终考核奖完整版-给核算中心 6" xfId="6050"/>
    <cellStyle name="好_2014年终考核奖完整版-给核算中心 6 2" xfId="6051"/>
    <cellStyle name="好_2014年终考核奖完整版-给核算中心 7" xfId="6052"/>
    <cellStyle name="好_2014年终考核奖完整版-给核算中心 7 2" xfId="6053"/>
    <cellStyle name="好_2014年终考核奖完整版-给核算中心 8" xfId="6054"/>
    <cellStyle name="好_2014年终考核奖完整版-给核算中心 8 2" xfId="6055"/>
    <cellStyle name="好_2014年终考核奖完整版-给核算中心 9" xfId="6056"/>
    <cellStyle name="好_2014优秀学校奖励测算表" xfId="6057"/>
    <cellStyle name="好_2014优秀学校奖励测算表 2" xfId="6058"/>
    <cellStyle name="好_2014优秀学校奖励测算表 2 2" xfId="6059"/>
    <cellStyle name="好_2014优秀学校奖励测算表 2 2 2" xfId="6060"/>
    <cellStyle name="好_2014优秀学校奖励测算表 2 2 2 2" xfId="6061"/>
    <cellStyle name="好_2014优秀学校奖励测算表 2 2 2 2 2" xfId="6062"/>
    <cellStyle name="好_2014优秀学校奖励测算表 2 2 2 3" xfId="6063"/>
    <cellStyle name="好_2014优秀学校奖励测算表 2 2 3" xfId="6064"/>
    <cellStyle name="好_2014优秀学校奖励测算表 2 2 3 2" xfId="6065"/>
    <cellStyle name="好_2014优秀学校奖励测算表 2 2 4" xfId="6066"/>
    <cellStyle name="好_2014优秀学校奖励测算表 2 2 4 2" xfId="6067"/>
    <cellStyle name="好_2014优秀学校奖励测算表 2 2 5" xfId="6068"/>
    <cellStyle name="好_2014优秀学校奖励测算表 2 3" xfId="6069"/>
    <cellStyle name="好_2014优秀学校奖励测算表 2 3 2" xfId="6070"/>
    <cellStyle name="好_2014优秀学校奖励测算表 2 3 2 2" xfId="6071"/>
    <cellStyle name="好_2014优秀学校奖励测算表 2 3 3" xfId="6072"/>
    <cellStyle name="好_2014优秀学校奖励测算表 2 4" xfId="6073"/>
    <cellStyle name="好_2014优秀学校奖励测算表 2 4 2" xfId="6074"/>
    <cellStyle name="好_2014优秀学校奖励测算表 2 5" xfId="6075"/>
    <cellStyle name="好_2014优秀学校奖励测算表 2 5 2" xfId="6076"/>
    <cellStyle name="好_2014优秀学校奖励测算表 2 6" xfId="6077"/>
    <cellStyle name="好_2014优秀学校奖励测算表 3" xfId="6078"/>
    <cellStyle name="好_2014优秀学校奖励测算表 3 2" xfId="6079"/>
    <cellStyle name="好_2014优秀学校奖励测算表 3 2 2" xfId="6080"/>
    <cellStyle name="好_2014优秀学校奖励测算表 3 2 2 2" xfId="6081"/>
    <cellStyle name="好_2014优秀学校奖励测算表 3 2 3" xfId="6082"/>
    <cellStyle name="好_2014优秀学校奖励测算表 3 3" xfId="6083"/>
    <cellStyle name="好_2014优秀学校奖励测算表 3 3 2" xfId="6084"/>
    <cellStyle name="好_2014优秀学校奖励测算表 3 4" xfId="6085"/>
    <cellStyle name="好_2014优秀学校奖励测算表 3 4 2" xfId="6086"/>
    <cellStyle name="好_2014优秀学校奖励测算表 3 5" xfId="6087"/>
    <cellStyle name="好_2014优秀学校奖励测算表 4" xfId="6088"/>
    <cellStyle name="好_2014优秀学校奖励测算表 4 2" xfId="6089"/>
    <cellStyle name="好_2014优秀学校奖励测算表 4 2 2" xfId="6090"/>
    <cellStyle name="好_2014优秀学校奖励测算表 4 2 2 2" xfId="6091"/>
    <cellStyle name="好_2014优秀学校奖励测算表 4 2 3" xfId="6092"/>
    <cellStyle name="好_2014优秀学校奖励测算表 4 3" xfId="6093"/>
    <cellStyle name="好_2014优秀学校奖励测算表 4 3 2" xfId="6094"/>
    <cellStyle name="好_2014优秀学校奖励测算表 4 4" xfId="6095"/>
    <cellStyle name="好_2014优秀学校奖励测算表 4 4 2" xfId="6096"/>
    <cellStyle name="好_2014优秀学校奖励测算表 4 5" xfId="6097"/>
    <cellStyle name="好_2014优秀学校奖励测算表 5" xfId="6098"/>
    <cellStyle name="好_2014优秀学校奖励测算表 5 2" xfId="6099"/>
    <cellStyle name="好_2014优秀学校奖励测算表 5 2 2" xfId="6100"/>
    <cellStyle name="好_2014优秀学校奖励测算表 5 3" xfId="6101"/>
    <cellStyle name="好_2014优秀学校奖励测算表 6" xfId="6102"/>
    <cellStyle name="好_2014优秀学校奖励测算表 6 2" xfId="6103"/>
    <cellStyle name="好_2014优秀学校奖励测算表 7" xfId="6104"/>
    <cellStyle name="好_2014优秀学校奖励测算表 7 2" xfId="6105"/>
    <cellStyle name="好_2014优秀学校奖励测算表 8" xfId="6106"/>
    <cellStyle name="好_2014优秀学校奖励测算表 8 2" xfId="6107"/>
    <cellStyle name="好_2014优秀学校奖励测算表 9" xfId="6108"/>
    <cellStyle name="好_2015年年终奖预发表-给核算中心" xfId="6109"/>
    <cellStyle name="好_2015年年终奖预发表-给核算中心 2" xfId="6110"/>
    <cellStyle name="好_2015年年终奖预发表-给核算中心 2 2" xfId="6111"/>
    <cellStyle name="好_2015年年终奖预发表-给核算中心 2 2 2" xfId="6112"/>
    <cellStyle name="好_2015年年终奖预发表-给核算中心 2 2 2 2" xfId="6113"/>
    <cellStyle name="好_2015年年终奖预发表-给核算中心 2 2 2 2 2" xfId="6114"/>
    <cellStyle name="好_2015年年终奖预发表-给核算中心 2 2 2 3" xfId="6115"/>
    <cellStyle name="好_2015年年终奖预发表-给核算中心 2 2 3" xfId="6116"/>
    <cellStyle name="好_2015年年终奖预发表-给核算中心 2 2 3 2" xfId="6117"/>
    <cellStyle name="好_2015年年终奖预发表-给核算中心 2 2 4" xfId="6118"/>
    <cellStyle name="好_2015年年终奖预发表-给核算中心 2 2 4 2" xfId="6119"/>
    <cellStyle name="好_2015年年终奖预发表-给核算中心 2 2 5" xfId="6120"/>
    <cellStyle name="好_2015年年终奖预发表-给核算中心 2 3" xfId="6121"/>
    <cellStyle name="好_2015年年终奖预发表-给核算中心 2 3 2" xfId="6122"/>
    <cellStyle name="好_2015年年终奖预发表-给核算中心 2 3 2 2" xfId="6123"/>
    <cellStyle name="好_2015年年终奖预发表-给核算中心 2 3 3" xfId="6124"/>
    <cellStyle name="好_2015年年终奖预发表-给核算中心 2 4" xfId="6125"/>
    <cellStyle name="好_2015年年终奖预发表-给核算中心 2 4 2" xfId="6126"/>
    <cellStyle name="好_2015年年终奖预发表-给核算中心 2 5" xfId="6127"/>
    <cellStyle name="好_2015年年终奖预发表-给核算中心 2 5 2" xfId="6128"/>
    <cellStyle name="好_2015年年终奖预发表-给核算中心 2 6" xfId="6129"/>
    <cellStyle name="好_2015年年终奖预发表-给核算中心 3" xfId="6130"/>
    <cellStyle name="好_2015年年终奖预发表-给核算中心 3 2" xfId="6131"/>
    <cellStyle name="好_2015年年终奖预发表-给核算中心 3 2 2" xfId="6132"/>
    <cellStyle name="好_2015年年终奖预发表-给核算中心 3 2 2 2" xfId="6133"/>
    <cellStyle name="好_2015年年终奖预发表-给核算中心 3 2 3" xfId="6134"/>
    <cellStyle name="好_2015年年终奖预发表-给核算中心 3 3" xfId="6135"/>
    <cellStyle name="好_2015年年终奖预发表-给核算中心 3 3 2" xfId="6136"/>
    <cellStyle name="好_2015年年终奖预发表-给核算中心 3 4" xfId="6137"/>
    <cellStyle name="好_2015年年终奖预发表-给核算中心 3 4 2" xfId="6138"/>
    <cellStyle name="好_2015年年终奖预发表-给核算中心 3 5" xfId="6139"/>
    <cellStyle name="好_2015年年终奖预发表-给核算中心 4" xfId="6140"/>
    <cellStyle name="好_2015年年终奖预发表-给核算中心 4 2" xfId="6141"/>
    <cellStyle name="好_2015年年终奖预发表-给核算中心 4 2 2" xfId="6142"/>
    <cellStyle name="好_2015年年终奖预发表-给核算中心 4 2 2 2" xfId="6143"/>
    <cellStyle name="好_2015年年终奖预发表-给核算中心 4 2 3" xfId="6144"/>
    <cellStyle name="好_2015年年终奖预发表-给核算中心 4 3" xfId="6145"/>
    <cellStyle name="好_2015年年终奖预发表-给核算中心 4 3 2" xfId="6146"/>
    <cellStyle name="好_2015年年终奖预发表-给核算中心 4 4" xfId="6147"/>
    <cellStyle name="好_2015年年终奖预发表-给核算中心 4 4 2" xfId="6148"/>
    <cellStyle name="好_2015年年终奖预发表-给核算中心 4 5" xfId="6149"/>
    <cellStyle name="好_2015年年终奖预发表-给核算中心 5" xfId="6150"/>
    <cellStyle name="好_2015年年终奖预发表-给核算中心 5 2" xfId="6151"/>
    <cellStyle name="好_2015年年终奖预发表-给核算中心 5 2 2" xfId="6152"/>
    <cellStyle name="好_2015年年终奖预发表-给核算中心 5 3" xfId="6153"/>
    <cellStyle name="好_2015年年终奖预发表-给核算中心 6" xfId="6154"/>
    <cellStyle name="好_2015年年终奖预发表-给核算中心 6 2" xfId="6155"/>
    <cellStyle name="好_2015年年终奖预发表-给核算中心 7" xfId="6156"/>
    <cellStyle name="好_2015年年终奖预发表-给核算中心 7 2" xfId="6157"/>
    <cellStyle name="好_2015年年终奖预发表-给核算中心 8" xfId="6158"/>
    <cellStyle name="好_2015年年终奖预发表-给核算中心 8 2" xfId="6159"/>
    <cellStyle name="好_2015年年终奖预发表-给核算中心 9" xfId="6160"/>
    <cellStyle name="好_2016年3月校长职级工资（核算中心）" xfId="6161"/>
    <cellStyle name="好_2016年3月校长职级工资（核算中心） 2" xfId="6162"/>
    <cellStyle name="好_2016年3月校长职级工资（核算中心） 2 2" xfId="6163"/>
    <cellStyle name="好_2016年3月校长职级工资（核算中心） 2 2 2" xfId="6164"/>
    <cellStyle name="好_2016年3月校长职级工资（核算中心） 2 2 2 2" xfId="6165"/>
    <cellStyle name="好_2016年3月校长职级工资（核算中心） 2 2 2 2 2" xfId="6166"/>
    <cellStyle name="好_2016年3月校长职级工资（核算中心） 2 2 2 3" xfId="6167"/>
    <cellStyle name="好_2016年3月校长职级工资（核算中心） 2 2 3" xfId="6168"/>
    <cellStyle name="好_2016年3月校长职级工资（核算中心） 2 2 3 2" xfId="6169"/>
    <cellStyle name="好_2016年3月校长职级工资（核算中心） 2 2 4" xfId="6170"/>
    <cellStyle name="好_2016年3月校长职级工资（核算中心） 2 2 4 2" xfId="6171"/>
    <cellStyle name="好_2016年3月校长职级工资（核算中心） 2 2 5" xfId="6172"/>
    <cellStyle name="好_2016年3月校长职级工资（核算中心） 2 3" xfId="6173"/>
    <cellStyle name="好_2016年3月校长职级工资（核算中心） 2 3 2" xfId="6174"/>
    <cellStyle name="好_2016年3月校长职级工资（核算中心） 2 3 2 2" xfId="6175"/>
    <cellStyle name="好_2016年3月校长职级工资（核算中心） 2 3 3" xfId="6176"/>
    <cellStyle name="好_2016年3月校长职级工资（核算中心） 2 4" xfId="6177"/>
    <cellStyle name="好_2016年3月校长职级工资（核算中心） 2 4 2" xfId="6178"/>
    <cellStyle name="好_2016年3月校长职级工资（核算中心） 2 5" xfId="6179"/>
    <cellStyle name="好_2016年3月校长职级工资（核算中心） 2 5 2" xfId="6180"/>
    <cellStyle name="好_2016年3月校长职级工资（核算中心） 2 6" xfId="6181"/>
    <cellStyle name="好_2016年3月校长职级工资（核算中心） 3" xfId="6182"/>
    <cellStyle name="好_2016年3月校长职级工资（核算中心） 3 2" xfId="6183"/>
    <cellStyle name="好_2016年3月校长职级工资（核算中心） 3 2 2" xfId="6184"/>
    <cellStyle name="好_2016年3月校长职级工资（核算中心） 3 2 2 2" xfId="6185"/>
    <cellStyle name="好_2016年3月校长职级工资（核算中心） 3 2 3" xfId="6186"/>
    <cellStyle name="好_2016年3月校长职级工资（核算中心） 3 3" xfId="6187"/>
    <cellStyle name="好_2016年3月校长职级工资（核算中心） 3 3 2" xfId="6188"/>
    <cellStyle name="好_2016年3月校长职级工资（核算中心） 3 4" xfId="6189"/>
    <cellStyle name="好_2016年3月校长职级工资（核算中心） 3 4 2" xfId="6190"/>
    <cellStyle name="好_2016年3月校长职级工资（核算中心） 3 5" xfId="6191"/>
    <cellStyle name="好_2016年3月校长职级工资（核算中心） 4" xfId="6192"/>
    <cellStyle name="好_2016年3月校长职级工资（核算中心） 4 2" xfId="6193"/>
    <cellStyle name="好_2016年3月校长职级工资（核算中心） 4 2 2" xfId="6194"/>
    <cellStyle name="好_2016年3月校长职级工资（核算中心） 4 2 2 2" xfId="6195"/>
    <cellStyle name="好_2016年3月校长职级工资（核算中心） 4 2 3" xfId="6196"/>
    <cellStyle name="好_2016年3月校长职级工资（核算中心） 4 3" xfId="6197"/>
    <cellStyle name="好_2016年3月校长职级工资（核算中心） 4 3 2" xfId="6198"/>
    <cellStyle name="好_2016年3月校长职级工资（核算中心） 4 4" xfId="6199"/>
    <cellStyle name="好_2016年3月校长职级工资（核算中心） 4 4 2" xfId="6200"/>
    <cellStyle name="好_2016年3月校长职级工资（核算中心） 4 5" xfId="6201"/>
    <cellStyle name="好_2016年3月校长职级工资（核算中心） 5" xfId="6202"/>
    <cellStyle name="好_2016年3月校长职级工资（核算中心） 5 2" xfId="6203"/>
    <cellStyle name="好_2016年3月校长职级工资（核算中心） 5 2 2" xfId="6204"/>
    <cellStyle name="好_2016年3月校长职级工资（核算中心） 5 3" xfId="6205"/>
    <cellStyle name="好_2016年3月校长职级工资（核算中心） 6" xfId="6206"/>
    <cellStyle name="好_2016年3月校长职级工资（核算中心） 6 2" xfId="6207"/>
    <cellStyle name="好_2016年3月校长职级工资（核算中心） 7" xfId="6208"/>
    <cellStyle name="好_2016年3月校长职级工资（核算中心） 7 2" xfId="6209"/>
    <cellStyle name="好_2016年3月校长职级工资（核算中心） 8" xfId="6210"/>
    <cellStyle name="好_2016年3月校长职级工资（核算中心） 8 2" xfId="6211"/>
    <cellStyle name="好_2016年3月校长职级工资（核算中心） 9" xfId="6212"/>
    <cellStyle name="好_2017" xfId="8921"/>
    <cellStyle name="好_2017 2" xfId="8930"/>
    <cellStyle name="好_2017 2 2" xfId="8984"/>
    <cellStyle name="好_2017 3" xfId="8985"/>
    <cellStyle name="好_2017 4" xfId="8983"/>
    <cellStyle name="好_A0汇总表（报计财科：项目津贴发放）" xfId="6213"/>
    <cellStyle name="好_A0汇总表（报计财科：项目津贴发放） 2" xfId="6214"/>
    <cellStyle name="好_A0汇总表（报计财科：项目津贴发放） 2 2" xfId="6215"/>
    <cellStyle name="好_A0汇总表（报计财科：项目津贴发放） 2 2 2" xfId="6216"/>
    <cellStyle name="好_A0汇总表（报计财科：项目津贴发放） 2 2 2 2" xfId="6217"/>
    <cellStyle name="好_A0汇总表（报计财科：项目津贴发放） 2 2 2 2 2" xfId="6218"/>
    <cellStyle name="好_A0汇总表（报计财科：项目津贴发放） 2 2 2 3" xfId="6219"/>
    <cellStyle name="好_A0汇总表（报计财科：项目津贴发放） 2 2 3" xfId="6220"/>
    <cellStyle name="好_A0汇总表（报计财科：项目津贴发放） 2 2 3 2" xfId="6221"/>
    <cellStyle name="好_A0汇总表（报计财科：项目津贴发放） 2 2 4" xfId="6222"/>
    <cellStyle name="好_A0汇总表（报计财科：项目津贴发放） 2 2 4 2" xfId="6223"/>
    <cellStyle name="好_A0汇总表（报计财科：项目津贴发放） 2 2 5" xfId="6224"/>
    <cellStyle name="好_A0汇总表（报计财科：项目津贴发放） 2 3" xfId="6225"/>
    <cellStyle name="好_A0汇总表（报计财科：项目津贴发放） 2 3 2" xfId="6226"/>
    <cellStyle name="好_A0汇总表（报计财科：项目津贴发放） 2 3 2 2" xfId="6227"/>
    <cellStyle name="好_A0汇总表（报计财科：项目津贴发放） 2 3 3" xfId="6228"/>
    <cellStyle name="好_A0汇总表（报计财科：项目津贴发放） 2 4" xfId="6229"/>
    <cellStyle name="好_A0汇总表（报计财科：项目津贴发放） 2 4 2" xfId="6230"/>
    <cellStyle name="好_A0汇总表（报计财科：项目津贴发放） 2 5" xfId="6231"/>
    <cellStyle name="好_A0汇总表（报计财科：项目津贴发放） 2 5 2" xfId="6232"/>
    <cellStyle name="好_A0汇总表（报计财科：项目津贴发放） 2 6" xfId="6233"/>
    <cellStyle name="好_A0汇总表（报计财科：项目津贴发放） 3" xfId="6234"/>
    <cellStyle name="好_A0汇总表（报计财科：项目津贴发放） 3 2" xfId="6235"/>
    <cellStyle name="好_A0汇总表（报计财科：项目津贴发放） 3 2 2" xfId="6236"/>
    <cellStyle name="好_A0汇总表（报计财科：项目津贴发放） 3 2 2 2" xfId="6237"/>
    <cellStyle name="好_A0汇总表（报计财科：项目津贴发放） 3 2 3" xfId="6238"/>
    <cellStyle name="好_A0汇总表（报计财科：项目津贴发放） 3 3" xfId="6239"/>
    <cellStyle name="好_A0汇总表（报计财科：项目津贴发放） 3 3 2" xfId="6240"/>
    <cellStyle name="好_A0汇总表（报计财科：项目津贴发放） 3 4" xfId="6241"/>
    <cellStyle name="好_A0汇总表（报计财科：项目津贴发放） 3 4 2" xfId="6242"/>
    <cellStyle name="好_A0汇总表（报计财科：项目津贴发放） 3 5" xfId="6243"/>
    <cellStyle name="好_A0汇总表（报计财科：项目津贴发放） 4" xfId="6244"/>
    <cellStyle name="好_A0汇总表（报计财科：项目津贴发放） 4 2" xfId="6245"/>
    <cellStyle name="好_A0汇总表（报计财科：项目津贴发放） 4 2 2" xfId="6246"/>
    <cellStyle name="好_A0汇总表（报计财科：项目津贴发放） 4 2 2 2" xfId="6247"/>
    <cellStyle name="好_A0汇总表（报计财科：项目津贴发放） 4 2 3" xfId="6248"/>
    <cellStyle name="好_A0汇总表（报计财科：项目津贴发放） 4 3" xfId="6249"/>
    <cellStyle name="好_A0汇总表（报计财科：项目津贴发放） 4 3 2" xfId="6250"/>
    <cellStyle name="好_A0汇总表（报计财科：项目津贴发放） 4 4" xfId="6251"/>
    <cellStyle name="好_A0汇总表（报计财科：项目津贴发放） 4 4 2" xfId="6252"/>
    <cellStyle name="好_A0汇总表（报计财科：项目津贴发放） 4 5" xfId="6253"/>
    <cellStyle name="好_A0汇总表（报计财科：项目津贴发放） 5" xfId="6254"/>
    <cellStyle name="好_A0汇总表（报计财科：项目津贴发放） 5 2" xfId="6255"/>
    <cellStyle name="好_A0汇总表（报计财科：项目津贴发放） 5 2 2" xfId="6256"/>
    <cellStyle name="好_A0汇总表（报计财科：项目津贴发放） 5 3" xfId="6257"/>
    <cellStyle name="好_A0汇总表（报计财科：项目津贴发放） 6" xfId="6258"/>
    <cellStyle name="好_A0汇总表（报计财科：项目津贴发放） 6 2" xfId="6259"/>
    <cellStyle name="好_A0汇总表（报计财科：项目津贴发放） 7" xfId="6260"/>
    <cellStyle name="好_A0汇总表（报计财科：项目津贴发放） 7 2" xfId="6261"/>
    <cellStyle name="好_A0汇总表（报计财科：项目津贴发放） 8" xfId="6262"/>
    <cellStyle name="好_A0汇总表（报计财科：项目津贴发放） 8 2" xfId="6263"/>
    <cellStyle name="好_A0汇总表（报计财科：项目津贴发放） 9" xfId="6264"/>
    <cellStyle name="好_统筹-校长（暂估）" xfId="6265"/>
    <cellStyle name="好_统筹-校长（暂估） 2" xfId="6266"/>
    <cellStyle name="好_统筹-校长（暂估） 2 2" xfId="6267"/>
    <cellStyle name="好_统筹-校长（暂估） 2 2 2" xfId="6268"/>
    <cellStyle name="好_统筹-校长（暂估） 2 2 2 2" xfId="6269"/>
    <cellStyle name="好_统筹-校长（暂估） 2 2 2 2 2" xfId="6270"/>
    <cellStyle name="好_统筹-校长（暂估） 2 2 2 3" xfId="6271"/>
    <cellStyle name="好_统筹-校长（暂估） 2 2 3" xfId="6272"/>
    <cellStyle name="好_统筹-校长（暂估） 2 2 3 2" xfId="6273"/>
    <cellStyle name="好_统筹-校长（暂估） 2 2 4" xfId="6274"/>
    <cellStyle name="好_统筹-校长（暂估） 2 2 4 2" xfId="6275"/>
    <cellStyle name="好_统筹-校长（暂估） 2 2 5" xfId="6276"/>
    <cellStyle name="好_统筹-校长（暂估） 2 3" xfId="6277"/>
    <cellStyle name="好_统筹-校长（暂估） 2 3 2" xfId="6278"/>
    <cellStyle name="好_统筹-校长（暂估） 2 3 2 2" xfId="6279"/>
    <cellStyle name="好_统筹-校长（暂估） 2 3 3" xfId="6280"/>
    <cellStyle name="好_统筹-校长（暂估） 2 4" xfId="6281"/>
    <cellStyle name="好_统筹-校长（暂估） 2 4 2" xfId="6282"/>
    <cellStyle name="好_统筹-校长（暂估） 2 5" xfId="6283"/>
    <cellStyle name="好_统筹-校长（暂估） 2 5 2" xfId="6284"/>
    <cellStyle name="好_统筹-校长（暂估） 2 6" xfId="6285"/>
    <cellStyle name="好_统筹-校长（暂估） 3" xfId="6286"/>
    <cellStyle name="好_统筹-校长（暂估） 3 2" xfId="6287"/>
    <cellStyle name="好_统筹-校长（暂估） 3 2 2" xfId="6288"/>
    <cellStyle name="好_统筹-校长（暂估） 3 2 2 2" xfId="6289"/>
    <cellStyle name="好_统筹-校长（暂估） 3 2 3" xfId="6290"/>
    <cellStyle name="好_统筹-校长（暂估） 3 3" xfId="6291"/>
    <cellStyle name="好_统筹-校长（暂估） 3 3 2" xfId="6292"/>
    <cellStyle name="好_统筹-校长（暂估） 3 4" xfId="6293"/>
    <cellStyle name="好_统筹-校长（暂估） 3 4 2" xfId="6294"/>
    <cellStyle name="好_统筹-校长（暂估） 3 5" xfId="6295"/>
    <cellStyle name="好_统筹-校长（暂估） 4" xfId="6296"/>
    <cellStyle name="好_统筹-校长（暂估） 4 2" xfId="6297"/>
    <cellStyle name="好_统筹-校长（暂估） 4 2 2" xfId="6298"/>
    <cellStyle name="好_统筹-校长（暂估） 4 2 2 2" xfId="6299"/>
    <cellStyle name="好_统筹-校长（暂估） 4 2 3" xfId="6300"/>
    <cellStyle name="好_统筹-校长（暂估） 4 3" xfId="6301"/>
    <cellStyle name="好_统筹-校长（暂估） 4 3 2" xfId="6302"/>
    <cellStyle name="好_统筹-校长（暂估） 4 4" xfId="6303"/>
    <cellStyle name="好_统筹-校长（暂估） 4 4 2" xfId="6304"/>
    <cellStyle name="好_统筹-校长（暂估） 4 5" xfId="6305"/>
    <cellStyle name="好_统筹-校长（暂估） 5" xfId="6306"/>
    <cellStyle name="好_统筹-校长（暂估） 5 2" xfId="6307"/>
    <cellStyle name="好_统筹-校长（暂估） 5 2 2" xfId="6308"/>
    <cellStyle name="好_统筹-校长（暂估） 5 3" xfId="6309"/>
    <cellStyle name="好_统筹-校长（暂估） 6" xfId="6310"/>
    <cellStyle name="好_统筹-校长（暂估） 6 2" xfId="6311"/>
    <cellStyle name="好_统筹-校长（暂估） 7" xfId="6312"/>
    <cellStyle name="好_统筹-校长（暂估） 7 2" xfId="6313"/>
    <cellStyle name="好_统筹-校长（暂估） 8" xfId="6314"/>
    <cellStyle name="好_统筹-校长（暂估） 8 2" xfId="6315"/>
    <cellStyle name="好_统筹-校长（暂估） 9" xfId="6316"/>
    <cellStyle name="好_校长、书记2015年增量部分发放清单" xfId="6317"/>
    <cellStyle name="好_校长、书记2015年增量部分发放清单 2" xfId="6318"/>
    <cellStyle name="好_校长、书记2015年增量部分发放清单 2 2" xfId="6319"/>
    <cellStyle name="好_校长、书记2015年增量部分发放清单 2 2 2" xfId="6320"/>
    <cellStyle name="好_校长、书记2015年增量部分发放清单 2 2 2 2" xfId="6321"/>
    <cellStyle name="好_校长、书记2015年增量部分发放清单 2 2 2 2 2" xfId="6322"/>
    <cellStyle name="好_校长、书记2015年增量部分发放清单 2 2 2 3" xfId="6323"/>
    <cellStyle name="好_校长、书记2015年增量部分发放清单 2 2 3" xfId="6324"/>
    <cellStyle name="好_校长、书记2015年增量部分发放清单 2 2 3 2" xfId="6325"/>
    <cellStyle name="好_校长、书记2015年增量部分发放清单 2 2 4" xfId="6326"/>
    <cellStyle name="好_校长、书记2015年增量部分发放清单 2 2 4 2" xfId="6327"/>
    <cellStyle name="好_校长、书记2015年增量部分发放清单 2 2 5" xfId="6328"/>
    <cellStyle name="好_校长、书记2015年增量部分发放清单 2 3" xfId="6329"/>
    <cellStyle name="好_校长、书记2015年增量部分发放清单 2 3 2" xfId="6330"/>
    <cellStyle name="好_校长、书记2015年增量部分发放清单 2 3 2 2" xfId="6331"/>
    <cellStyle name="好_校长、书记2015年增量部分发放清单 2 3 3" xfId="6332"/>
    <cellStyle name="好_校长、书记2015年增量部分发放清单 2 4" xfId="6333"/>
    <cellStyle name="好_校长、书记2015年增量部分发放清单 2 4 2" xfId="6334"/>
    <cellStyle name="好_校长、书记2015年增量部分发放清单 2 5" xfId="6335"/>
    <cellStyle name="好_校长、书记2015年增量部分发放清单 2 5 2" xfId="6336"/>
    <cellStyle name="好_校长、书记2015年增量部分发放清单 2 6" xfId="6337"/>
    <cellStyle name="好_校长、书记2015年增量部分发放清单 3" xfId="6338"/>
    <cellStyle name="好_校长、书记2015年增量部分发放清单 3 2" xfId="6339"/>
    <cellStyle name="好_校长、书记2015年增量部分发放清单 3 2 2" xfId="6340"/>
    <cellStyle name="好_校长、书记2015年增量部分发放清单 3 2 2 2" xfId="6341"/>
    <cellStyle name="好_校长、书记2015年增量部分发放清单 3 2 3" xfId="6342"/>
    <cellStyle name="好_校长、书记2015年增量部分发放清单 3 3" xfId="6343"/>
    <cellStyle name="好_校长、书记2015年增量部分发放清单 3 3 2" xfId="6344"/>
    <cellStyle name="好_校长、书记2015年增量部分发放清单 3 4" xfId="6345"/>
    <cellStyle name="好_校长、书记2015年增量部分发放清单 3 4 2" xfId="6346"/>
    <cellStyle name="好_校长、书记2015年增量部分发放清单 3 5" xfId="6347"/>
    <cellStyle name="好_校长、书记2015年增量部分发放清单 4" xfId="6348"/>
    <cellStyle name="好_校长、书记2015年增量部分发放清单 4 2" xfId="6349"/>
    <cellStyle name="好_校长、书记2015年增量部分发放清单 4 2 2" xfId="6350"/>
    <cellStyle name="好_校长、书记2015年增量部分发放清单 4 2 2 2" xfId="6351"/>
    <cellStyle name="好_校长、书记2015年增量部分发放清单 4 2 3" xfId="6352"/>
    <cellStyle name="好_校长、书记2015年增量部分发放清单 4 3" xfId="6353"/>
    <cellStyle name="好_校长、书记2015年增量部分发放清单 4 3 2" xfId="6354"/>
    <cellStyle name="好_校长、书记2015年增量部分发放清单 4 4" xfId="6355"/>
    <cellStyle name="好_校长、书记2015年增量部分发放清单 4 4 2" xfId="6356"/>
    <cellStyle name="好_校长、书记2015年增量部分发放清单 4 5" xfId="6357"/>
    <cellStyle name="好_校长、书记2015年增量部分发放清单 5" xfId="6358"/>
    <cellStyle name="好_校长、书记2015年增量部分发放清单 5 2" xfId="6359"/>
    <cellStyle name="好_校长、书记2015年增量部分发放清单 5 2 2" xfId="6360"/>
    <cellStyle name="好_校长、书记2015年增量部分发放清单 5 3" xfId="6361"/>
    <cellStyle name="好_校长、书记2015年增量部分发放清单 6" xfId="6362"/>
    <cellStyle name="好_校长、书记2015年增量部分发放清单 6 2" xfId="6363"/>
    <cellStyle name="好_校长、书记2015年增量部分发放清单 7" xfId="6364"/>
    <cellStyle name="好_校长、书记2015年增量部分发放清单 7 2" xfId="6365"/>
    <cellStyle name="好_校长、书记2015年增量部分发放清单 8" xfId="6366"/>
    <cellStyle name="好_校长、书记2015年增量部分发放清单 8 2" xfId="6367"/>
    <cellStyle name="好_校长、书记2015年增量部分发放清单 9" xfId="6368"/>
    <cellStyle name="好_校长职级、亚信会奖励、教师节奖励镇管" xfId="6369"/>
    <cellStyle name="好_校长职级、亚信会奖励、教师节奖励镇管 2" xfId="6370"/>
    <cellStyle name="好_校长职级、亚信会奖励、教师节奖励镇管 2 2" xfId="6371"/>
    <cellStyle name="好_校长职级、亚信会奖励、教师节奖励镇管 2 2 2" xfId="6372"/>
    <cellStyle name="好_校长职级、亚信会奖励、教师节奖励镇管 2 2 2 2" xfId="6373"/>
    <cellStyle name="好_校长职级、亚信会奖励、教师节奖励镇管 2 2 2 2 2" xfId="6374"/>
    <cellStyle name="好_校长职级、亚信会奖励、教师节奖励镇管 2 2 2 3" xfId="6375"/>
    <cellStyle name="好_校长职级、亚信会奖励、教师节奖励镇管 2 2 3" xfId="6376"/>
    <cellStyle name="好_校长职级、亚信会奖励、教师节奖励镇管 2 2 3 2" xfId="6377"/>
    <cellStyle name="好_校长职级、亚信会奖励、教师节奖励镇管 2 2 4" xfId="6378"/>
    <cellStyle name="好_校长职级、亚信会奖励、教师节奖励镇管 2 2 4 2" xfId="6379"/>
    <cellStyle name="好_校长职级、亚信会奖励、教师节奖励镇管 2 2 5" xfId="6380"/>
    <cellStyle name="好_校长职级、亚信会奖励、教师节奖励镇管 2 3" xfId="6381"/>
    <cellStyle name="好_校长职级、亚信会奖励、教师节奖励镇管 2 3 2" xfId="6382"/>
    <cellStyle name="好_校长职级、亚信会奖励、教师节奖励镇管 2 3 2 2" xfId="6383"/>
    <cellStyle name="好_校长职级、亚信会奖励、教师节奖励镇管 2 3 3" xfId="6384"/>
    <cellStyle name="好_校长职级、亚信会奖励、教师节奖励镇管 2 4" xfId="6385"/>
    <cellStyle name="好_校长职级、亚信会奖励、教师节奖励镇管 2 4 2" xfId="6386"/>
    <cellStyle name="好_校长职级、亚信会奖励、教师节奖励镇管 2 5" xfId="6387"/>
    <cellStyle name="好_校长职级、亚信会奖励、教师节奖励镇管 2 5 2" xfId="6388"/>
    <cellStyle name="好_校长职级、亚信会奖励、教师节奖励镇管 2 6" xfId="6389"/>
    <cellStyle name="好_校长职级、亚信会奖励、教师节奖励镇管 3" xfId="6390"/>
    <cellStyle name="好_校长职级、亚信会奖励、教师节奖励镇管 3 2" xfId="6391"/>
    <cellStyle name="好_校长职级、亚信会奖励、教师节奖励镇管 3 2 2" xfId="6392"/>
    <cellStyle name="好_校长职级、亚信会奖励、教师节奖励镇管 3 2 2 2" xfId="6393"/>
    <cellStyle name="好_校长职级、亚信会奖励、教师节奖励镇管 3 2 3" xfId="6394"/>
    <cellStyle name="好_校长职级、亚信会奖励、教师节奖励镇管 3 3" xfId="6395"/>
    <cellStyle name="好_校长职级、亚信会奖励、教师节奖励镇管 3 3 2" xfId="6396"/>
    <cellStyle name="好_校长职级、亚信会奖励、教师节奖励镇管 3 4" xfId="6397"/>
    <cellStyle name="好_校长职级、亚信会奖励、教师节奖励镇管 3 4 2" xfId="6398"/>
    <cellStyle name="好_校长职级、亚信会奖励、教师节奖励镇管 3 5" xfId="6399"/>
    <cellStyle name="好_校长职级、亚信会奖励、教师节奖励镇管 4" xfId="6400"/>
    <cellStyle name="好_校长职级、亚信会奖励、教师节奖励镇管 4 2" xfId="6401"/>
    <cellStyle name="好_校长职级、亚信会奖励、教师节奖励镇管 4 2 2" xfId="6402"/>
    <cellStyle name="好_校长职级、亚信会奖励、教师节奖励镇管 4 2 2 2" xfId="6403"/>
    <cellStyle name="好_校长职级、亚信会奖励、教师节奖励镇管 4 2 3" xfId="6404"/>
    <cellStyle name="好_校长职级、亚信会奖励、教师节奖励镇管 4 3" xfId="6405"/>
    <cellStyle name="好_校长职级、亚信会奖励、教师节奖励镇管 4 3 2" xfId="6406"/>
    <cellStyle name="好_校长职级、亚信会奖励、教师节奖励镇管 4 4" xfId="6407"/>
    <cellStyle name="好_校长职级、亚信会奖励、教师节奖励镇管 4 4 2" xfId="6408"/>
    <cellStyle name="好_校长职级、亚信会奖励、教师节奖励镇管 4 5" xfId="6409"/>
    <cellStyle name="好_校长职级、亚信会奖励、教师节奖励镇管 5" xfId="6410"/>
    <cellStyle name="好_校长职级、亚信会奖励、教师节奖励镇管 5 2" xfId="6411"/>
    <cellStyle name="好_校长职级、亚信会奖励、教师节奖励镇管 5 2 2" xfId="6412"/>
    <cellStyle name="好_校长职级、亚信会奖励、教师节奖励镇管 5 3" xfId="6413"/>
    <cellStyle name="好_校长职级、亚信会奖励、教师节奖励镇管 6" xfId="6414"/>
    <cellStyle name="好_校长职级、亚信会奖励、教师节奖励镇管 6 2" xfId="6415"/>
    <cellStyle name="好_校长职级、亚信会奖励、教师节奖励镇管 7" xfId="6416"/>
    <cellStyle name="好_校长职级、亚信会奖励、教师节奖励镇管 7 2" xfId="6417"/>
    <cellStyle name="好_校长职级、亚信会奖励、教师节奖励镇管 8" xfId="6418"/>
    <cellStyle name="好_校长职级、亚信会奖励、教师节奖励镇管 8 2" xfId="6419"/>
    <cellStyle name="好_校长职级、亚信会奖励、教师节奖励镇管 9" xfId="6420"/>
    <cellStyle name="好_镇管汇总" xfId="6421"/>
    <cellStyle name="好_镇管汇总 2" xfId="6422"/>
    <cellStyle name="好_镇管汇总 2 2" xfId="6423"/>
    <cellStyle name="好_镇管汇总 2 2 2" xfId="6424"/>
    <cellStyle name="好_镇管汇总 2 2 2 2" xfId="6425"/>
    <cellStyle name="好_镇管汇总 2 2 2 2 2" xfId="6426"/>
    <cellStyle name="好_镇管汇总 2 2 2 3" xfId="6427"/>
    <cellStyle name="好_镇管汇总 2 2 3" xfId="6428"/>
    <cellStyle name="好_镇管汇总 2 2 3 2" xfId="6429"/>
    <cellStyle name="好_镇管汇总 2 2 4" xfId="6430"/>
    <cellStyle name="好_镇管汇总 2 2 4 2" xfId="6431"/>
    <cellStyle name="好_镇管汇总 2 2 5" xfId="6432"/>
    <cellStyle name="好_镇管汇总 2 3" xfId="6433"/>
    <cellStyle name="好_镇管汇总 2 3 2" xfId="6434"/>
    <cellStyle name="好_镇管汇总 2 3 2 2" xfId="6435"/>
    <cellStyle name="好_镇管汇总 2 3 3" xfId="6436"/>
    <cellStyle name="好_镇管汇总 2 4" xfId="6437"/>
    <cellStyle name="好_镇管汇总 2 4 2" xfId="6438"/>
    <cellStyle name="好_镇管汇总 2 5" xfId="6439"/>
    <cellStyle name="好_镇管汇总 2 5 2" xfId="6440"/>
    <cellStyle name="好_镇管汇总 2 6" xfId="6441"/>
    <cellStyle name="好_镇管汇总 3" xfId="6442"/>
    <cellStyle name="好_镇管汇总 3 2" xfId="6443"/>
    <cellStyle name="好_镇管汇总 3 2 2" xfId="6444"/>
    <cellStyle name="好_镇管汇总 3 2 2 2" xfId="6445"/>
    <cellStyle name="好_镇管汇总 3 2 3" xfId="6446"/>
    <cellStyle name="好_镇管汇总 3 3" xfId="6447"/>
    <cellStyle name="好_镇管汇总 3 3 2" xfId="6448"/>
    <cellStyle name="好_镇管汇总 3 4" xfId="6449"/>
    <cellStyle name="好_镇管汇总 3 4 2" xfId="6450"/>
    <cellStyle name="好_镇管汇总 3 5" xfId="6451"/>
    <cellStyle name="好_镇管汇总 4" xfId="6452"/>
    <cellStyle name="好_镇管汇总 4 2" xfId="6453"/>
    <cellStyle name="好_镇管汇总 4 2 2" xfId="6454"/>
    <cellStyle name="好_镇管汇总 4 2 2 2" xfId="6455"/>
    <cellStyle name="好_镇管汇总 4 2 3" xfId="6456"/>
    <cellStyle name="好_镇管汇总 4 3" xfId="6457"/>
    <cellStyle name="好_镇管汇总 4 3 2" xfId="6458"/>
    <cellStyle name="好_镇管汇总 4 4" xfId="6459"/>
    <cellStyle name="好_镇管汇总 4 4 2" xfId="6460"/>
    <cellStyle name="好_镇管汇总 4 5" xfId="6461"/>
    <cellStyle name="好_镇管汇总 5" xfId="6462"/>
    <cellStyle name="好_镇管汇总 5 2" xfId="6463"/>
    <cellStyle name="好_镇管汇总 5 2 2" xfId="6464"/>
    <cellStyle name="好_镇管汇总 5 3" xfId="6465"/>
    <cellStyle name="好_镇管汇总 6" xfId="6466"/>
    <cellStyle name="好_镇管汇总 6 2" xfId="6467"/>
    <cellStyle name="好_镇管汇总 7" xfId="6468"/>
    <cellStyle name="好_镇管汇总 7 2" xfId="6469"/>
    <cellStyle name="好_镇管汇总 8" xfId="6470"/>
    <cellStyle name="好_镇管汇总 8 2" xfId="6471"/>
    <cellStyle name="好_镇管汇总 9" xfId="6472"/>
    <cellStyle name="汇总 2" xfId="6473"/>
    <cellStyle name="汇总 2 10" xfId="8931"/>
    <cellStyle name="汇总 2 11" xfId="8949"/>
    <cellStyle name="汇总 2 12" xfId="8986"/>
    <cellStyle name="汇总 2 2" xfId="6474"/>
    <cellStyle name="汇总 2 2 2" xfId="6475"/>
    <cellStyle name="汇总 2 2 2 2" xfId="6476"/>
    <cellStyle name="汇总 2 2 2 2 2" xfId="6477"/>
    <cellStyle name="汇总 2 2 2 3" xfId="6478"/>
    <cellStyle name="汇总 2 2 3" xfId="6479"/>
    <cellStyle name="汇总 2 2 3 2" xfId="6480"/>
    <cellStyle name="汇总 2 2 4" xfId="6481"/>
    <cellStyle name="汇总 2 2 4 2" xfId="6482"/>
    <cellStyle name="汇总 2 2 5" xfId="6483"/>
    <cellStyle name="汇总 2 2 6" xfId="8772"/>
    <cellStyle name="汇总 2 2 7" xfId="8943"/>
    <cellStyle name="汇总 2 2 8" xfId="8954"/>
    <cellStyle name="汇总 2 3" xfId="6484"/>
    <cellStyle name="汇总 2 3 2" xfId="6485"/>
    <cellStyle name="汇总 2 3 2 2" xfId="6486"/>
    <cellStyle name="汇总 2 3 3" xfId="6487"/>
    <cellStyle name="汇总 2 4" xfId="6488"/>
    <cellStyle name="汇总 2 4 2" xfId="6489"/>
    <cellStyle name="汇总 2 5" xfId="6490"/>
    <cellStyle name="汇总 2 5 2" xfId="6491"/>
    <cellStyle name="汇总 2 6" xfId="6492"/>
    <cellStyle name="汇总 2 7" xfId="8606"/>
    <cellStyle name="汇总 2 8" xfId="8622"/>
    <cellStyle name="汇总 2 9" xfId="8771"/>
    <cellStyle name="汇总 3" xfId="6493"/>
    <cellStyle name="汇总 3 2" xfId="6494"/>
    <cellStyle name="汇总 3 2 2" xfId="6495"/>
    <cellStyle name="汇总 3 2 2 2" xfId="6496"/>
    <cellStyle name="汇总 3 2 2 2 2" xfId="6497"/>
    <cellStyle name="汇总 3 2 2 3" xfId="6498"/>
    <cellStyle name="汇总 3 2 3" xfId="6499"/>
    <cellStyle name="汇总 3 2 3 2" xfId="6500"/>
    <cellStyle name="汇总 3 2 4" xfId="6501"/>
    <cellStyle name="汇总 3 2 4 2" xfId="6502"/>
    <cellStyle name="汇总 3 2 5" xfId="6503"/>
    <cellStyle name="汇总 3 2 6" xfId="8774"/>
    <cellStyle name="汇总 3 3" xfId="6504"/>
    <cellStyle name="汇总 3 3 2" xfId="6505"/>
    <cellStyle name="汇总 3 3 2 2" xfId="6506"/>
    <cellStyle name="汇总 3 3 3" xfId="6507"/>
    <cellStyle name="汇总 3 4" xfId="6508"/>
    <cellStyle name="汇总 3 4 2" xfId="6509"/>
    <cellStyle name="汇总 3 5" xfId="6510"/>
    <cellStyle name="汇总 3 5 2" xfId="6511"/>
    <cellStyle name="汇总 3 6" xfId="6512"/>
    <cellStyle name="汇总 3 7" xfId="8773"/>
    <cellStyle name="汇总 4" xfId="6513"/>
    <cellStyle name="汇总 4 2" xfId="6514"/>
    <cellStyle name="汇总 4 2 2" xfId="6515"/>
    <cellStyle name="汇总 4 2 2 2" xfId="6516"/>
    <cellStyle name="汇总 4 2 2 2 2" xfId="6517"/>
    <cellStyle name="汇总 4 2 2 3" xfId="6518"/>
    <cellStyle name="汇总 4 2 3" xfId="6519"/>
    <cellStyle name="汇总 4 2 3 2" xfId="6520"/>
    <cellStyle name="汇总 4 2 4" xfId="6521"/>
    <cellStyle name="汇总 4 2 4 2" xfId="6522"/>
    <cellStyle name="汇总 4 2 5" xfId="6523"/>
    <cellStyle name="汇总 4 2 6" xfId="8776"/>
    <cellStyle name="汇总 4 3" xfId="6524"/>
    <cellStyle name="汇总 4 3 2" xfId="6525"/>
    <cellStyle name="汇总 4 3 2 2" xfId="6526"/>
    <cellStyle name="汇总 4 3 3" xfId="6527"/>
    <cellStyle name="汇总 4 4" xfId="6528"/>
    <cellStyle name="汇总 4 4 2" xfId="6529"/>
    <cellStyle name="汇总 4 5" xfId="6530"/>
    <cellStyle name="汇总 4 5 2" xfId="6531"/>
    <cellStyle name="汇总 4 6" xfId="6532"/>
    <cellStyle name="汇总 4 7" xfId="8775"/>
    <cellStyle name="汇总 5" xfId="6533"/>
    <cellStyle name="汇总 5 2" xfId="6534"/>
    <cellStyle name="汇总 5 2 2" xfId="6535"/>
    <cellStyle name="汇总 5 2 2 2" xfId="6536"/>
    <cellStyle name="汇总 5 2 3" xfId="6537"/>
    <cellStyle name="汇总 5 3" xfId="6538"/>
    <cellStyle name="汇总 5 3 2" xfId="6539"/>
    <cellStyle name="汇总 5 4" xfId="6540"/>
    <cellStyle name="汇总 5 4 2" xfId="6541"/>
    <cellStyle name="汇总 5 5" xfId="6542"/>
    <cellStyle name="汇总 6" xfId="6543"/>
    <cellStyle name="汇总 6 2" xfId="6544"/>
    <cellStyle name="汇总 6 2 2" xfId="6545"/>
    <cellStyle name="汇总 6 2 2 2" xfId="6546"/>
    <cellStyle name="汇总 6 2 3" xfId="6547"/>
    <cellStyle name="汇总 6 3" xfId="6548"/>
    <cellStyle name="汇总 6 3 2" xfId="6549"/>
    <cellStyle name="汇总 6 4" xfId="6550"/>
    <cellStyle name="汇总 6 4 2" xfId="6551"/>
    <cellStyle name="汇总 6 5" xfId="6552"/>
    <cellStyle name="货币[0] 2" xfId="9178"/>
    <cellStyle name="货币[0] 2 2" xfId="9193"/>
    <cellStyle name="计算 2" xfId="6553"/>
    <cellStyle name="计算 2 10" xfId="8777"/>
    <cellStyle name="计算 2 11" xfId="8932"/>
    <cellStyle name="计算 2 12" xfId="8950"/>
    <cellStyle name="计算 2 13" xfId="8987"/>
    <cellStyle name="计算 2 2" xfId="6554"/>
    <cellStyle name="计算 2 2 2" xfId="6555"/>
    <cellStyle name="计算 2 2 2 2" xfId="6556"/>
    <cellStyle name="计算 2 2 2 2 2" xfId="6557"/>
    <cellStyle name="计算 2 2 2 3" xfId="6558"/>
    <cellStyle name="计算 2 2 3" xfId="6559"/>
    <cellStyle name="计算 2 2 3 2" xfId="6560"/>
    <cellStyle name="计算 2 2 4" xfId="6561"/>
    <cellStyle name="计算 2 2 4 2" xfId="6562"/>
    <cellStyle name="计算 2 2 5" xfId="6563"/>
    <cellStyle name="计算 2 2 6" xfId="8778"/>
    <cellStyle name="计算 2 2 7" xfId="8944"/>
    <cellStyle name="计算 2 2 8" xfId="8955"/>
    <cellStyle name="计算 2 3" xfId="6564"/>
    <cellStyle name="计算 2 3 2" xfId="6565"/>
    <cellStyle name="计算 2 3 2 2" xfId="6566"/>
    <cellStyle name="计算 2 3 3" xfId="6567"/>
    <cellStyle name="计算 2 4" xfId="6568"/>
    <cellStyle name="计算 2 4 2" xfId="6569"/>
    <cellStyle name="计算 2 5" xfId="6570"/>
    <cellStyle name="计算 2 5 2" xfId="6571"/>
    <cellStyle name="计算 2 6" xfId="6572"/>
    <cellStyle name="计算 2 7" xfId="8601"/>
    <cellStyle name="计算 2 8" xfId="8607"/>
    <cellStyle name="计算 2 9" xfId="8623"/>
    <cellStyle name="计算 3" xfId="6573"/>
    <cellStyle name="计算 3 2" xfId="6574"/>
    <cellStyle name="计算 3 2 2" xfId="6575"/>
    <cellStyle name="计算 3 2 2 2" xfId="6576"/>
    <cellStyle name="计算 3 2 2 2 2" xfId="6577"/>
    <cellStyle name="计算 3 2 2 3" xfId="6578"/>
    <cellStyle name="计算 3 2 3" xfId="6579"/>
    <cellStyle name="计算 3 2 3 2" xfId="6580"/>
    <cellStyle name="计算 3 2 4" xfId="6581"/>
    <cellStyle name="计算 3 2 4 2" xfId="6582"/>
    <cellStyle name="计算 3 2 5" xfId="6583"/>
    <cellStyle name="计算 3 2 6" xfId="8780"/>
    <cellStyle name="计算 3 3" xfId="6584"/>
    <cellStyle name="计算 3 3 2" xfId="6585"/>
    <cellStyle name="计算 3 3 2 2" xfId="6586"/>
    <cellStyle name="计算 3 3 3" xfId="6587"/>
    <cellStyle name="计算 3 4" xfId="6588"/>
    <cellStyle name="计算 3 4 2" xfId="6589"/>
    <cellStyle name="计算 3 5" xfId="6590"/>
    <cellStyle name="计算 3 5 2" xfId="6591"/>
    <cellStyle name="计算 3 6" xfId="6592"/>
    <cellStyle name="计算 3 7" xfId="8779"/>
    <cellStyle name="计算 4" xfId="6593"/>
    <cellStyle name="计算 4 2" xfId="6594"/>
    <cellStyle name="计算 4 2 2" xfId="6595"/>
    <cellStyle name="计算 4 2 2 2" xfId="6596"/>
    <cellStyle name="计算 4 2 2 2 2" xfId="6597"/>
    <cellStyle name="计算 4 2 2 3" xfId="6598"/>
    <cellStyle name="计算 4 2 3" xfId="6599"/>
    <cellStyle name="计算 4 2 3 2" xfId="6600"/>
    <cellStyle name="计算 4 2 4" xfId="6601"/>
    <cellStyle name="计算 4 2 4 2" xfId="6602"/>
    <cellStyle name="计算 4 2 5" xfId="6603"/>
    <cellStyle name="计算 4 2 6" xfId="8782"/>
    <cellStyle name="计算 4 3" xfId="6604"/>
    <cellStyle name="计算 4 3 2" xfId="6605"/>
    <cellStyle name="计算 4 3 2 2" xfId="6606"/>
    <cellStyle name="计算 4 3 3" xfId="6607"/>
    <cellStyle name="计算 4 4" xfId="6608"/>
    <cellStyle name="计算 4 4 2" xfId="6609"/>
    <cellStyle name="计算 4 5" xfId="6610"/>
    <cellStyle name="计算 4 5 2" xfId="6611"/>
    <cellStyle name="计算 4 6" xfId="6612"/>
    <cellStyle name="计算 4 7" xfId="8781"/>
    <cellStyle name="计算 5" xfId="6613"/>
    <cellStyle name="计算 5 2" xfId="6614"/>
    <cellStyle name="计算 5 2 2" xfId="6615"/>
    <cellStyle name="计算 5 2 2 2" xfId="6616"/>
    <cellStyle name="计算 5 2 3" xfId="6617"/>
    <cellStyle name="计算 5 3" xfId="6618"/>
    <cellStyle name="计算 5 3 2" xfId="6619"/>
    <cellStyle name="计算 5 4" xfId="6620"/>
    <cellStyle name="计算 5 4 2" xfId="6621"/>
    <cellStyle name="计算 5 5" xfId="6622"/>
    <cellStyle name="计算 6" xfId="6623"/>
    <cellStyle name="计算 6 2" xfId="6624"/>
    <cellStyle name="计算 6 2 2" xfId="6625"/>
    <cellStyle name="计算 6 2 2 2" xfId="6626"/>
    <cellStyle name="计算 6 2 3" xfId="6627"/>
    <cellStyle name="计算 6 3" xfId="6628"/>
    <cellStyle name="计算 6 3 2" xfId="6629"/>
    <cellStyle name="计算 6 4" xfId="6630"/>
    <cellStyle name="计算 6 4 2" xfId="6631"/>
    <cellStyle name="计算 6 5" xfId="6632"/>
    <cellStyle name="计算 7" xfId="6633"/>
    <cellStyle name="计算 7 2" xfId="6634"/>
    <cellStyle name="计算 7 2 2" xfId="6635"/>
    <cellStyle name="计算 7 2 2 2" xfId="6636"/>
    <cellStyle name="计算 7 2 3" xfId="6637"/>
    <cellStyle name="计算 7 3" xfId="6638"/>
    <cellStyle name="计算 7 3 2" xfId="6639"/>
    <cellStyle name="计算 7 4" xfId="6640"/>
    <cellStyle name="计算 7 4 2" xfId="6641"/>
    <cellStyle name="计算 7 5" xfId="6642"/>
    <cellStyle name="检查单元格 2" xfId="6643"/>
    <cellStyle name="检查单元格 2 10" xfId="8988"/>
    <cellStyle name="检查单元格 2 2" xfId="6644"/>
    <cellStyle name="检查单元格 2 2 2" xfId="6645"/>
    <cellStyle name="检查单元格 2 2 2 2" xfId="6646"/>
    <cellStyle name="检查单元格 2 2 2 2 2" xfId="6647"/>
    <cellStyle name="检查单元格 2 2 2 3" xfId="6648"/>
    <cellStyle name="检查单元格 2 2 3" xfId="6649"/>
    <cellStyle name="检查单元格 2 2 3 2" xfId="6650"/>
    <cellStyle name="检查单元格 2 2 4" xfId="6651"/>
    <cellStyle name="检查单元格 2 2 4 2" xfId="6652"/>
    <cellStyle name="检查单元格 2 2 5" xfId="6653"/>
    <cellStyle name="检查单元格 2 2 6" xfId="8784"/>
    <cellStyle name="检查单元格 2 3" xfId="6654"/>
    <cellStyle name="检查单元格 2 3 2" xfId="6655"/>
    <cellStyle name="检查单元格 2 3 2 2" xfId="6656"/>
    <cellStyle name="检查单元格 2 3 3" xfId="6657"/>
    <cellStyle name="检查单元格 2 4" xfId="6658"/>
    <cellStyle name="检查单元格 2 4 2" xfId="6659"/>
    <cellStyle name="检查单元格 2 5" xfId="6660"/>
    <cellStyle name="检查单元格 2 5 2" xfId="6661"/>
    <cellStyle name="检查单元格 2 6" xfId="6662"/>
    <cellStyle name="检查单元格 2 7" xfId="8608"/>
    <cellStyle name="检查单元格 2 8" xfId="8783"/>
    <cellStyle name="检查单元格 2 9" xfId="8933"/>
    <cellStyle name="检查单元格 3" xfId="6663"/>
    <cellStyle name="检查单元格 3 2" xfId="6664"/>
    <cellStyle name="检查单元格 3 2 2" xfId="6665"/>
    <cellStyle name="检查单元格 3 2 2 2" xfId="6666"/>
    <cellStyle name="检查单元格 3 2 2 2 2" xfId="6667"/>
    <cellStyle name="检查单元格 3 2 2 3" xfId="6668"/>
    <cellStyle name="检查单元格 3 2 3" xfId="6669"/>
    <cellStyle name="检查单元格 3 2 3 2" xfId="6670"/>
    <cellStyle name="检查单元格 3 2 4" xfId="6671"/>
    <cellStyle name="检查单元格 3 2 4 2" xfId="6672"/>
    <cellStyle name="检查单元格 3 2 5" xfId="6673"/>
    <cellStyle name="检查单元格 3 2 6" xfId="8786"/>
    <cellStyle name="检查单元格 3 3" xfId="6674"/>
    <cellStyle name="检查单元格 3 3 2" xfId="6675"/>
    <cellStyle name="检查单元格 3 3 2 2" xfId="6676"/>
    <cellStyle name="检查单元格 3 3 3" xfId="6677"/>
    <cellStyle name="检查单元格 3 4" xfId="6678"/>
    <cellStyle name="检查单元格 3 4 2" xfId="6679"/>
    <cellStyle name="检查单元格 3 5" xfId="6680"/>
    <cellStyle name="检查单元格 3 5 2" xfId="6681"/>
    <cellStyle name="检查单元格 3 6" xfId="6682"/>
    <cellStyle name="检查单元格 3 7" xfId="8785"/>
    <cellStyle name="检查单元格 4" xfId="6683"/>
    <cellStyle name="检查单元格 4 2" xfId="6684"/>
    <cellStyle name="检查单元格 4 2 2" xfId="6685"/>
    <cellStyle name="检查单元格 4 2 2 2" xfId="6686"/>
    <cellStyle name="检查单元格 4 2 2 2 2" xfId="6687"/>
    <cellStyle name="检查单元格 4 2 2 3" xfId="6688"/>
    <cellStyle name="检查单元格 4 2 3" xfId="6689"/>
    <cellStyle name="检查单元格 4 2 3 2" xfId="6690"/>
    <cellStyle name="检查单元格 4 2 4" xfId="6691"/>
    <cellStyle name="检查单元格 4 2 4 2" xfId="6692"/>
    <cellStyle name="检查单元格 4 2 5" xfId="6693"/>
    <cellStyle name="检查单元格 4 2 6" xfId="8788"/>
    <cellStyle name="检查单元格 4 3" xfId="6694"/>
    <cellStyle name="检查单元格 4 3 2" xfId="6695"/>
    <cellStyle name="检查单元格 4 3 2 2" xfId="6696"/>
    <cellStyle name="检查单元格 4 3 3" xfId="6697"/>
    <cellStyle name="检查单元格 4 4" xfId="6698"/>
    <cellStyle name="检查单元格 4 4 2" xfId="6699"/>
    <cellStyle name="检查单元格 4 5" xfId="6700"/>
    <cellStyle name="检查单元格 4 5 2" xfId="6701"/>
    <cellStyle name="检查单元格 4 6" xfId="6702"/>
    <cellStyle name="检查单元格 4 7" xfId="8787"/>
    <cellStyle name="检查单元格 5" xfId="6703"/>
    <cellStyle name="检查单元格 5 2" xfId="6704"/>
    <cellStyle name="检查单元格 5 2 2" xfId="6705"/>
    <cellStyle name="检查单元格 5 2 2 2" xfId="6706"/>
    <cellStyle name="检查单元格 5 2 3" xfId="6707"/>
    <cellStyle name="检查单元格 5 3" xfId="6708"/>
    <cellStyle name="检查单元格 5 3 2" xfId="6709"/>
    <cellStyle name="检查单元格 5 4" xfId="6710"/>
    <cellStyle name="检查单元格 5 4 2" xfId="6711"/>
    <cellStyle name="检查单元格 5 5" xfId="6712"/>
    <cellStyle name="检查单元格 6" xfId="6713"/>
    <cellStyle name="检查单元格 6 2" xfId="6714"/>
    <cellStyle name="检查单元格 6 2 2" xfId="6715"/>
    <cellStyle name="检查单元格 6 2 2 2" xfId="6716"/>
    <cellStyle name="检查单元格 6 2 3" xfId="6717"/>
    <cellStyle name="检查单元格 6 3" xfId="6718"/>
    <cellStyle name="检查单元格 6 3 2" xfId="6719"/>
    <cellStyle name="检查单元格 6 4" xfId="6720"/>
    <cellStyle name="检查单元格 6 4 2" xfId="6721"/>
    <cellStyle name="检查单元格 6 5" xfId="6722"/>
    <cellStyle name="检查单元格 7" xfId="6723"/>
    <cellStyle name="检查单元格 7 2" xfId="6724"/>
    <cellStyle name="检查单元格 7 2 2" xfId="6725"/>
    <cellStyle name="检查单元格 7 2 2 2" xfId="6726"/>
    <cellStyle name="检查单元格 7 2 3" xfId="6727"/>
    <cellStyle name="检查单元格 7 3" xfId="6728"/>
    <cellStyle name="检查单元格 7 3 2" xfId="6729"/>
    <cellStyle name="检查单元格 7 4" xfId="6730"/>
    <cellStyle name="检查单元格 7 4 2" xfId="6731"/>
    <cellStyle name="检查单元格 7 5" xfId="6732"/>
    <cellStyle name="解释性文本 2" xfId="6733"/>
    <cellStyle name="解释性文本 2 10" xfId="8989"/>
    <cellStyle name="解释性文本 2 2" xfId="6734"/>
    <cellStyle name="解释性文本 2 2 2" xfId="6735"/>
    <cellStyle name="解释性文本 2 2 2 2" xfId="6736"/>
    <cellStyle name="解释性文本 2 2 2 2 2" xfId="6737"/>
    <cellStyle name="解释性文本 2 2 2 3" xfId="6738"/>
    <cellStyle name="解释性文本 2 2 3" xfId="6739"/>
    <cellStyle name="解释性文本 2 2 3 2" xfId="6740"/>
    <cellStyle name="解释性文本 2 2 4" xfId="6741"/>
    <cellStyle name="解释性文本 2 2 4 2" xfId="6742"/>
    <cellStyle name="解释性文本 2 2 5" xfId="6743"/>
    <cellStyle name="解释性文本 2 2 6" xfId="8790"/>
    <cellStyle name="解释性文本 2 3" xfId="6744"/>
    <cellStyle name="解释性文本 2 3 2" xfId="6745"/>
    <cellStyle name="解释性文本 2 3 2 2" xfId="6746"/>
    <cellStyle name="解释性文本 2 3 3" xfId="6747"/>
    <cellStyle name="解释性文本 2 4" xfId="6748"/>
    <cellStyle name="解释性文本 2 4 2" xfId="6749"/>
    <cellStyle name="解释性文本 2 5" xfId="6750"/>
    <cellStyle name="解释性文本 2 5 2" xfId="6751"/>
    <cellStyle name="解释性文本 2 6" xfId="6752"/>
    <cellStyle name="解释性文本 2 7" xfId="8609"/>
    <cellStyle name="解释性文本 2 8" xfId="8789"/>
    <cellStyle name="解释性文本 2 9" xfId="8934"/>
    <cellStyle name="解释性文本 3" xfId="6753"/>
    <cellStyle name="解释性文本 3 2" xfId="6754"/>
    <cellStyle name="解释性文本 3 2 2" xfId="6755"/>
    <cellStyle name="解释性文本 3 2 2 2" xfId="6756"/>
    <cellStyle name="解释性文本 3 2 2 2 2" xfId="6757"/>
    <cellStyle name="解释性文本 3 2 2 3" xfId="6758"/>
    <cellStyle name="解释性文本 3 2 3" xfId="6759"/>
    <cellStyle name="解释性文本 3 2 3 2" xfId="6760"/>
    <cellStyle name="解释性文本 3 2 4" xfId="6761"/>
    <cellStyle name="解释性文本 3 2 4 2" xfId="6762"/>
    <cellStyle name="解释性文本 3 2 5" xfId="6763"/>
    <cellStyle name="解释性文本 3 2 6" xfId="8792"/>
    <cellStyle name="解释性文本 3 3" xfId="6764"/>
    <cellStyle name="解释性文本 3 3 2" xfId="6765"/>
    <cellStyle name="解释性文本 3 3 2 2" xfId="6766"/>
    <cellStyle name="解释性文本 3 3 3" xfId="6767"/>
    <cellStyle name="解释性文本 3 4" xfId="6768"/>
    <cellStyle name="解释性文本 3 4 2" xfId="6769"/>
    <cellStyle name="解释性文本 3 5" xfId="6770"/>
    <cellStyle name="解释性文本 3 5 2" xfId="6771"/>
    <cellStyle name="解释性文本 3 6" xfId="6772"/>
    <cellStyle name="解释性文本 3 7" xfId="8791"/>
    <cellStyle name="解释性文本 4" xfId="6773"/>
    <cellStyle name="解释性文本 4 2" xfId="6774"/>
    <cellStyle name="解释性文本 4 2 2" xfId="6775"/>
    <cellStyle name="解释性文本 4 2 2 2" xfId="6776"/>
    <cellStyle name="解释性文本 4 2 2 2 2" xfId="6777"/>
    <cellStyle name="解释性文本 4 2 2 3" xfId="6778"/>
    <cellStyle name="解释性文本 4 2 3" xfId="6779"/>
    <cellStyle name="解释性文本 4 2 3 2" xfId="6780"/>
    <cellStyle name="解释性文本 4 2 4" xfId="6781"/>
    <cellStyle name="解释性文本 4 2 4 2" xfId="6782"/>
    <cellStyle name="解释性文本 4 2 5" xfId="6783"/>
    <cellStyle name="解释性文本 4 2 6" xfId="8794"/>
    <cellStyle name="解释性文本 4 3" xfId="6784"/>
    <cellStyle name="解释性文本 4 3 2" xfId="6785"/>
    <cellStyle name="解释性文本 4 3 2 2" xfId="6786"/>
    <cellStyle name="解释性文本 4 3 3" xfId="6787"/>
    <cellStyle name="解释性文本 4 4" xfId="6788"/>
    <cellStyle name="解释性文本 4 4 2" xfId="6789"/>
    <cellStyle name="解释性文本 4 5" xfId="6790"/>
    <cellStyle name="解释性文本 4 5 2" xfId="6791"/>
    <cellStyle name="解释性文本 4 6" xfId="6792"/>
    <cellStyle name="解释性文本 4 7" xfId="8793"/>
    <cellStyle name="解释性文本 5" xfId="6793"/>
    <cellStyle name="解释性文本 5 2" xfId="6794"/>
    <cellStyle name="解释性文本 5 2 2" xfId="6795"/>
    <cellStyle name="解释性文本 5 2 2 2" xfId="6796"/>
    <cellStyle name="解释性文本 5 2 3" xfId="6797"/>
    <cellStyle name="解释性文本 5 3" xfId="6798"/>
    <cellStyle name="解释性文本 5 3 2" xfId="6799"/>
    <cellStyle name="解释性文本 5 4" xfId="6800"/>
    <cellStyle name="解释性文本 5 4 2" xfId="6801"/>
    <cellStyle name="解释性文本 5 5" xfId="6802"/>
    <cellStyle name="解释性文本 6" xfId="6803"/>
    <cellStyle name="解释性文本 6 2" xfId="6804"/>
    <cellStyle name="解释性文本 6 2 2" xfId="6805"/>
    <cellStyle name="解释性文本 6 2 2 2" xfId="6806"/>
    <cellStyle name="解释性文本 6 2 3" xfId="6807"/>
    <cellStyle name="解释性文本 6 3" xfId="6808"/>
    <cellStyle name="解释性文本 6 3 2" xfId="6809"/>
    <cellStyle name="解释性文本 6 4" xfId="6810"/>
    <cellStyle name="解释性文本 6 4 2" xfId="6811"/>
    <cellStyle name="解释性文本 6 5" xfId="6812"/>
    <cellStyle name="警告文本 2" xfId="6813"/>
    <cellStyle name="警告文本 2 10" xfId="8990"/>
    <cellStyle name="警告文本 2 2" xfId="6814"/>
    <cellStyle name="警告文本 2 2 2" xfId="6815"/>
    <cellStyle name="警告文本 2 2 2 2" xfId="6816"/>
    <cellStyle name="警告文本 2 2 2 2 2" xfId="6817"/>
    <cellStyle name="警告文本 2 2 2 3" xfId="6818"/>
    <cellStyle name="警告文本 2 2 3" xfId="6819"/>
    <cellStyle name="警告文本 2 2 3 2" xfId="6820"/>
    <cellStyle name="警告文本 2 2 4" xfId="6821"/>
    <cellStyle name="警告文本 2 2 4 2" xfId="6822"/>
    <cellStyle name="警告文本 2 2 5" xfId="6823"/>
    <cellStyle name="警告文本 2 2 6" xfId="8796"/>
    <cellStyle name="警告文本 2 3" xfId="6824"/>
    <cellStyle name="警告文本 2 3 2" xfId="6825"/>
    <cellStyle name="警告文本 2 3 2 2" xfId="6826"/>
    <cellStyle name="警告文本 2 3 3" xfId="6827"/>
    <cellStyle name="警告文本 2 4" xfId="6828"/>
    <cellStyle name="警告文本 2 4 2" xfId="6829"/>
    <cellStyle name="警告文本 2 5" xfId="6830"/>
    <cellStyle name="警告文本 2 5 2" xfId="6831"/>
    <cellStyle name="警告文本 2 6" xfId="6832"/>
    <cellStyle name="警告文本 2 7" xfId="8610"/>
    <cellStyle name="警告文本 2 8" xfId="8795"/>
    <cellStyle name="警告文本 2 9" xfId="8935"/>
    <cellStyle name="警告文本 3" xfId="6833"/>
    <cellStyle name="警告文本 3 2" xfId="6834"/>
    <cellStyle name="警告文本 3 2 2" xfId="6835"/>
    <cellStyle name="警告文本 3 2 2 2" xfId="6836"/>
    <cellStyle name="警告文本 3 2 2 2 2" xfId="6837"/>
    <cellStyle name="警告文本 3 2 2 3" xfId="6838"/>
    <cellStyle name="警告文本 3 2 3" xfId="6839"/>
    <cellStyle name="警告文本 3 2 3 2" xfId="6840"/>
    <cellStyle name="警告文本 3 2 4" xfId="6841"/>
    <cellStyle name="警告文本 3 2 4 2" xfId="6842"/>
    <cellStyle name="警告文本 3 2 5" xfId="6843"/>
    <cellStyle name="警告文本 3 2 6" xfId="8798"/>
    <cellStyle name="警告文本 3 3" xfId="6844"/>
    <cellStyle name="警告文本 3 3 2" xfId="6845"/>
    <cellStyle name="警告文本 3 3 2 2" xfId="6846"/>
    <cellStyle name="警告文本 3 3 3" xfId="6847"/>
    <cellStyle name="警告文本 3 4" xfId="6848"/>
    <cellStyle name="警告文本 3 4 2" xfId="6849"/>
    <cellStyle name="警告文本 3 5" xfId="6850"/>
    <cellStyle name="警告文本 3 5 2" xfId="6851"/>
    <cellStyle name="警告文本 3 6" xfId="6852"/>
    <cellStyle name="警告文本 3 7" xfId="8797"/>
    <cellStyle name="警告文本 4" xfId="6853"/>
    <cellStyle name="警告文本 4 2" xfId="6854"/>
    <cellStyle name="警告文本 4 2 2" xfId="6855"/>
    <cellStyle name="警告文本 4 2 2 2" xfId="6856"/>
    <cellStyle name="警告文本 4 2 2 2 2" xfId="6857"/>
    <cellStyle name="警告文本 4 2 2 3" xfId="6858"/>
    <cellStyle name="警告文本 4 2 3" xfId="6859"/>
    <cellStyle name="警告文本 4 2 3 2" xfId="6860"/>
    <cellStyle name="警告文本 4 2 4" xfId="6861"/>
    <cellStyle name="警告文本 4 2 4 2" xfId="6862"/>
    <cellStyle name="警告文本 4 2 5" xfId="6863"/>
    <cellStyle name="警告文本 4 2 6" xfId="8800"/>
    <cellStyle name="警告文本 4 3" xfId="6864"/>
    <cellStyle name="警告文本 4 3 2" xfId="6865"/>
    <cellStyle name="警告文本 4 3 2 2" xfId="6866"/>
    <cellStyle name="警告文本 4 3 3" xfId="6867"/>
    <cellStyle name="警告文本 4 4" xfId="6868"/>
    <cellStyle name="警告文本 4 4 2" xfId="6869"/>
    <cellStyle name="警告文本 4 5" xfId="6870"/>
    <cellStyle name="警告文本 4 5 2" xfId="6871"/>
    <cellStyle name="警告文本 4 6" xfId="6872"/>
    <cellStyle name="警告文本 4 7" xfId="8799"/>
    <cellStyle name="警告文本 5" xfId="6873"/>
    <cellStyle name="警告文本 5 2" xfId="6874"/>
    <cellStyle name="警告文本 5 2 2" xfId="6875"/>
    <cellStyle name="警告文本 5 2 2 2" xfId="6876"/>
    <cellStyle name="警告文本 5 2 3" xfId="6877"/>
    <cellStyle name="警告文本 5 3" xfId="6878"/>
    <cellStyle name="警告文本 5 3 2" xfId="6879"/>
    <cellStyle name="警告文本 5 4" xfId="6880"/>
    <cellStyle name="警告文本 5 4 2" xfId="6881"/>
    <cellStyle name="警告文本 5 5" xfId="6882"/>
    <cellStyle name="警告文本 6" xfId="6883"/>
    <cellStyle name="警告文本 6 2" xfId="6884"/>
    <cellStyle name="警告文本 6 2 2" xfId="6885"/>
    <cellStyle name="警告文本 6 2 2 2" xfId="6886"/>
    <cellStyle name="警告文本 6 2 3" xfId="6887"/>
    <cellStyle name="警告文本 6 3" xfId="6888"/>
    <cellStyle name="警告文本 6 3 2" xfId="6889"/>
    <cellStyle name="警告文本 6 4" xfId="6890"/>
    <cellStyle name="警告文本 6 4 2" xfId="6891"/>
    <cellStyle name="警告文本 6 5" xfId="6892"/>
    <cellStyle name="链接单元格 2" xfId="6893"/>
    <cellStyle name="链接单元格 2 10" xfId="8991"/>
    <cellStyle name="链接单元格 2 2" xfId="6894"/>
    <cellStyle name="链接单元格 2 2 2" xfId="6895"/>
    <cellStyle name="链接单元格 2 2 2 2" xfId="6896"/>
    <cellStyle name="链接单元格 2 2 2 2 2" xfId="6897"/>
    <cellStyle name="链接单元格 2 2 2 3" xfId="6898"/>
    <cellStyle name="链接单元格 2 2 3" xfId="6899"/>
    <cellStyle name="链接单元格 2 2 3 2" xfId="6900"/>
    <cellStyle name="链接单元格 2 2 4" xfId="6901"/>
    <cellStyle name="链接单元格 2 2 4 2" xfId="6902"/>
    <cellStyle name="链接单元格 2 2 5" xfId="6903"/>
    <cellStyle name="链接单元格 2 2 6" xfId="8802"/>
    <cellStyle name="链接单元格 2 3" xfId="6904"/>
    <cellStyle name="链接单元格 2 3 2" xfId="6905"/>
    <cellStyle name="链接单元格 2 3 2 2" xfId="6906"/>
    <cellStyle name="链接单元格 2 3 3" xfId="6907"/>
    <cellStyle name="链接单元格 2 4" xfId="6908"/>
    <cellStyle name="链接单元格 2 4 2" xfId="6909"/>
    <cellStyle name="链接单元格 2 5" xfId="6910"/>
    <cellStyle name="链接单元格 2 5 2" xfId="6911"/>
    <cellStyle name="链接单元格 2 6" xfId="6912"/>
    <cellStyle name="链接单元格 2 7" xfId="8611"/>
    <cellStyle name="链接单元格 2 8" xfId="8801"/>
    <cellStyle name="链接单元格 2 9" xfId="8936"/>
    <cellStyle name="链接单元格 3" xfId="6913"/>
    <cellStyle name="链接单元格 3 2" xfId="6914"/>
    <cellStyle name="链接单元格 3 2 2" xfId="6915"/>
    <cellStyle name="链接单元格 3 2 2 2" xfId="6916"/>
    <cellStyle name="链接单元格 3 2 2 2 2" xfId="6917"/>
    <cellStyle name="链接单元格 3 2 2 3" xfId="6918"/>
    <cellStyle name="链接单元格 3 2 3" xfId="6919"/>
    <cellStyle name="链接单元格 3 2 3 2" xfId="6920"/>
    <cellStyle name="链接单元格 3 2 4" xfId="6921"/>
    <cellStyle name="链接单元格 3 2 4 2" xfId="6922"/>
    <cellStyle name="链接单元格 3 2 5" xfId="6923"/>
    <cellStyle name="链接单元格 3 2 6" xfId="8804"/>
    <cellStyle name="链接单元格 3 3" xfId="6924"/>
    <cellStyle name="链接单元格 3 3 2" xfId="6925"/>
    <cellStyle name="链接单元格 3 3 2 2" xfId="6926"/>
    <cellStyle name="链接单元格 3 3 3" xfId="6927"/>
    <cellStyle name="链接单元格 3 4" xfId="6928"/>
    <cellStyle name="链接单元格 3 4 2" xfId="6929"/>
    <cellStyle name="链接单元格 3 5" xfId="6930"/>
    <cellStyle name="链接单元格 3 5 2" xfId="6931"/>
    <cellStyle name="链接单元格 3 6" xfId="6932"/>
    <cellStyle name="链接单元格 3 7" xfId="8803"/>
    <cellStyle name="链接单元格 4" xfId="6933"/>
    <cellStyle name="链接单元格 4 2" xfId="6934"/>
    <cellStyle name="链接单元格 4 2 2" xfId="6935"/>
    <cellStyle name="链接单元格 4 2 2 2" xfId="6936"/>
    <cellStyle name="链接单元格 4 2 2 2 2" xfId="6937"/>
    <cellStyle name="链接单元格 4 2 2 3" xfId="6938"/>
    <cellStyle name="链接单元格 4 2 3" xfId="6939"/>
    <cellStyle name="链接单元格 4 2 3 2" xfId="6940"/>
    <cellStyle name="链接单元格 4 2 4" xfId="6941"/>
    <cellStyle name="链接单元格 4 2 4 2" xfId="6942"/>
    <cellStyle name="链接单元格 4 2 5" xfId="6943"/>
    <cellStyle name="链接单元格 4 2 6" xfId="8806"/>
    <cellStyle name="链接单元格 4 3" xfId="6944"/>
    <cellStyle name="链接单元格 4 3 2" xfId="6945"/>
    <cellStyle name="链接单元格 4 3 2 2" xfId="6946"/>
    <cellStyle name="链接单元格 4 3 3" xfId="6947"/>
    <cellStyle name="链接单元格 4 4" xfId="6948"/>
    <cellStyle name="链接单元格 4 4 2" xfId="6949"/>
    <cellStyle name="链接单元格 4 5" xfId="6950"/>
    <cellStyle name="链接单元格 4 5 2" xfId="6951"/>
    <cellStyle name="链接单元格 4 6" xfId="6952"/>
    <cellStyle name="链接单元格 4 7" xfId="8805"/>
    <cellStyle name="链接单元格 5" xfId="6953"/>
    <cellStyle name="链接单元格 5 2" xfId="6954"/>
    <cellStyle name="链接单元格 5 2 2" xfId="6955"/>
    <cellStyle name="链接单元格 5 2 2 2" xfId="6956"/>
    <cellStyle name="链接单元格 5 2 3" xfId="6957"/>
    <cellStyle name="链接单元格 5 3" xfId="6958"/>
    <cellStyle name="链接单元格 5 3 2" xfId="6959"/>
    <cellStyle name="链接单元格 5 4" xfId="6960"/>
    <cellStyle name="链接单元格 5 4 2" xfId="6961"/>
    <cellStyle name="链接单元格 5 5" xfId="6962"/>
    <cellStyle name="链接单元格 6" xfId="6963"/>
    <cellStyle name="链接单元格 6 2" xfId="6964"/>
    <cellStyle name="链接单元格 6 2 2" xfId="6965"/>
    <cellStyle name="链接单元格 6 2 2 2" xfId="6966"/>
    <cellStyle name="链接单元格 6 2 3" xfId="6967"/>
    <cellStyle name="链接单元格 6 3" xfId="6968"/>
    <cellStyle name="链接单元格 6 3 2" xfId="6969"/>
    <cellStyle name="链接单元格 6 4" xfId="6970"/>
    <cellStyle name="链接单元格 6 4 2" xfId="6971"/>
    <cellStyle name="链接单元格 6 5" xfId="6972"/>
    <cellStyle name="千位分隔" xfId="16" builtinId="3"/>
    <cellStyle name="千位分隔 10" xfId="6973"/>
    <cellStyle name="千位分隔 10 2" xfId="6974"/>
    <cellStyle name="千位分隔 10 2 2" xfId="6975"/>
    <cellStyle name="千位分隔 10 2 2 2" xfId="6976"/>
    <cellStyle name="千位分隔 10 2 3" xfId="6977"/>
    <cellStyle name="千位分隔 10 3" xfId="6978"/>
    <cellStyle name="千位分隔 10 3 2" xfId="6979"/>
    <cellStyle name="千位分隔 10 4" xfId="6980"/>
    <cellStyle name="千位分隔 10 4 2" xfId="6981"/>
    <cellStyle name="千位分隔 10 5" xfId="6982"/>
    <cellStyle name="千位分隔 11" xfId="6983"/>
    <cellStyle name="千位分隔 12" xfId="6984"/>
    <cellStyle name="千位分隔 12 2" xfId="6985"/>
    <cellStyle name="千位分隔 12 2 2" xfId="6986"/>
    <cellStyle name="千位分隔 12 2 2 2" xfId="6987"/>
    <cellStyle name="千位分隔 12 2 3" xfId="6988"/>
    <cellStyle name="千位分隔 12 3" xfId="6989"/>
    <cellStyle name="千位分隔 12 3 2" xfId="6990"/>
    <cellStyle name="千位分隔 12 3 3" xfId="8595"/>
    <cellStyle name="千位分隔 12 4" xfId="6991"/>
    <cellStyle name="千位分隔 12 4 2" xfId="6992"/>
    <cellStyle name="千位分隔 12 5" xfId="6993"/>
    <cellStyle name="千位分隔 13" xfId="6994"/>
    <cellStyle name="千位分隔 13 2" xfId="6995"/>
    <cellStyle name="千位分隔 13 2 2" xfId="6996"/>
    <cellStyle name="千位分隔 13 3" xfId="6997"/>
    <cellStyle name="千位分隔 14" xfId="6998"/>
    <cellStyle name="千位分隔 14 2" xfId="6999"/>
    <cellStyle name="千位分隔 14 3" xfId="8591"/>
    <cellStyle name="千位分隔 15" xfId="7000"/>
    <cellStyle name="千位分隔 15 2" xfId="7001"/>
    <cellStyle name="千位分隔 16" xfId="7002"/>
    <cellStyle name="千位分隔 16 2" xfId="7003"/>
    <cellStyle name="千位分隔 17" xfId="7004"/>
    <cellStyle name="千位分隔 17 2" xfId="7005"/>
    <cellStyle name="千位分隔 18" xfId="7006"/>
    <cellStyle name="千位分隔 18 2" xfId="7007"/>
    <cellStyle name="千位分隔 19" xfId="8603"/>
    <cellStyle name="千位分隔 2" xfId="7008"/>
    <cellStyle name="千位分隔 2 10" xfId="7009"/>
    <cellStyle name="千位分隔 2 10 2" xfId="7010"/>
    <cellStyle name="千位分隔 2 11" xfId="7011"/>
    <cellStyle name="千位分隔 2 11 2" xfId="7012"/>
    <cellStyle name="千位分隔 2 12" xfId="7013"/>
    <cellStyle name="千位分隔 2 12 2" xfId="7014"/>
    <cellStyle name="千位分隔 2 13" xfId="7015"/>
    <cellStyle name="千位分隔 2 2" xfId="7016"/>
    <cellStyle name="千位分隔 2 2 2" xfId="7017"/>
    <cellStyle name="千位分隔 2 2 2 2" xfId="7018"/>
    <cellStyle name="千位分隔 2 2 2 2 2" xfId="7019"/>
    <cellStyle name="千位分隔 2 2 2 2 2 2" xfId="7020"/>
    <cellStyle name="千位分隔 2 2 2 2 3" xfId="7021"/>
    <cellStyle name="千位分隔 2 2 2 3" xfId="7022"/>
    <cellStyle name="千位分隔 2 2 2 3 2" xfId="7023"/>
    <cellStyle name="千位分隔 2 2 2 4" xfId="7024"/>
    <cellStyle name="千位分隔 2 2 2 4 2" xfId="7025"/>
    <cellStyle name="千位分隔 2 2 2 5" xfId="7026"/>
    <cellStyle name="千位分隔 2 2 2 6" xfId="8905"/>
    <cellStyle name="千位分隔 2 2 3" xfId="7027"/>
    <cellStyle name="千位分隔 2 2 3 2" xfId="7028"/>
    <cellStyle name="千位分隔 2 2 3 2 2" xfId="7029"/>
    <cellStyle name="千位分隔 2 2 3 3" xfId="7030"/>
    <cellStyle name="千位分隔 2 2 4" xfId="7031"/>
    <cellStyle name="千位分隔 2 2 4 2" xfId="7032"/>
    <cellStyle name="千位分隔 2 2 4 2 2" xfId="7033"/>
    <cellStyle name="千位分隔 2 2 4 3" xfId="7034"/>
    <cellStyle name="千位分隔 2 2 5" xfId="7035"/>
    <cellStyle name="千位分隔 2 2 5 2" xfId="7036"/>
    <cellStyle name="千位分隔 2 2 6" xfId="7037"/>
    <cellStyle name="千位分隔 2 2 6 2" xfId="7038"/>
    <cellStyle name="千位分隔 2 2 7" xfId="7039"/>
    <cellStyle name="千位分隔 2 2 8" xfId="8941"/>
    <cellStyle name="千位分隔 2 3" xfId="7040"/>
    <cellStyle name="千位分隔 2 3 2" xfId="7041"/>
    <cellStyle name="千位分隔 2 3 2 2" xfId="7042"/>
    <cellStyle name="千位分隔 2 3 2 2 2" xfId="7043"/>
    <cellStyle name="千位分隔 2 3 2 3" xfId="7044"/>
    <cellStyle name="千位分隔 2 3 2 3 2" xfId="7045"/>
    <cellStyle name="千位分隔 2 3 2 4" xfId="7046"/>
    <cellStyle name="千位分隔 2 3 3" xfId="7047"/>
    <cellStyle name="千位分隔 2 3 3 2" xfId="7048"/>
    <cellStyle name="千位分隔 2 3 3 2 2" xfId="7049"/>
    <cellStyle name="千位分隔 2 3 3 3" xfId="7050"/>
    <cellStyle name="千位分隔 2 3 4" xfId="7051"/>
    <cellStyle name="千位分隔 2 3 4 2" xfId="7052"/>
    <cellStyle name="千位分隔 2 3 5" xfId="7053"/>
    <cellStyle name="千位分隔 2 3 5 2" xfId="7054"/>
    <cellStyle name="千位分隔 2 3 6" xfId="7055"/>
    <cellStyle name="千位分隔 2 4" xfId="7056"/>
    <cellStyle name="千位分隔 2 4 2" xfId="7057"/>
    <cellStyle name="千位分隔 2 4 2 2" xfId="7058"/>
    <cellStyle name="千位分隔 2 4 2 2 2" xfId="7059"/>
    <cellStyle name="千位分隔 2 4 2 2 2 2" xfId="7060"/>
    <cellStyle name="千位分隔 2 4 2 2 3" xfId="7061"/>
    <cellStyle name="千位分隔 2 4 2 3" xfId="7062"/>
    <cellStyle name="千位分隔 2 4 2 3 2" xfId="7063"/>
    <cellStyle name="千位分隔 2 4 2 4" xfId="7064"/>
    <cellStyle name="千位分隔 2 4 2 4 2" xfId="7065"/>
    <cellStyle name="千位分隔 2 4 2 5" xfId="7066"/>
    <cellStyle name="千位分隔 2 4 3" xfId="7067"/>
    <cellStyle name="千位分隔 2 4 3 2" xfId="7068"/>
    <cellStyle name="千位分隔 2 4 3 2 2" xfId="7069"/>
    <cellStyle name="千位分隔 2 4 3 3" xfId="7070"/>
    <cellStyle name="千位分隔 2 4 4" xfId="7071"/>
    <cellStyle name="千位分隔 2 4 4 2" xfId="7072"/>
    <cellStyle name="千位分隔 2 4 5" xfId="7073"/>
    <cellStyle name="千位分隔 2 4 5 2" xfId="7074"/>
    <cellStyle name="千位分隔 2 4 6" xfId="7075"/>
    <cellStyle name="千位分隔 2 5" xfId="7076"/>
    <cellStyle name="千位分隔 2 5 2" xfId="7077"/>
    <cellStyle name="千位分隔 2 5 2 2" xfId="7078"/>
    <cellStyle name="千位分隔 2 5 2 2 2" xfId="7079"/>
    <cellStyle name="千位分隔 2 5 2 3" xfId="7080"/>
    <cellStyle name="千位分隔 2 5 3" xfId="7081"/>
    <cellStyle name="千位分隔 2 5 3 2" xfId="7082"/>
    <cellStyle name="千位分隔 2 5 4" xfId="7083"/>
    <cellStyle name="千位分隔 2 5 4 2" xfId="7084"/>
    <cellStyle name="千位分隔 2 5 5" xfId="7085"/>
    <cellStyle name="千位分隔 2 6" xfId="7086"/>
    <cellStyle name="千位分隔 2 6 2" xfId="7087"/>
    <cellStyle name="千位分隔 2 6 2 2" xfId="7088"/>
    <cellStyle name="千位分隔 2 6 2 2 2" xfId="7089"/>
    <cellStyle name="千位分隔 2 6 2 3" xfId="7090"/>
    <cellStyle name="千位分隔 2 6 3" xfId="7091"/>
    <cellStyle name="千位分隔 2 6 3 2" xfId="7092"/>
    <cellStyle name="千位分隔 2 6 4" xfId="7093"/>
    <cellStyle name="千位分隔 2 6 4 2" xfId="7094"/>
    <cellStyle name="千位分隔 2 6 5" xfId="7095"/>
    <cellStyle name="千位分隔 2 7" xfId="7096"/>
    <cellStyle name="千位分隔 2 7 2" xfId="7097"/>
    <cellStyle name="千位分隔 2 7 2 2" xfId="7098"/>
    <cellStyle name="千位分隔 2 7 2 2 2" xfId="7099"/>
    <cellStyle name="千位分隔 2 7 2 3" xfId="7100"/>
    <cellStyle name="千位分隔 2 7 3" xfId="7101"/>
    <cellStyle name="千位分隔 2 7 3 2" xfId="7102"/>
    <cellStyle name="千位分隔 2 7 3 3" xfId="8594"/>
    <cellStyle name="千位分隔 2 7 4" xfId="7103"/>
    <cellStyle name="千位分隔 2 7 4 2" xfId="7104"/>
    <cellStyle name="千位分隔 2 7 5" xfId="7105"/>
    <cellStyle name="千位分隔 2 8" xfId="7106"/>
    <cellStyle name="千位分隔 2 8 2" xfId="7107"/>
    <cellStyle name="千位分隔 2 8 2 2" xfId="7108"/>
    <cellStyle name="千位分隔 2 8 2 2 2" xfId="7109"/>
    <cellStyle name="千位分隔 2 8 2 3" xfId="7110"/>
    <cellStyle name="千位分隔 2 8 3" xfId="7111"/>
    <cellStyle name="千位分隔 2 8 3 2" xfId="7112"/>
    <cellStyle name="千位分隔 2 8 4" xfId="7113"/>
    <cellStyle name="千位分隔 2 8 4 2" xfId="7114"/>
    <cellStyle name="千位分隔 2 8 5" xfId="7115"/>
    <cellStyle name="千位分隔 2 9" xfId="7116"/>
    <cellStyle name="千位分隔 2 9 2" xfId="7117"/>
    <cellStyle name="千位分隔 2 9 2 2" xfId="7118"/>
    <cellStyle name="千位分隔 2 9 3" xfId="7119"/>
    <cellStyle name="千位分隔 20" xfId="3"/>
    <cellStyle name="千位分隔 21" xfId="9200"/>
    <cellStyle name="千位分隔 3" xfId="7120"/>
    <cellStyle name="千位分隔 3 2" xfId="7121"/>
    <cellStyle name="千位分隔 3 2 2" xfId="7122"/>
    <cellStyle name="千位分隔 3 2 2 2" xfId="7123"/>
    <cellStyle name="千位分隔 3 2 2 2 2" xfId="7124"/>
    <cellStyle name="千位分隔 3 2 2 2 2 2" xfId="7125"/>
    <cellStyle name="千位分隔 3 2 2 2 3" xfId="7126"/>
    <cellStyle name="千位分隔 3 2 2 3" xfId="7127"/>
    <cellStyle name="千位分隔 3 2 2 3 2" xfId="7128"/>
    <cellStyle name="千位分隔 3 2 2 4" xfId="7129"/>
    <cellStyle name="千位分隔 3 2 2 4 2" xfId="7130"/>
    <cellStyle name="千位分隔 3 2 2 5" xfId="7131"/>
    <cellStyle name="千位分隔 3 2 3" xfId="7132"/>
    <cellStyle name="千位分隔 3 2 3 2" xfId="7133"/>
    <cellStyle name="千位分隔 3 2 3 2 2" xfId="7134"/>
    <cellStyle name="千位分隔 3 2 3 3" xfId="7135"/>
    <cellStyle name="千位分隔 3 2 4" xfId="7136"/>
    <cellStyle name="千位分隔 3 2 4 2" xfId="7137"/>
    <cellStyle name="千位分隔 3 2 5" xfId="7138"/>
    <cellStyle name="千位分隔 3 2 5 2" xfId="7139"/>
    <cellStyle name="千位分隔 3 2 6" xfId="7140"/>
    <cellStyle name="千位分隔 3 3" xfId="7141"/>
    <cellStyle name="千位分隔 3 3 2" xfId="7142"/>
    <cellStyle name="千位分隔 3 3 2 2" xfId="7143"/>
    <cellStyle name="千位分隔 3 3 2 2 2" xfId="7144"/>
    <cellStyle name="千位分隔 3 3 2 3" xfId="7145"/>
    <cellStyle name="千位分隔 3 3 3" xfId="7146"/>
    <cellStyle name="千位分隔 3 3 3 2" xfId="7147"/>
    <cellStyle name="千位分隔 3 3 4" xfId="7148"/>
    <cellStyle name="千位分隔 3 3 4 2" xfId="7149"/>
    <cellStyle name="千位分隔 3 3 5" xfId="7150"/>
    <cellStyle name="千位分隔 3 4" xfId="7151"/>
    <cellStyle name="千位分隔 3 4 2" xfId="7152"/>
    <cellStyle name="千位分隔 3 4 2 2" xfId="7153"/>
    <cellStyle name="千位分隔 3 4 3" xfId="7154"/>
    <cellStyle name="千位分隔 3 5" xfId="7155"/>
    <cellStyle name="千位分隔 3 5 2" xfId="7156"/>
    <cellStyle name="千位分隔 3 6" xfId="7157"/>
    <cellStyle name="千位分隔 3 6 2" xfId="7158"/>
    <cellStyle name="千位分隔 3 7" xfId="7159"/>
    <cellStyle name="千位分隔 4" xfId="7160"/>
    <cellStyle name="千位分隔 4 2" xfId="7161"/>
    <cellStyle name="千位分隔 4 2 2" xfId="7162"/>
    <cellStyle name="千位分隔 4 2 2 2" xfId="7163"/>
    <cellStyle name="千位分隔 4 2 3" xfId="7164"/>
    <cellStyle name="千位分隔 4 2 3 2" xfId="7165"/>
    <cellStyle name="千位分隔 4 2 4" xfId="7166"/>
    <cellStyle name="千位分隔 4 3" xfId="7167"/>
    <cellStyle name="千位分隔 4 3 2" xfId="7168"/>
    <cellStyle name="千位分隔 4 3 2 2" xfId="7169"/>
    <cellStyle name="千位分隔 4 3 3" xfId="7170"/>
    <cellStyle name="千位分隔 4 4" xfId="7171"/>
    <cellStyle name="千位分隔 4 4 2" xfId="7172"/>
    <cellStyle name="千位分隔 4 5" xfId="7173"/>
    <cellStyle name="千位分隔 4 5 2" xfId="7174"/>
    <cellStyle name="千位分隔 4 6" xfId="7175"/>
    <cellStyle name="千位分隔 5" xfId="7176"/>
    <cellStyle name="千位分隔 5 2" xfId="7177"/>
    <cellStyle name="千位分隔 5 2 2" xfId="7178"/>
    <cellStyle name="千位分隔 5 2 2 2" xfId="7179"/>
    <cellStyle name="千位分隔 5 2 2 2 2" xfId="7180"/>
    <cellStyle name="千位分隔 5 2 2 3" xfId="7181"/>
    <cellStyle name="千位分隔 5 2 3" xfId="7182"/>
    <cellStyle name="千位分隔 5 2 3 2" xfId="7183"/>
    <cellStyle name="千位分隔 5 2 4" xfId="7184"/>
    <cellStyle name="千位分隔 5 2 4 2" xfId="7185"/>
    <cellStyle name="千位分隔 5 2 5" xfId="7186"/>
    <cellStyle name="千位分隔 5 3" xfId="7187"/>
    <cellStyle name="千位分隔 5 3 2" xfId="7188"/>
    <cellStyle name="千位分隔 5 3 2 2" xfId="7189"/>
    <cellStyle name="千位分隔 5 3 3" xfId="7190"/>
    <cellStyle name="千位分隔 5 4" xfId="7191"/>
    <cellStyle name="千位分隔 5 4 2" xfId="7192"/>
    <cellStyle name="千位分隔 5 5" xfId="7193"/>
    <cellStyle name="千位分隔 5 5 2" xfId="7194"/>
    <cellStyle name="千位分隔 5 6" xfId="7195"/>
    <cellStyle name="千位分隔 6" xfId="7196"/>
    <cellStyle name="千位分隔 6 2" xfId="7197"/>
    <cellStyle name="千位分隔 6 2 2" xfId="7198"/>
    <cellStyle name="千位分隔 6 2 2 2" xfId="7199"/>
    <cellStyle name="千位分隔 6 2 3" xfId="7200"/>
    <cellStyle name="千位分隔 6 2 4" xfId="7201"/>
    <cellStyle name="千位分隔 6 3" xfId="7202"/>
    <cellStyle name="千位分隔 6 3 2" xfId="7203"/>
    <cellStyle name="千位分隔 6 3 3" xfId="8590"/>
    <cellStyle name="千位分隔 6 4" xfId="7204"/>
    <cellStyle name="千位分隔 6 4 2" xfId="7205"/>
    <cellStyle name="千位分隔 6 5" xfId="7206"/>
    <cellStyle name="千位分隔 6 6" xfId="7207"/>
    <cellStyle name="千位分隔 7" xfId="7208"/>
    <cellStyle name="千位分隔 7 2" xfId="7209"/>
    <cellStyle name="千位分隔 7 2 2" xfId="7210"/>
    <cellStyle name="千位分隔 7 2 2 2" xfId="7211"/>
    <cellStyle name="千位分隔 7 2 3" xfId="7212"/>
    <cellStyle name="千位分隔 7 3" xfId="7213"/>
    <cellStyle name="千位分隔 7 3 2" xfId="7214"/>
    <cellStyle name="千位分隔 7 4" xfId="7215"/>
    <cellStyle name="千位分隔 7 4 2" xfId="7216"/>
    <cellStyle name="千位分隔 7 5" xfId="7217"/>
    <cellStyle name="千位分隔 8" xfId="7218"/>
    <cellStyle name="千位分隔 8 2" xfId="7219"/>
    <cellStyle name="千位分隔 8 2 2" xfId="7220"/>
    <cellStyle name="千位分隔 8 2 2 2" xfId="7221"/>
    <cellStyle name="千位分隔 8 2 3" xfId="7222"/>
    <cellStyle name="千位分隔 8 3" xfId="7223"/>
    <cellStyle name="千位分隔 8 3 2" xfId="7224"/>
    <cellStyle name="千位分隔 8 3 3" xfId="8592"/>
    <cellStyle name="千位分隔 8 4" xfId="7225"/>
    <cellStyle name="千位分隔 8 4 2" xfId="7226"/>
    <cellStyle name="千位分隔 8 5" xfId="7227"/>
    <cellStyle name="千位分隔 9" xfId="7228"/>
    <cellStyle name="千位分隔[0] 2" xfId="7229"/>
    <cellStyle name="千位分隔[0] 2 2" xfId="7230"/>
    <cellStyle name="千位分隔[0] 2 3" xfId="8909"/>
    <cellStyle name="千位分隔[0] 3" xfId="7231"/>
    <cellStyle name="千位分隔[0] 3 2" xfId="7232"/>
    <cellStyle name="千位分隔[0] 3 3" xfId="8913"/>
    <cellStyle name="千位分隔[0] 4" xfId="8919"/>
    <cellStyle name="千位分隔[0] 5" xfId="8940"/>
    <cellStyle name="千位分隔[0] 6" xfId="8912"/>
    <cellStyle name="强调文字颜色 1 2" xfId="7233"/>
    <cellStyle name="强调文字颜色 1 2 2" xfId="7234"/>
    <cellStyle name="强调文字颜色 1 2 2 2" xfId="7235"/>
    <cellStyle name="强调文字颜色 1 2 2 2 2" xfId="7236"/>
    <cellStyle name="强调文字颜色 1 2 2 2 2 2" xfId="7237"/>
    <cellStyle name="强调文字颜色 1 2 2 2 3" xfId="7238"/>
    <cellStyle name="强调文字颜色 1 2 2 3" xfId="7239"/>
    <cellStyle name="强调文字颜色 1 2 2 3 2" xfId="7240"/>
    <cellStyle name="强调文字颜色 1 2 2 4" xfId="7241"/>
    <cellStyle name="强调文字颜色 1 2 2 4 2" xfId="7242"/>
    <cellStyle name="强调文字颜色 1 2 2 5" xfId="7243"/>
    <cellStyle name="强调文字颜色 1 2 2 6" xfId="8808"/>
    <cellStyle name="强调文字颜色 1 2 3" xfId="7244"/>
    <cellStyle name="强调文字颜色 1 2 3 2" xfId="7245"/>
    <cellStyle name="强调文字颜色 1 2 3 2 2" xfId="7246"/>
    <cellStyle name="强调文字颜色 1 2 3 3" xfId="7247"/>
    <cellStyle name="强调文字颜色 1 2 4" xfId="7248"/>
    <cellStyle name="强调文字颜色 1 2 4 2" xfId="7249"/>
    <cellStyle name="强调文字颜色 1 2 5" xfId="7250"/>
    <cellStyle name="强调文字颜色 1 2 5 2" xfId="7251"/>
    <cellStyle name="强调文字颜色 1 2 6" xfId="7252"/>
    <cellStyle name="强调文字颜色 1 2 7" xfId="8612"/>
    <cellStyle name="强调文字颜色 1 2 8" xfId="8807"/>
    <cellStyle name="强调文字颜色 1 3" xfId="7253"/>
    <cellStyle name="强调文字颜色 1 3 2" xfId="7254"/>
    <cellStyle name="强调文字颜色 1 3 2 2" xfId="7255"/>
    <cellStyle name="强调文字颜色 1 3 2 2 2" xfId="7256"/>
    <cellStyle name="强调文字颜色 1 3 2 2 2 2" xfId="7257"/>
    <cellStyle name="强调文字颜色 1 3 2 2 3" xfId="7258"/>
    <cellStyle name="强调文字颜色 1 3 2 3" xfId="7259"/>
    <cellStyle name="强调文字颜色 1 3 2 3 2" xfId="7260"/>
    <cellStyle name="强调文字颜色 1 3 2 4" xfId="7261"/>
    <cellStyle name="强调文字颜色 1 3 2 4 2" xfId="7262"/>
    <cellStyle name="强调文字颜色 1 3 2 5" xfId="7263"/>
    <cellStyle name="强调文字颜色 1 3 2 6" xfId="8810"/>
    <cellStyle name="强调文字颜色 1 3 3" xfId="7264"/>
    <cellStyle name="强调文字颜色 1 3 3 2" xfId="7265"/>
    <cellStyle name="强调文字颜色 1 3 3 2 2" xfId="7266"/>
    <cellStyle name="强调文字颜色 1 3 3 3" xfId="7267"/>
    <cellStyle name="强调文字颜色 1 3 4" xfId="7268"/>
    <cellStyle name="强调文字颜色 1 3 4 2" xfId="7269"/>
    <cellStyle name="强调文字颜色 1 3 5" xfId="7270"/>
    <cellStyle name="强调文字颜色 1 3 5 2" xfId="7271"/>
    <cellStyle name="强调文字颜色 1 3 6" xfId="7272"/>
    <cellStyle name="强调文字颜色 1 3 7" xfId="8809"/>
    <cellStyle name="强调文字颜色 1 4" xfId="7273"/>
    <cellStyle name="强调文字颜色 1 4 2" xfId="7274"/>
    <cellStyle name="强调文字颜色 1 4 2 2" xfId="7275"/>
    <cellStyle name="强调文字颜色 1 4 2 2 2" xfId="7276"/>
    <cellStyle name="强调文字颜色 1 4 2 2 2 2" xfId="7277"/>
    <cellStyle name="强调文字颜色 1 4 2 2 3" xfId="7278"/>
    <cellStyle name="强调文字颜色 1 4 2 3" xfId="7279"/>
    <cellStyle name="强调文字颜色 1 4 2 3 2" xfId="7280"/>
    <cellStyle name="强调文字颜色 1 4 2 4" xfId="7281"/>
    <cellStyle name="强调文字颜色 1 4 2 4 2" xfId="7282"/>
    <cellStyle name="强调文字颜色 1 4 2 5" xfId="7283"/>
    <cellStyle name="强调文字颜色 1 4 2 6" xfId="8812"/>
    <cellStyle name="强调文字颜色 1 4 3" xfId="7284"/>
    <cellStyle name="强调文字颜色 1 4 3 2" xfId="7285"/>
    <cellStyle name="强调文字颜色 1 4 3 2 2" xfId="7286"/>
    <cellStyle name="强调文字颜色 1 4 3 3" xfId="7287"/>
    <cellStyle name="强调文字颜色 1 4 4" xfId="7288"/>
    <cellStyle name="强调文字颜色 1 4 4 2" xfId="7289"/>
    <cellStyle name="强调文字颜色 1 4 5" xfId="7290"/>
    <cellStyle name="强调文字颜色 1 4 5 2" xfId="7291"/>
    <cellStyle name="强调文字颜色 1 4 6" xfId="7292"/>
    <cellStyle name="强调文字颜色 1 4 7" xfId="8811"/>
    <cellStyle name="强调文字颜色 1 5" xfId="7293"/>
    <cellStyle name="强调文字颜色 1 5 2" xfId="7294"/>
    <cellStyle name="强调文字颜色 1 5 2 2" xfId="7295"/>
    <cellStyle name="强调文字颜色 1 5 2 2 2" xfId="7296"/>
    <cellStyle name="强调文字颜色 1 5 2 3" xfId="7297"/>
    <cellStyle name="强调文字颜色 1 5 3" xfId="7298"/>
    <cellStyle name="强调文字颜色 1 5 3 2" xfId="7299"/>
    <cellStyle name="强调文字颜色 1 5 4" xfId="7300"/>
    <cellStyle name="强调文字颜色 1 5 4 2" xfId="7301"/>
    <cellStyle name="强调文字颜色 1 5 5" xfId="7302"/>
    <cellStyle name="强调文字颜色 1 6" xfId="7303"/>
    <cellStyle name="强调文字颜色 1 6 2" xfId="7304"/>
    <cellStyle name="强调文字颜色 1 6 2 2" xfId="7305"/>
    <cellStyle name="强调文字颜色 1 6 2 2 2" xfId="7306"/>
    <cellStyle name="强调文字颜色 1 6 2 3" xfId="7307"/>
    <cellStyle name="强调文字颜色 1 6 3" xfId="7308"/>
    <cellStyle name="强调文字颜色 1 6 3 2" xfId="7309"/>
    <cellStyle name="强调文字颜色 1 6 4" xfId="7310"/>
    <cellStyle name="强调文字颜色 1 6 4 2" xfId="7311"/>
    <cellStyle name="强调文字颜色 1 6 5" xfId="7312"/>
    <cellStyle name="强调文字颜色 1 7" xfId="7313"/>
    <cellStyle name="强调文字颜色 1 7 2" xfId="7314"/>
    <cellStyle name="强调文字颜色 1 7 2 2" xfId="7315"/>
    <cellStyle name="强调文字颜色 1 7 2 2 2" xfId="7316"/>
    <cellStyle name="强调文字颜色 1 7 2 3" xfId="7317"/>
    <cellStyle name="强调文字颜色 1 7 3" xfId="7318"/>
    <cellStyle name="强调文字颜色 1 7 3 2" xfId="7319"/>
    <cellStyle name="强调文字颜色 1 7 4" xfId="7320"/>
    <cellStyle name="强调文字颜色 1 7 4 2" xfId="7321"/>
    <cellStyle name="强调文字颜色 1 7 5" xfId="7322"/>
    <cellStyle name="强调文字颜色 2 2" xfId="7323"/>
    <cellStyle name="强调文字颜色 2 2 2" xfId="7324"/>
    <cellStyle name="强调文字颜色 2 2 2 2" xfId="7325"/>
    <cellStyle name="强调文字颜色 2 2 2 2 2" xfId="7326"/>
    <cellStyle name="强调文字颜色 2 2 2 2 2 2" xfId="7327"/>
    <cellStyle name="强调文字颜色 2 2 2 2 3" xfId="7328"/>
    <cellStyle name="强调文字颜色 2 2 2 3" xfId="7329"/>
    <cellStyle name="强调文字颜色 2 2 2 3 2" xfId="7330"/>
    <cellStyle name="强调文字颜色 2 2 2 4" xfId="7331"/>
    <cellStyle name="强调文字颜色 2 2 2 4 2" xfId="7332"/>
    <cellStyle name="强调文字颜色 2 2 2 5" xfId="7333"/>
    <cellStyle name="强调文字颜色 2 2 2 6" xfId="8814"/>
    <cellStyle name="强调文字颜色 2 2 3" xfId="7334"/>
    <cellStyle name="强调文字颜色 2 2 3 2" xfId="7335"/>
    <cellStyle name="强调文字颜色 2 2 3 2 2" xfId="7336"/>
    <cellStyle name="强调文字颜色 2 2 3 3" xfId="7337"/>
    <cellStyle name="强调文字颜色 2 2 4" xfId="7338"/>
    <cellStyle name="强调文字颜色 2 2 4 2" xfId="7339"/>
    <cellStyle name="强调文字颜色 2 2 5" xfId="7340"/>
    <cellStyle name="强调文字颜色 2 2 5 2" xfId="7341"/>
    <cellStyle name="强调文字颜色 2 2 6" xfId="7342"/>
    <cellStyle name="强调文字颜色 2 2 7" xfId="8613"/>
    <cellStyle name="强调文字颜色 2 2 8" xfId="8813"/>
    <cellStyle name="强调文字颜色 2 3" xfId="7343"/>
    <cellStyle name="强调文字颜色 2 3 2" xfId="7344"/>
    <cellStyle name="强调文字颜色 2 3 2 2" xfId="7345"/>
    <cellStyle name="强调文字颜色 2 3 2 2 2" xfId="7346"/>
    <cellStyle name="强调文字颜色 2 3 2 2 2 2" xfId="7347"/>
    <cellStyle name="强调文字颜色 2 3 2 2 3" xfId="7348"/>
    <cellStyle name="强调文字颜色 2 3 2 3" xfId="7349"/>
    <cellStyle name="强调文字颜色 2 3 2 3 2" xfId="7350"/>
    <cellStyle name="强调文字颜色 2 3 2 4" xfId="7351"/>
    <cellStyle name="强调文字颜色 2 3 2 4 2" xfId="7352"/>
    <cellStyle name="强调文字颜色 2 3 2 5" xfId="7353"/>
    <cellStyle name="强调文字颜色 2 3 2 6" xfId="8816"/>
    <cellStyle name="强调文字颜色 2 3 3" xfId="7354"/>
    <cellStyle name="强调文字颜色 2 3 3 2" xfId="7355"/>
    <cellStyle name="强调文字颜色 2 3 3 2 2" xfId="7356"/>
    <cellStyle name="强调文字颜色 2 3 3 3" xfId="7357"/>
    <cellStyle name="强调文字颜色 2 3 4" xfId="7358"/>
    <cellStyle name="强调文字颜色 2 3 4 2" xfId="7359"/>
    <cellStyle name="强调文字颜色 2 3 5" xfId="7360"/>
    <cellStyle name="强调文字颜色 2 3 5 2" xfId="7361"/>
    <cellStyle name="强调文字颜色 2 3 6" xfId="7362"/>
    <cellStyle name="强调文字颜色 2 3 7" xfId="8815"/>
    <cellStyle name="强调文字颜色 2 4" xfId="7363"/>
    <cellStyle name="强调文字颜色 2 4 2" xfId="7364"/>
    <cellStyle name="强调文字颜色 2 4 2 2" xfId="7365"/>
    <cellStyle name="强调文字颜色 2 4 2 2 2" xfId="7366"/>
    <cellStyle name="强调文字颜色 2 4 2 2 2 2" xfId="7367"/>
    <cellStyle name="强调文字颜色 2 4 2 2 3" xfId="7368"/>
    <cellStyle name="强调文字颜色 2 4 2 3" xfId="7369"/>
    <cellStyle name="强调文字颜色 2 4 2 3 2" xfId="7370"/>
    <cellStyle name="强调文字颜色 2 4 2 4" xfId="7371"/>
    <cellStyle name="强调文字颜色 2 4 2 4 2" xfId="7372"/>
    <cellStyle name="强调文字颜色 2 4 2 5" xfId="7373"/>
    <cellStyle name="强调文字颜色 2 4 2 6" xfId="8818"/>
    <cellStyle name="强调文字颜色 2 4 3" xfId="7374"/>
    <cellStyle name="强调文字颜色 2 4 3 2" xfId="7375"/>
    <cellStyle name="强调文字颜色 2 4 3 2 2" xfId="7376"/>
    <cellStyle name="强调文字颜色 2 4 3 3" xfId="7377"/>
    <cellStyle name="强调文字颜色 2 4 4" xfId="7378"/>
    <cellStyle name="强调文字颜色 2 4 4 2" xfId="7379"/>
    <cellStyle name="强调文字颜色 2 4 5" xfId="7380"/>
    <cellStyle name="强调文字颜色 2 4 5 2" xfId="7381"/>
    <cellStyle name="强调文字颜色 2 4 6" xfId="7382"/>
    <cellStyle name="强调文字颜色 2 4 7" xfId="8817"/>
    <cellStyle name="强调文字颜色 2 5" xfId="7383"/>
    <cellStyle name="强调文字颜色 2 5 2" xfId="7384"/>
    <cellStyle name="强调文字颜色 2 5 2 2" xfId="7385"/>
    <cellStyle name="强调文字颜色 2 5 2 2 2" xfId="7386"/>
    <cellStyle name="强调文字颜色 2 5 2 3" xfId="7387"/>
    <cellStyle name="强调文字颜色 2 5 3" xfId="7388"/>
    <cellStyle name="强调文字颜色 2 5 3 2" xfId="7389"/>
    <cellStyle name="强调文字颜色 2 5 4" xfId="7390"/>
    <cellStyle name="强调文字颜色 2 5 4 2" xfId="7391"/>
    <cellStyle name="强调文字颜色 2 5 5" xfId="7392"/>
    <cellStyle name="强调文字颜色 2 6" xfId="7393"/>
    <cellStyle name="强调文字颜色 2 6 2" xfId="7394"/>
    <cellStyle name="强调文字颜色 2 6 2 2" xfId="7395"/>
    <cellStyle name="强调文字颜色 2 6 2 2 2" xfId="7396"/>
    <cellStyle name="强调文字颜色 2 6 2 3" xfId="7397"/>
    <cellStyle name="强调文字颜色 2 6 3" xfId="7398"/>
    <cellStyle name="强调文字颜色 2 6 3 2" xfId="7399"/>
    <cellStyle name="强调文字颜色 2 6 4" xfId="7400"/>
    <cellStyle name="强调文字颜色 2 6 4 2" xfId="7401"/>
    <cellStyle name="强调文字颜色 2 6 5" xfId="7402"/>
    <cellStyle name="强调文字颜色 2 7" xfId="7403"/>
    <cellStyle name="强调文字颜色 2 7 2" xfId="7404"/>
    <cellStyle name="强调文字颜色 2 7 2 2" xfId="7405"/>
    <cellStyle name="强调文字颜色 2 7 2 2 2" xfId="7406"/>
    <cellStyle name="强调文字颜色 2 7 2 3" xfId="7407"/>
    <cellStyle name="强调文字颜色 2 7 3" xfId="7408"/>
    <cellStyle name="强调文字颜色 2 7 3 2" xfId="7409"/>
    <cellStyle name="强调文字颜色 2 7 4" xfId="7410"/>
    <cellStyle name="强调文字颜色 2 7 4 2" xfId="7411"/>
    <cellStyle name="强调文字颜色 2 7 5" xfId="7412"/>
    <cellStyle name="强调文字颜色 3 2" xfId="7413"/>
    <cellStyle name="强调文字颜色 3 2 2" xfId="7414"/>
    <cellStyle name="强调文字颜色 3 2 2 2" xfId="7415"/>
    <cellStyle name="强调文字颜色 3 2 2 2 2" xfId="7416"/>
    <cellStyle name="强调文字颜色 3 2 2 2 2 2" xfId="7417"/>
    <cellStyle name="强调文字颜色 3 2 2 2 3" xfId="7418"/>
    <cellStyle name="强调文字颜色 3 2 2 3" xfId="7419"/>
    <cellStyle name="强调文字颜色 3 2 2 3 2" xfId="7420"/>
    <cellStyle name="强调文字颜色 3 2 2 4" xfId="7421"/>
    <cellStyle name="强调文字颜色 3 2 2 4 2" xfId="7422"/>
    <cellStyle name="强调文字颜色 3 2 2 5" xfId="7423"/>
    <cellStyle name="强调文字颜色 3 2 2 6" xfId="8820"/>
    <cellStyle name="强调文字颜色 3 2 3" xfId="7424"/>
    <cellStyle name="强调文字颜色 3 2 3 2" xfId="7425"/>
    <cellStyle name="强调文字颜色 3 2 3 2 2" xfId="7426"/>
    <cellStyle name="强调文字颜色 3 2 3 3" xfId="7427"/>
    <cellStyle name="强调文字颜色 3 2 4" xfId="7428"/>
    <cellStyle name="强调文字颜色 3 2 4 2" xfId="7429"/>
    <cellStyle name="强调文字颜色 3 2 5" xfId="7430"/>
    <cellStyle name="强调文字颜色 3 2 5 2" xfId="7431"/>
    <cellStyle name="强调文字颜色 3 2 6" xfId="7432"/>
    <cellStyle name="强调文字颜色 3 2 7" xfId="8614"/>
    <cellStyle name="强调文字颜色 3 2 8" xfId="8819"/>
    <cellStyle name="强调文字颜色 3 3" xfId="7433"/>
    <cellStyle name="强调文字颜色 3 3 2" xfId="7434"/>
    <cellStyle name="强调文字颜色 3 3 2 2" xfId="7435"/>
    <cellStyle name="强调文字颜色 3 3 2 2 2" xfId="7436"/>
    <cellStyle name="强调文字颜色 3 3 2 2 2 2" xfId="7437"/>
    <cellStyle name="强调文字颜色 3 3 2 2 3" xfId="7438"/>
    <cellStyle name="强调文字颜色 3 3 2 3" xfId="7439"/>
    <cellStyle name="强调文字颜色 3 3 2 3 2" xfId="7440"/>
    <cellStyle name="强调文字颜色 3 3 2 4" xfId="7441"/>
    <cellStyle name="强调文字颜色 3 3 2 4 2" xfId="7442"/>
    <cellStyle name="强调文字颜色 3 3 2 5" xfId="7443"/>
    <cellStyle name="强调文字颜色 3 3 2 6" xfId="8822"/>
    <cellStyle name="强调文字颜色 3 3 3" xfId="7444"/>
    <cellStyle name="强调文字颜色 3 3 3 2" xfId="7445"/>
    <cellStyle name="强调文字颜色 3 3 3 2 2" xfId="7446"/>
    <cellStyle name="强调文字颜色 3 3 3 3" xfId="7447"/>
    <cellStyle name="强调文字颜色 3 3 4" xfId="7448"/>
    <cellStyle name="强调文字颜色 3 3 4 2" xfId="7449"/>
    <cellStyle name="强调文字颜色 3 3 5" xfId="7450"/>
    <cellStyle name="强调文字颜色 3 3 5 2" xfId="7451"/>
    <cellStyle name="强调文字颜色 3 3 6" xfId="7452"/>
    <cellStyle name="强调文字颜色 3 3 7" xfId="8821"/>
    <cellStyle name="强调文字颜色 3 4" xfId="7453"/>
    <cellStyle name="强调文字颜色 3 4 2" xfId="7454"/>
    <cellStyle name="强调文字颜色 3 4 2 2" xfId="7455"/>
    <cellStyle name="强调文字颜色 3 4 2 2 2" xfId="7456"/>
    <cellStyle name="强调文字颜色 3 4 2 2 2 2" xfId="7457"/>
    <cellStyle name="强调文字颜色 3 4 2 2 3" xfId="7458"/>
    <cellStyle name="强调文字颜色 3 4 2 3" xfId="7459"/>
    <cellStyle name="强调文字颜色 3 4 2 3 2" xfId="7460"/>
    <cellStyle name="强调文字颜色 3 4 2 4" xfId="7461"/>
    <cellStyle name="强调文字颜色 3 4 2 4 2" xfId="7462"/>
    <cellStyle name="强调文字颜色 3 4 2 5" xfId="7463"/>
    <cellStyle name="强调文字颜色 3 4 2 6" xfId="8824"/>
    <cellStyle name="强调文字颜色 3 4 3" xfId="7464"/>
    <cellStyle name="强调文字颜色 3 4 3 2" xfId="7465"/>
    <cellStyle name="强调文字颜色 3 4 3 2 2" xfId="7466"/>
    <cellStyle name="强调文字颜色 3 4 3 3" xfId="7467"/>
    <cellStyle name="强调文字颜色 3 4 4" xfId="7468"/>
    <cellStyle name="强调文字颜色 3 4 4 2" xfId="7469"/>
    <cellStyle name="强调文字颜色 3 4 5" xfId="7470"/>
    <cellStyle name="强调文字颜色 3 4 5 2" xfId="7471"/>
    <cellStyle name="强调文字颜色 3 4 6" xfId="7472"/>
    <cellStyle name="强调文字颜色 3 4 7" xfId="8823"/>
    <cellStyle name="强调文字颜色 3 5" xfId="7473"/>
    <cellStyle name="强调文字颜色 3 5 2" xfId="7474"/>
    <cellStyle name="强调文字颜色 3 5 2 2" xfId="7475"/>
    <cellStyle name="强调文字颜色 3 5 2 2 2" xfId="7476"/>
    <cellStyle name="强调文字颜色 3 5 2 3" xfId="7477"/>
    <cellStyle name="强调文字颜色 3 5 3" xfId="7478"/>
    <cellStyle name="强调文字颜色 3 5 3 2" xfId="7479"/>
    <cellStyle name="强调文字颜色 3 5 4" xfId="7480"/>
    <cellStyle name="强调文字颜色 3 5 4 2" xfId="7481"/>
    <cellStyle name="强调文字颜色 3 5 5" xfId="7482"/>
    <cellStyle name="强调文字颜色 3 6" xfId="7483"/>
    <cellStyle name="强调文字颜色 3 6 2" xfId="7484"/>
    <cellStyle name="强调文字颜色 3 6 2 2" xfId="7485"/>
    <cellStyle name="强调文字颜色 3 6 2 2 2" xfId="7486"/>
    <cellStyle name="强调文字颜色 3 6 2 3" xfId="7487"/>
    <cellStyle name="强调文字颜色 3 6 3" xfId="7488"/>
    <cellStyle name="强调文字颜色 3 6 3 2" xfId="7489"/>
    <cellStyle name="强调文字颜色 3 6 4" xfId="7490"/>
    <cellStyle name="强调文字颜色 3 6 4 2" xfId="7491"/>
    <cellStyle name="强调文字颜色 3 6 5" xfId="7492"/>
    <cellStyle name="强调文字颜色 3 7" xfId="7493"/>
    <cellStyle name="强调文字颜色 3 7 2" xfId="7494"/>
    <cellStyle name="强调文字颜色 3 7 2 2" xfId="7495"/>
    <cellStyle name="强调文字颜色 3 7 2 2 2" xfId="7496"/>
    <cellStyle name="强调文字颜色 3 7 2 3" xfId="7497"/>
    <cellStyle name="强调文字颜色 3 7 3" xfId="7498"/>
    <cellStyle name="强调文字颜色 3 7 3 2" xfId="7499"/>
    <cellStyle name="强调文字颜色 3 7 4" xfId="7500"/>
    <cellStyle name="强调文字颜色 3 7 4 2" xfId="7501"/>
    <cellStyle name="强调文字颜色 3 7 5" xfId="7502"/>
    <cellStyle name="强调文字颜色 4 2" xfId="7503"/>
    <cellStyle name="强调文字颜色 4 2 2" xfId="7504"/>
    <cellStyle name="强调文字颜色 4 2 2 2" xfId="7505"/>
    <cellStyle name="强调文字颜色 4 2 2 2 2" xfId="7506"/>
    <cellStyle name="强调文字颜色 4 2 2 2 2 2" xfId="7507"/>
    <cellStyle name="强调文字颜色 4 2 2 2 3" xfId="7508"/>
    <cellStyle name="强调文字颜色 4 2 2 3" xfId="7509"/>
    <cellStyle name="强调文字颜色 4 2 2 3 2" xfId="7510"/>
    <cellStyle name="强调文字颜色 4 2 2 4" xfId="7511"/>
    <cellStyle name="强调文字颜色 4 2 2 4 2" xfId="7512"/>
    <cellStyle name="强调文字颜色 4 2 2 5" xfId="7513"/>
    <cellStyle name="强调文字颜色 4 2 2 6" xfId="8826"/>
    <cellStyle name="强调文字颜色 4 2 3" xfId="7514"/>
    <cellStyle name="强调文字颜色 4 2 3 2" xfId="7515"/>
    <cellStyle name="强调文字颜色 4 2 3 2 2" xfId="7516"/>
    <cellStyle name="强调文字颜色 4 2 3 3" xfId="7517"/>
    <cellStyle name="强调文字颜色 4 2 4" xfId="7518"/>
    <cellStyle name="强调文字颜色 4 2 4 2" xfId="7519"/>
    <cellStyle name="强调文字颜色 4 2 5" xfId="7520"/>
    <cellStyle name="强调文字颜色 4 2 5 2" xfId="7521"/>
    <cellStyle name="强调文字颜色 4 2 6" xfId="7522"/>
    <cellStyle name="强调文字颜色 4 2 7" xfId="8615"/>
    <cellStyle name="强调文字颜色 4 2 8" xfId="8825"/>
    <cellStyle name="强调文字颜色 4 3" xfId="7523"/>
    <cellStyle name="强调文字颜色 4 3 2" xfId="7524"/>
    <cellStyle name="强调文字颜色 4 3 2 2" xfId="7525"/>
    <cellStyle name="强调文字颜色 4 3 2 2 2" xfId="7526"/>
    <cellStyle name="强调文字颜色 4 3 2 2 2 2" xfId="7527"/>
    <cellStyle name="强调文字颜色 4 3 2 2 3" xfId="7528"/>
    <cellStyle name="强调文字颜色 4 3 2 3" xfId="7529"/>
    <cellStyle name="强调文字颜色 4 3 2 3 2" xfId="7530"/>
    <cellStyle name="强调文字颜色 4 3 2 4" xfId="7531"/>
    <cellStyle name="强调文字颜色 4 3 2 4 2" xfId="7532"/>
    <cellStyle name="强调文字颜色 4 3 2 5" xfId="7533"/>
    <cellStyle name="强调文字颜色 4 3 2 6" xfId="8828"/>
    <cellStyle name="强调文字颜色 4 3 3" xfId="7534"/>
    <cellStyle name="强调文字颜色 4 3 3 2" xfId="7535"/>
    <cellStyle name="强调文字颜色 4 3 3 2 2" xfId="7536"/>
    <cellStyle name="强调文字颜色 4 3 3 3" xfId="7537"/>
    <cellStyle name="强调文字颜色 4 3 4" xfId="7538"/>
    <cellStyle name="强调文字颜色 4 3 4 2" xfId="7539"/>
    <cellStyle name="强调文字颜色 4 3 5" xfId="7540"/>
    <cellStyle name="强调文字颜色 4 3 5 2" xfId="7541"/>
    <cellStyle name="强调文字颜色 4 3 6" xfId="7542"/>
    <cellStyle name="强调文字颜色 4 3 7" xfId="8827"/>
    <cellStyle name="强调文字颜色 4 4" xfId="7543"/>
    <cellStyle name="强调文字颜色 4 4 2" xfId="7544"/>
    <cellStyle name="强调文字颜色 4 4 2 2" xfId="7545"/>
    <cellStyle name="强调文字颜色 4 4 2 2 2" xfId="7546"/>
    <cellStyle name="强调文字颜色 4 4 2 2 2 2" xfId="7547"/>
    <cellStyle name="强调文字颜色 4 4 2 2 3" xfId="7548"/>
    <cellStyle name="强调文字颜色 4 4 2 3" xfId="7549"/>
    <cellStyle name="强调文字颜色 4 4 2 3 2" xfId="7550"/>
    <cellStyle name="强调文字颜色 4 4 2 4" xfId="7551"/>
    <cellStyle name="强调文字颜色 4 4 2 4 2" xfId="7552"/>
    <cellStyle name="强调文字颜色 4 4 2 5" xfId="7553"/>
    <cellStyle name="强调文字颜色 4 4 2 6" xfId="8830"/>
    <cellStyle name="强调文字颜色 4 4 3" xfId="7554"/>
    <cellStyle name="强调文字颜色 4 4 3 2" xfId="7555"/>
    <cellStyle name="强调文字颜色 4 4 3 2 2" xfId="7556"/>
    <cellStyle name="强调文字颜色 4 4 3 3" xfId="7557"/>
    <cellStyle name="强调文字颜色 4 4 4" xfId="7558"/>
    <cellStyle name="强调文字颜色 4 4 4 2" xfId="7559"/>
    <cellStyle name="强调文字颜色 4 4 5" xfId="7560"/>
    <cellStyle name="强调文字颜色 4 4 5 2" xfId="7561"/>
    <cellStyle name="强调文字颜色 4 4 6" xfId="7562"/>
    <cellStyle name="强调文字颜色 4 4 7" xfId="8829"/>
    <cellStyle name="强调文字颜色 4 5" xfId="7563"/>
    <cellStyle name="强调文字颜色 4 5 2" xfId="7564"/>
    <cellStyle name="强调文字颜色 4 5 2 2" xfId="7565"/>
    <cellStyle name="强调文字颜色 4 5 2 2 2" xfId="7566"/>
    <cellStyle name="强调文字颜色 4 5 2 3" xfId="7567"/>
    <cellStyle name="强调文字颜色 4 5 3" xfId="7568"/>
    <cellStyle name="强调文字颜色 4 5 3 2" xfId="7569"/>
    <cellStyle name="强调文字颜色 4 5 4" xfId="7570"/>
    <cellStyle name="强调文字颜色 4 5 4 2" xfId="7571"/>
    <cellStyle name="强调文字颜色 4 5 5" xfId="7572"/>
    <cellStyle name="强调文字颜色 4 6" xfId="7573"/>
    <cellStyle name="强调文字颜色 4 6 2" xfId="7574"/>
    <cellStyle name="强调文字颜色 4 6 2 2" xfId="7575"/>
    <cellStyle name="强调文字颜色 4 6 2 2 2" xfId="7576"/>
    <cellStyle name="强调文字颜色 4 6 2 3" xfId="7577"/>
    <cellStyle name="强调文字颜色 4 6 3" xfId="7578"/>
    <cellStyle name="强调文字颜色 4 6 3 2" xfId="7579"/>
    <cellStyle name="强调文字颜色 4 6 4" xfId="7580"/>
    <cellStyle name="强调文字颜色 4 6 4 2" xfId="7581"/>
    <cellStyle name="强调文字颜色 4 6 5" xfId="7582"/>
    <cellStyle name="强调文字颜色 4 7" xfId="7583"/>
    <cellStyle name="强调文字颜色 4 7 2" xfId="7584"/>
    <cellStyle name="强调文字颜色 4 7 2 2" xfId="7585"/>
    <cellStyle name="强调文字颜色 4 7 2 2 2" xfId="7586"/>
    <cellStyle name="强调文字颜色 4 7 2 3" xfId="7587"/>
    <cellStyle name="强调文字颜色 4 7 3" xfId="7588"/>
    <cellStyle name="强调文字颜色 4 7 3 2" xfId="7589"/>
    <cellStyle name="强调文字颜色 4 7 4" xfId="7590"/>
    <cellStyle name="强调文字颜色 4 7 4 2" xfId="7591"/>
    <cellStyle name="强调文字颜色 4 7 5" xfId="7592"/>
    <cellStyle name="强调文字颜色 5 2" xfId="7593"/>
    <cellStyle name="强调文字颜色 5 2 2" xfId="7594"/>
    <cellStyle name="强调文字颜色 5 2 2 2" xfId="7595"/>
    <cellStyle name="强调文字颜色 5 2 2 2 2" xfId="7596"/>
    <cellStyle name="强调文字颜色 5 2 2 2 2 2" xfId="7597"/>
    <cellStyle name="强调文字颜色 5 2 2 2 3" xfId="7598"/>
    <cellStyle name="强调文字颜色 5 2 2 3" xfId="7599"/>
    <cellStyle name="强调文字颜色 5 2 2 3 2" xfId="7600"/>
    <cellStyle name="强调文字颜色 5 2 2 4" xfId="7601"/>
    <cellStyle name="强调文字颜色 5 2 2 4 2" xfId="7602"/>
    <cellStyle name="强调文字颜色 5 2 2 5" xfId="7603"/>
    <cellStyle name="强调文字颜色 5 2 2 6" xfId="8832"/>
    <cellStyle name="强调文字颜色 5 2 3" xfId="7604"/>
    <cellStyle name="强调文字颜色 5 2 3 2" xfId="7605"/>
    <cellStyle name="强调文字颜色 5 2 3 2 2" xfId="7606"/>
    <cellStyle name="强调文字颜色 5 2 3 3" xfId="7607"/>
    <cellStyle name="强调文字颜色 5 2 4" xfId="7608"/>
    <cellStyle name="强调文字颜色 5 2 4 2" xfId="7609"/>
    <cellStyle name="强调文字颜色 5 2 5" xfId="7610"/>
    <cellStyle name="强调文字颜色 5 2 5 2" xfId="7611"/>
    <cellStyle name="强调文字颜色 5 2 6" xfId="7612"/>
    <cellStyle name="强调文字颜色 5 2 7" xfId="8616"/>
    <cellStyle name="强调文字颜色 5 2 8" xfId="8831"/>
    <cellStyle name="强调文字颜色 5 3" xfId="7613"/>
    <cellStyle name="强调文字颜色 5 3 2" xfId="7614"/>
    <cellStyle name="强调文字颜色 5 3 2 2" xfId="7615"/>
    <cellStyle name="强调文字颜色 5 3 2 2 2" xfId="7616"/>
    <cellStyle name="强调文字颜色 5 3 2 2 2 2" xfId="7617"/>
    <cellStyle name="强调文字颜色 5 3 2 2 3" xfId="7618"/>
    <cellStyle name="强调文字颜色 5 3 2 3" xfId="7619"/>
    <cellStyle name="强调文字颜色 5 3 2 3 2" xfId="7620"/>
    <cellStyle name="强调文字颜色 5 3 2 4" xfId="7621"/>
    <cellStyle name="强调文字颜色 5 3 2 4 2" xfId="7622"/>
    <cellStyle name="强调文字颜色 5 3 2 5" xfId="7623"/>
    <cellStyle name="强调文字颜色 5 3 2 6" xfId="8834"/>
    <cellStyle name="强调文字颜色 5 3 3" xfId="7624"/>
    <cellStyle name="强调文字颜色 5 3 3 2" xfId="7625"/>
    <cellStyle name="强调文字颜色 5 3 3 2 2" xfId="7626"/>
    <cellStyle name="强调文字颜色 5 3 3 3" xfId="7627"/>
    <cellStyle name="强调文字颜色 5 3 4" xfId="7628"/>
    <cellStyle name="强调文字颜色 5 3 4 2" xfId="7629"/>
    <cellStyle name="强调文字颜色 5 3 5" xfId="7630"/>
    <cellStyle name="强调文字颜色 5 3 5 2" xfId="7631"/>
    <cellStyle name="强调文字颜色 5 3 6" xfId="7632"/>
    <cellStyle name="强调文字颜色 5 3 7" xfId="8833"/>
    <cellStyle name="强调文字颜色 5 4" xfId="7633"/>
    <cellStyle name="强调文字颜色 5 4 2" xfId="7634"/>
    <cellStyle name="强调文字颜色 5 4 2 2" xfId="7635"/>
    <cellStyle name="强调文字颜色 5 4 2 2 2" xfId="7636"/>
    <cellStyle name="强调文字颜色 5 4 2 2 2 2" xfId="7637"/>
    <cellStyle name="强调文字颜色 5 4 2 2 3" xfId="7638"/>
    <cellStyle name="强调文字颜色 5 4 2 3" xfId="7639"/>
    <cellStyle name="强调文字颜色 5 4 2 3 2" xfId="7640"/>
    <cellStyle name="强调文字颜色 5 4 2 4" xfId="7641"/>
    <cellStyle name="强调文字颜色 5 4 2 4 2" xfId="7642"/>
    <cellStyle name="强调文字颜色 5 4 2 5" xfId="7643"/>
    <cellStyle name="强调文字颜色 5 4 2 6" xfId="8836"/>
    <cellStyle name="强调文字颜色 5 4 3" xfId="7644"/>
    <cellStyle name="强调文字颜色 5 4 3 2" xfId="7645"/>
    <cellStyle name="强调文字颜色 5 4 3 2 2" xfId="7646"/>
    <cellStyle name="强调文字颜色 5 4 3 3" xfId="7647"/>
    <cellStyle name="强调文字颜色 5 4 4" xfId="7648"/>
    <cellStyle name="强调文字颜色 5 4 4 2" xfId="7649"/>
    <cellStyle name="强调文字颜色 5 4 5" xfId="7650"/>
    <cellStyle name="强调文字颜色 5 4 5 2" xfId="7651"/>
    <cellStyle name="强调文字颜色 5 4 6" xfId="7652"/>
    <cellStyle name="强调文字颜色 5 4 7" xfId="8835"/>
    <cellStyle name="强调文字颜色 5 5" xfId="7653"/>
    <cellStyle name="强调文字颜色 5 5 2" xfId="7654"/>
    <cellStyle name="强调文字颜色 5 5 2 2" xfId="7655"/>
    <cellStyle name="强调文字颜色 5 5 2 2 2" xfId="7656"/>
    <cellStyle name="强调文字颜色 5 5 2 3" xfId="7657"/>
    <cellStyle name="强调文字颜色 5 5 3" xfId="7658"/>
    <cellStyle name="强调文字颜色 5 5 3 2" xfId="7659"/>
    <cellStyle name="强调文字颜色 5 5 4" xfId="7660"/>
    <cellStyle name="强调文字颜色 5 5 4 2" xfId="7661"/>
    <cellStyle name="强调文字颜色 5 5 5" xfId="7662"/>
    <cellStyle name="强调文字颜色 5 6" xfId="7663"/>
    <cellStyle name="强调文字颜色 5 6 2" xfId="7664"/>
    <cellStyle name="强调文字颜色 5 6 2 2" xfId="7665"/>
    <cellStyle name="强调文字颜色 5 6 2 2 2" xfId="7666"/>
    <cellStyle name="强调文字颜色 5 6 2 3" xfId="7667"/>
    <cellStyle name="强调文字颜色 5 6 3" xfId="7668"/>
    <cellStyle name="强调文字颜色 5 6 3 2" xfId="7669"/>
    <cellStyle name="强调文字颜色 5 6 4" xfId="7670"/>
    <cellStyle name="强调文字颜色 5 6 4 2" xfId="7671"/>
    <cellStyle name="强调文字颜色 5 6 5" xfId="7672"/>
    <cellStyle name="强调文字颜色 5 7" xfId="7673"/>
    <cellStyle name="强调文字颜色 5 7 2" xfId="7674"/>
    <cellStyle name="强调文字颜色 5 7 2 2" xfId="7675"/>
    <cellStyle name="强调文字颜色 5 7 2 2 2" xfId="7676"/>
    <cellStyle name="强调文字颜色 5 7 2 3" xfId="7677"/>
    <cellStyle name="强调文字颜色 5 7 3" xfId="7678"/>
    <cellStyle name="强调文字颜色 5 7 3 2" xfId="7679"/>
    <cellStyle name="强调文字颜色 5 7 4" xfId="7680"/>
    <cellStyle name="强调文字颜色 5 7 4 2" xfId="7681"/>
    <cellStyle name="强调文字颜色 5 7 5" xfId="7682"/>
    <cellStyle name="强调文字颜色 6 2" xfId="7683"/>
    <cellStyle name="强调文字颜色 6 2 2" xfId="7684"/>
    <cellStyle name="强调文字颜色 6 2 2 2" xfId="7685"/>
    <cellStyle name="强调文字颜色 6 2 2 2 2" xfId="7686"/>
    <cellStyle name="强调文字颜色 6 2 2 2 2 2" xfId="7687"/>
    <cellStyle name="强调文字颜色 6 2 2 2 3" xfId="7688"/>
    <cellStyle name="强调文字颜色 6 2 2 3" xfId="7689"/>
    <cellStyle name="强调文字颜色 6 2 2 3 2" xfId="7690"/>
    <cellStyle name="强调文字颜色 6 2 2 4" xfId="7691"/>
    <cellStyle name="强调文字颜色 6 2 2 4 2" xfId="7692"/>
    <cellStyle name="强调文字颜色 6 2 2 5" xfId="7693"/>
    <cellStyle name="强调文字颜色 6 2 2 6" xfId="8838"/>
    <cellStyle name="强调文字颜色 6 2 3" xfId="7694"/>
    <cellStyle name="强调文字颜色 6 2 3 2" xfId="7695"/>
    <cellStyle name="强调文字颜色 6 2 3 2 2" xfId="7696"/>
    <cellStyle name="强调文字颜色 6 2 3 3" xfId="7697"/>
    <cellStyle name="强调文字颜色 6 2 4" xfId="7698"/>
    <cellStyle name="强调文字颜色 6 2 4 2" xfId="7699"/>
    <cellStyle name="强调文字颜色 6 2 5" xfId="7700"/>
    <cellStyle name="强调文字颜色 6 2 5 2" xfId="7701"/>
    <cellStyle name="强调文字颜色 6 2 6" xfId="7702"/>
    <cellStyle name="强调文字颜色 6 2 7" xfId="8617"/>
    <cellStyle name="强调文字颜色 6 2 8" xfId="8837"/>
    <cellStyle name="强调文字颜色 6 3" xfId="7703"/>
    <cellStyle name="强调文字颜色 6 3 2" xfId="7704"/>
    <cellStyle name="强调文字颜色 6 3 2 2" xfId="7705"/>
    <cellStyle name="强调文字颜色 6 3 2 2 2" xfId="7706"/>
    <cellStyle name="强调文字颜色 6 3 2 2 2 2" xfId="7707"/>
    <cellStyle name="强调文字颜色 6 3 2 2 3" xfId="7708"/>
    <cellStyle name="强调文字颜色 6 3 2 3" xfId="7709"/>
    <cellStyle name="强调文字颜色 6 3 2 3 2" xfId="7710"/>
    <cellStyle name="强调文字颜色 6 3 2 4" xfId="7711"/>
    <cellStyle name="强调文字颜色 6 3 2 4 2" xfId="7712"/>
    <cellStyle name="强调文字颜色 6 3 2 5" xfId="7713"/>
    <cellStyle name="强调文字颜色 6 3 2 6" xfId="8840"/>
    <cellStyle name="强调文字颜色 6 3 3" xfId="7714"/>
    <cellStyle name="强调文字颜色 6 3 3 2" xfId="7715"/>
    <cellStyle name="强调文字颜色 6 3 3 2 2" xfId="7716"/>
    <cellStyle name="强调文字颜色 6 3 3 3" xfId="7717"/>
    <cellStyle name="强调文字颜色 6 3 4" xfId="7718"/>
    <cellStyle name="强调文字颜色 6 3 4 2" xfId="7719"/>
    <cellStyle name="强调文字颜色 6 3 5" xfId="7720"/>
    <cellStyle name="强调文字颜色 6 3 5 2" xfId="7721"/>
    <cellStyle name="强调文字颜色 6 3 6" xfId="7722"/>
    <cellStyle name="强调文字颜色 6 3 7" xfId="8839"/>
    <cellStyle name="强调文字颜色 6 4" xfId="7723"/>
    <cellStyle name="强调文字颜色 6 4 2" xfId="7724"/>
    <cellStyle name="强调文字颜色 6 4 2 2" xfId="7725"/>
    <cellStyle name="强调文字颜色 6 4 2 2 2" xfId="7726"/>
    <cellStyle name="强调文字颜色 6 4 2 2 2 2" xfId="7727"/>
    <cellStyle name="强调文字颜色 6 4 2 2 3" xfId="7728"/>
    <cellStyle name="强调文字颜色 6 4 2 3" xfId="7729"/>
    <cellStyle name="强调文字颜色 6 4 2 3 2" xfId="7730"/>
    <cellStyle name="强调文字颜色 6 4 2 4" xfId="7731"/>
    <cellStyle name="强调文字颜色 6 4 2 4 2" xfId="7732"/>
    <cellStyle name="强调文字颜色 6 4 2 5" xfId="7733"/>
    <cellStyle name="强调文字颜色 6 4 2 6" xfId="8842"/>
    <cellStyle name="强调文字颜色 6 4 3" xfId="7734"/>
    <cellStyle name="强调文字颜色 6 4 3 2" xfId="7735"/>
    <cellStyle name="强调文字颜色 6 4 3 2 2" xfId="7736"/>
    <cellStyle name="强调文字颜色 6 4 3 3" xfId="7737"/>
    <cellStyle name="强调文字颜色 6 4 4" xfId="7738"/>
    <cellStyle name="强调文字颜色 6 4 4 2" xfId="7739"/>
    <cellStyle name="强调文字颜色 6 4 5" xfId="7740"/>
    <cellStyle name="强调文字颜色 6 4 5 2" xfId="7741"/>
    <cellStyle name="强调文字颜色 6 4 6" xfId="7742"/>
    <cellStyle name="强调文字颜色 6 4 7" xfId="8841"/>
    <cellStyle name="强调文字颜色 6 5" xfId="7743"/>
    <cellStyle name="强调文字颜色 6 5 2" xfId="7744"/>
    <cellStyle name="强调文字颜色 6 5 2 2" xfId="7745"/>
    <cellStyle name="强调文字颜色 6 5 2 2 2" xfId="7746"/>
    <cellStyle name="强调文字颜色 6 5 2 3" xfId="7747"/>
    <cellStyle name="强调文字颜色 6 5 3" xfId="7748"/>
    <cellStyle name="强调文字颜色 6 5 3 2" xfId="7749"/>
    <cellStyle name="强调文字颜色 6 5 4" xfId="7750"/>
    <cellStyle name="强调文字颜色 6 5 4 2" xfId="7751"/>
    <cellStyle name="强调文字颜色 6 5 5" xfId="7752"/>
    <cellStyle name="强调文字颜色 6 6" xfId="7753"/>
    <cellStyle name="强调文字颜色 6 6 2" xfId="7754"/>
    <cellStyle name="强调文字颜色 6 6 2 2" xfId="7755"/>
    <cellStyle name="强调文字颜色 6 6 2 2 2" xfId="7756"/>
    <cellStyle name="强调文字颜色 6 6 2 3" xfId="7757"/>
    <cellStyle name="强调文字颜色 6 6 3" xfId="7758"/>
    <cellStyle name="强调文字颜色 6 6 3 2" xfId="7759"/>
    <cellStyle name="强调文字颜色 6 6 4" xfId="7760"/>
    <cellStyle name="强调文字颜色 6 6 4 2" xfId="7761"/>
    <cellStyle name="强调文字颜色 6 6 5" xfId="7762"/>
    <cellStyle name="强调文字颜色 6 7" xfId="7763"/>
    <cellStyle name="强调文字颜色 6 7 2" xfId="7764"/>
    <cellStyle name="强调文字颜色 6 7 2 2" xfId="7765"/>
    <cellStyle name="强调文字颜色 6 7 2 2 2" xfId="7766"/>
    <cellStyle name="强调文字颜色 6 7 2 3" xfId="7767"/>
    <cellStyle name="强调文字颜色 6 7 3" xfId="7768"/>
    <cellStyle name="强调文字颜色 6 7 3 2" xfId="7769"/>
    <cellStyle name="强调文字颜色 6 7 4" xfId="7770"/>
    <cellStyle name="强调文字颜色 6 7 4 2" xfId="7771"/>
    <cellStyle name="强调文字颜色 6 7 5" xfId="7772"/>
    <cellStyle name="适中 2" xfId="7773"/>
    <cellStyle name="适中 2 10" xfId="8992"/>
    <cellStyle name="适中 2 2" xfId="7774"/>
    <cellStyle name="适中 2 2 2" xfId="7775"/>
    <cellStyle name="适中 2 2 2 2" xfId="7776"/>
    <cellStyle name="适中 2 2 2 2 2" xfId="7777"/>
    <cellStyle name="适中 2 2 2 3" xfId="7778"/>
    <cellStyle name="适中 2 2 3" xfId="7779"/>
    <cellStyle name="适中 2 2 3 2" xfId="7780"/>
    <cellStyle name="适中 2 2 4" xfId="7781"/>
    <cellStyle name="适中 2 2 4 2" xfId="7782"/>
    <cellStyle name="适中 2 2 5" xfId="7783"/>
    <cellStyle name="适中 2 2 6" xfId="8844"/>
    <cellStyle name="适中 2 3" xfId="7784"/>
    <cellStyle name="适中 2 3 2" xfId="7785"/>
    <cellStyle name="适中 2 3 2 2" xfId="7786"/>
    <cellStyle name="适中 2 3 3" xfId="7787"/>
    <cellStyle name="适中 2 4" xfId="7788"/>
    <cellStyle name="适中 2 4 2" xfId="7789"/>
    <cellStyle name="适中 2 5" xfId="7790"/>
    <cellStyle name="适中 2 5 2" xfId="7791"/>
    <cellStyle name="适中 2 6" xfId="7792"/>
    <cellStyle name="适中 2 7" xfId="8618"/>
    <cellStyle name="适中 2 8" xfId="8843"/>
    <cellStyle name="适中 2 9" xfId="8917"/>
    <cellStyle name="适中 3" xfId="7793"/>
    <cellStyle name="适中 3 2" xfId="7794"/>
    <cellStyle name="适中 3 2 2" xfId="7795"/>
    <cellStyle name="适中 3 2 2 2" xfId="7796"/>
    <cellStyle name="适中 3 2 2 2 2" xfId="7797"/>
    <cellStyle name="适中 3 2 2 3" xfId="7798"/>
    <cellStyle name="适中 3 2 3" xfId="7799"/>
    <cellStyle name="适中 3 2 3 2" xfId="7800"/>
    <cellStyle name="适中 3 2 4" xfId="7801"/>
    <cellStyle name="适中 3 2 4 2" xfId="7802"/>
    <cellStyle name="适中 3 2 5" xfId="7803"/>
    <cellStyle name="适中 3 2 6" xfId="8846"/>
    <cellStyle name="适中 3 3" xfId="7804"/>
    <cellStyle name="适中 3 3 2" xfId="7805"/>
    <cellStyle name="适中 3 3 2 2" xfId="7806"/>
    <cellStyle name="适中 3 3 3" xfId="7807"/>
    <cellStyle name="适中 3 4" xfId="7808"/>
    <cellStyle name="适中 3 4 2" xfId="7809"/>
    <cellStyle name="适中 3 5" xfId="7810"/>
    <cellStyle name="适中 3 5 2" xfId="7811"/>
    <cellStyle name="适中 3 6" xfId="7812"/>
    <cellStyle name="适中 3 7" xfId="8845"/>
    <cellStyle name="适中 4" xfId="7813"/>
    <cellStyle name="适中 4 2" xfId="7814"/>
    <cellStyle name="适中 4 2 2" xfId="7815"/>
    <cellStyle name="适中 4 2 2 2" xfId="7816"/>
    <cellStyle name="适中 4 2 2 2 2" xfId="7817"/>
    <cellStyle name="适中 4 2 2 3" xfId="7818"/>
    <cellStyle name="适中 4 2 3" xfId="7819"/>
    <cellStyle name="适中 4 2 3 2" xfId="7820"/>
    <cellStyle name="适中 4 2 4" xfId="7821"/>
    <cellStyle name="适中 4 2 4 2" xfId="7822"/>
    <cellStyle name="适中 4 2 5" xfId="7823"/>
    <cellStyle name="适中 4 2 6" xfId="8848"/>
    <cellStyle name="适中 4 3" xfId="7824"/>
    <cellStyle name="适中 4 3 2" xfId="7825"/>
    <cellStyle name="适中 4 3 2 2" xfId="7826"/>
    <cellStyle name="适中 4 3 3" xfId="7827"/>
    <cellStyle name="适中 4 4" xfId="7828"/>
    <cellStyle name="适中 4 4 2" xfId="7829"/>
    <cellStyle name="适中 4 5" xfId="7830"/>
    <cellStyle name="适中 4 5 2" xfId="7831"/>
    <cellStyle name="适中 4 6" xfId="7832"/>
    <cellStyle name="适中 4 7" xfId="8847"/>
    <cellStyle name="适中 5" xfId="7833"/>
    <cellStyle name="适中 5 2" xfId="7834"/>
    <cellStyle name="适中 5 2 2" xfId="7835"/>
    <cellStyle name="适中 5 2 2 2" xfId="7836"/>
    <cellStyle name="适中 5 2 3" xfId="7837"/>
    <cellStyle name="适中 5 3" xfId="7838"/>
    <cellStyle name="适中 5 3 2" xfId="7839"/>
    <cellStyle name="适中 5 4" xfId="7840"/>
    <cellStyle name="适中 5 4 2" xfId="7841"/>
    <cellStyle name="适中 5 5" xfId="7842"/>
    <cellStyle name="适中 6" xfId="7843"/>
    <cellStyle name="适中 6 2" xfId="7844"/>
    <cellStyle name="适中 6 2 2" xfId="7845"/>
    <cellStyle name="适中 6 2 2 2" xfId="7846"/>
    <cellStyle name="适中 6 2 3" xfId="7847"/>
    <cellStyle name="适中 6 3" xfId="7848"/>
    <cellStyle name="适中 6 3 2" xfId="7849"/>
    <cellStyle name="适中 6 4" xfId="7850"/>
    <cellStyle name="适中 6 4 2" xfId="7851"/>
    <cellStyle name="适中 6 5" xfId="7852"/>
    <cellStyle name="适中 7" xfId="7853"/>
    <cellStyle name="适中 7 2" xfId="7854"/>
    <cellStyle name="适中 7 2 2" xfId="7855"/>
    <cellStyle name="适中 7 2 2 2" xfId="7856"/>
    <cellStyle name="适中 7 2 3" xfId="7857"/>
    <cellStyle name="适中 7 3" xfId="7858"/>
    <cellStyle name="适中 7 3 2" xfId="7859"/>
    <cellStyle name="适中 7 4" xfId="7860"/>
    <cellStyle name="适中 7 4 2" xfId="7861"/>
    <cellStyle name="适中 7 5" xfId="7862"/>
    <cellStyle name="输出 2" xfId="7863"/>
    <cellStyle name="输出 2 10" xfId="8937"/>
    <cellStyle name="输出 2 11" xfId="8951"/>
    <cellStyle name="输出 2 12" xfId="8993"/>
    <cellStyle name="输出 2 2" xfId="7864"/>
    <cellStyle name="输出 2 2 2" xfId="7865"/>
    <cellStyle name="输出 2 2 2 2" xfId="7866"/>
    <cellStyle name="输出 2 2 2 2 2" xfId="7867"/>
    <cellStyle name="输出 2 2 2 3" xfId="7868"/>
    <cellStyle name="输出 2 2 3" xfId="7869"/>
    <cellStyle name="输出 2 2 3 2" xfId="7870"/>
    <cellStyle name="输出 2 2 4" xfId="7871"/>
    <cellStyle name="输出 2 2 4 2" xfId="7872"/>
    <cellStyle name="输出 2 2 5" xfId="7873"/>
    <cellStyle name="输出 2 2 6" xfId="8850"/>
    <cellStyle name="输出 2 2 7" xfId="8945"/>
    <cellStyle name="输出 2 2 8" xfId="8956"/>
    <cellStyle name="输出 2 3" xfId="7874"/>
    <cellStyle name="输出 2 3 2" xfId="7875"/>
    <cellStyle name="输出 2 3 2 2" xfId="7876"/>
    <cellStyle name="输出 2 3 3" xfId="7877"/>
    <cellStyle name="输出 2 4" xfId="7878"/>
    <cellStyle name="输出 2 4 2" xfId="7879"/>
    <cellStyle name="输出 2 5" xfId="7880"/>
    <cellStyle name="输出 2 5 2" xfId="7881"/>
    <cellStyle name="输出 2 6" xfId="7882"/>
    <cellStyle name="输出 2 7" xfId="8619"/>
    <cellStyle name="输出 2 8" xfId="8624"/>
    <cellStyle name="输出 2 9" xfId="8849"/>
    <cellStyle name="输出 3" xfId="7883"/>
    <cellStyle name="输出 3 2" xfId="7884"/>
    <cellStyle name="输出 3 2 2" xfId="7885"/>
    <cellStyle name="输出 3 2 2 2" xfId="7886"/>
    <cellStyle name="输出 3 2 2 2 2" xfId="7887"/>
    <cellStyle name="输出 3 2 2 3" xfId="7888"/>
    <cellStyle name="输出 3 2 3" xfId="7889"/>
    <cellStyle name="输出 3 2 3 2" xfId="7890"/>
    <cellStyle name="输出 3 2 4" xfId="7891"/>
    <cellStyle name="输出 3 2 4 2" xfId="7892"/>
    <cellStyle name="输出 3 2 5" xfId="7893"/>
    <cellStyle name="输出 3 2 6" xfId="8852"/>
    <cellStyle name="输出 3 3" xfId="7894"/>
    <cellStyle name="输出 3 3 2" xfId="7895"/>
    <cellStyle name="输出 3 3 2 2" xfId="7896"/>
    <cellStyle name="输出 3 3 3" xfId="7897"/>
    <cellStyle name="输出 3 4" xfId="7898"/>
    <cellStyle name="输出 3 4 2" xfId="7899"/>
    <cellStyle name="输出 3 5" xfId="7900"/>
    <cellStyle name="输出 3 5 2" xfId="7901"/>
    <cellStyle name="输出 3 6" xfId="7902"/>
    <cellStyle name="输出 3 7" xfId="8851"/>
    <cellStyle name="输出 4" xfId="7903"/>
    <cellStyle name="输出 4 2" xfId="7904"/>
    <cellStyle name="输出 4 2 2" xfId="7905"/>
    <cellStyle name="输出 4 2 2 2" xfId="7906"/>
    <cellStyle name="输出 4 2 2 2 2" xfId="7907"/>
    <cellStyle name="输出 4 2 2 3" xfId="7908"/>
    <cellStyle name="输出 4 2 3" xfId="7909"/>
    <cellStyle name="输出 4 2 3 2" xfId="7910"/>
    <cellStyle name="输出 4 2 4" xfId="7911"/>
    <cellStyle name="输出 4 2 4 2" xfId="7912"/>
    <cellStyle name="输出 4 2 5" xfId="7913"/>
    <cellStyle name="输出 4 2 6" xfId="8854"/>
    <cellStyle name="输出 4 3" xfId="7914"/>
    <cellStyle name="输出 4 3 2" xfId="7915"/>
    <cellStyle name="输出 4 3 2 2" xfId="7916"/>
    <cellStyle name="输出 4 3 3" xfId="7917"/>
    <cellStyle name="输出 4 4" xfId="7918"/>
    <cellStyle name="输出 4 4 2" xfId="7919"/>
    <cellStyle name="输出 4 5" xfId="7920"/>
    <cellStyle name="输出 4 5 2" xfId="7921"/>
    <cellStyle name="输出 4 6" xfId="7922"/>
    <cellStyle name="输出 4 7" xfId="8853"/>
    <cellStyle name="输出 5" xfId="7923"/>
    <cellStyle name="输出 5 2" xfId="7924"/>
    <cellStyle name="输出 5 2 2" xfId="7925"/>
    <cellStyle name="输出 5 2 2 2" xfId="7926"/>
    <cellStyle name="输出 5 2 3" xfId="7927"/>
    <cellStyle name="输出 5 3" xfId="7928"/>
    <cellStyle name="输出 5 3 2" xfId="7929"/>
    <cellStyle name="输出 5 4" xfId="7930"/>
    <cellStyle name="输出 5 4 2" xfId="7931"/>
    <cellStyle name="输出 5 5" xfId="7932"/>
    <cellStyle name="输出 6" xfId="7933"/>
    <cellStyle name="输出 6 2" xfId="7934"/>
    <cellStyle name="输出 6 2 2" xfId="7935"/>
    <cellStyle name="输出 6 2 2 2" xfId="7936"/>
    <cellStyle name="输出 6 2 3" xfId="7937"/>
    <cellStyle name="输出 6 3" xfId="7938"/>
    <cellStyle name="输出 6 3 2" xfId="7939"/>
    <cellStyle name="输出 6 4" xfId="7940"/>
    <cellStyle name="输出 6 4 2" xfId="7941"/>
    <cellStyle name="输出 6 5" xfId="7942"/>
    <cellStyle name="输出 7" xfId="7943"/>
    <cellStyle name="输出 7 2" xfId="7944"/>
    <cellStyle name="输出 7 2 2" xfId="7945"/>
    <cellStyle name="输出 7 2 2 2" xfId="7946"/>
    <cellStyle name="输出 7 2 3" xfId="7947"/>
    <cellStyle name="输出 7 3" xfId="7948"/>
    <cellStyle name="输出 7 3 2" xfId="7949"/>
    <cellStyle name="输出 7 4" xfId="7950"/>
    <cellStyle name="输出 7 4 2" xfId="7951"/>
    <cellStyle name="输出 7 5" xfId="7952"/>
    <cellStyle name="输入 2" xfId="7953"/>
    <cellStyle name="输入 2 10" xfId="8938"/>
    <cellStyle name="输入 2 11" xfId="8952"/>
    <cellStyle name="输入 2 12" xfId="8994"/>
    <cellStyle name="输入 2 2" xfId="7954"/>
    <cellStyle name="输入 2 2 2" xfId="7955"/>
    <cellStyle name="输入 2 2 2 2" xfId="7956"/>
    <cellStyle name="输入 2 2 2 2 2" xfId="7957"/>
    <cellStyle name="输入 2 2 2 3" xfId="7958"/>
    <cellStyle name="输入 2 2 3" xfId="7959"/>
    <cellStyle name="输入 2 2 3 2" xfId="7960"/>
    <cellStyle name="输入 2 2 4" xfId="7961"/>
    <cellStyle name="输入 2 2 4 2" xfId="7962"/>
    <cellStyle name="输入 2 2 5" xfId="7963"/>
    <cellStyle name="输入 2 2 6" xfId="8856"/>
    <cellStyle name="输入 2 2 7" xfId="8946"/>
    <cellStyle name="输入 2 2 8" xfId="8957"/>
    <cellStyle name="输入 2 3" xfId="7964"/>
    <cellStyle name="输入 2 3 2" xfId="7965"/>
    <cellStyle name="输入 2 3 2 2" xfId="7966"/>
    <cellStyle name="输入 2 3 3" xfId="7967"/>
    <cellStyle name="输入 2 4" xfId="7968"/>
    <cellStyle name="输入 2 4 2" xfId="7969"/>
    <cellStyle name="输入 2 5" xfId="7970"/>
    <cellStyle name="输入 2 5 2" xfId="7971"/>
    <cellStyle name="输入 2 6" xfId="7972"/>
    <cellStyle name="输入 2 7" xfId="8620"/>
    <cellStyle name="输入 2 8" xfId="8625"/>
    <cellStyle name="输入 2 9" xfId="8855"/>
    <cellStyle name="输入 3" xfId="7973"/>
    <cellStyle name="输入 3 2" xfId="7974"/>
    <cellStyle name="输入 3 2 2" xfId="7975"/>
    <cellStyle name="输入 3 2 2 2" xfId="7976"/>
    <cellStyle name="输入 3 2 2 2 2" xfId="7977"/>
    <cellStyle name="输入 3 2 2 3" xfId="7978"/>
    <cellStyle name="输入 3 2 3" xfId="7979"/>
    <cellStyle name="输入 3 2 3 2" xfId="7980"/>
    <cellStyle name="输入 3 2 4" xfId="7981"/>
    <cellStyle name="输入 3 2 4 2" xfId="7982"/>
    <cellStyle name="输入 3 2 5" xfId="7983"/>
    <cellStyle name="输入 3 2 6" xfId="8858"/>
    <cellStyle name="输入 3 3" xfId="7984"/>
    <cellStyle name="输入 3 3 2" xfId="7985"/>
    <cellStyle name="输入 3 3 2 2" xfId="7986"/>
    <cellStyle name="输入 3 3 3" xfId="7987"/>
    <cellStyle name="输入 3 4" xfId="7988"/>
    <cellStyle name="输入 3 4 2" xfId="7989"/>
    <cellStyle name="输入 3 5" xfId="7990"/>
    <cellStyle name="输入 3 5 2" xfId="7991"/>
    <cellStyle name="输入 3 6" xfId="7992"/>
    <cellStyle name="输入 3 7" xfId="8857"/>
    <cellStyle name="输入 4" xfId="7993"/>
    <cellStyle name="输入 4 2" xfId="7994"/>
    <cellStyle name="输入 4 2 2" xfId="7995"/>
    <cellStyle name="输入 4 2 2 2" xfId="7996"/>
    <cellStyle name="输入 4 2 2 2 2" xfId="7997"/>
    <cellStyle name="输入 4 2 2 3" xfId="7998"/>
    <cellStyle name="输入 4 2 3" xfId="7999"/>
    <cellStyle name="输入 4 2 3 2" xfId="8000"/>
    <cellStyle name="输入 4 2 4" xfId="8001"/>
    <cellStyle name="输入 4 2 4 2" xfId="8002"/>
    <cellStyle name="输入 4 2 5" xfId="8003"/>
    <cellStyle name="输入 4 2 6" xfId="8860"/>
    <cellStyle name="输入 4 3" xfId="8004"/>
    <cellStyle name="输入 4 3 2" xfId="8005"/>
    <cellStyle name="输入 4 3 2 2" xfId="8006"/>
    <cellStyle name="输入 4 3 3" xfId="8007"/>
    <cellStyle name="输入 4 4" xfId="8008"/>
    <cellStyle name="输入 4 4 2" xfId="8009"/>
    <cellStyle name="输入 4 5" xfId="8010"/>
    <cellStyle name="输入 4 5 2" xfId="8011"/>
    <cellStyle name="输入 4 6" xfId="8012"/>
    <cellStyle name="输入 4 7" xfId="8859"/>
    <cellStyle name="输入 5" xfId="8013"/>
    <cellStyle name="输入 5 2" xfId="8014"/>
    <cellStyle name="输入 5 2 2" xfId="8015"/>
    <cellStyle name="输入 5 2 2 2" xfId="8016"/>
    <cellStyle name="输入 5 2 3" xfId="8017"/>
    <cellStyle name="输入 5 3" xfId="8018"/>
    <cellStyle name="输入 5 3 2" xfId="8019"/>
    <cellStyle name="输入 5 4" xfId="8020"/>
    <cellStyle name="输入 5 4 2" xfId="8021"/>
    <cellStyle name="输入 5 5" xfId="8022"/>
    <cellStyle name="输入 6" xfId="8023"/>
    <cellStyle name="输入 6 2" xfId="8024"/>
    <cellStyle name="输入 6 2 2" xfId="8025"/>
    <cellStyle name="输入 6 2 2 2" xfId="8026"/>
    <cellStyle name="输入 6 2 3" xfId="8027"/>
    <cellStyle name="输入 6 3" xfId="8028"/>
    <cellStyle name="输入 6 3 2" xfId="8029"/>
    <cellStyle name="输入 6 4" xfId="8030"/>
    <cellStyle name="输入 6 4 2" xfId="8031"/>
    <cellStyle name="输入 6 5" xfId="8032"/>
    <cellStyle name="输入 7" xfId="8033"/>
    <cellStyle name="输入 7 2" xfId="8034"/>
    <cellStyle name="输入 7 2 2" xfId="8035"/>
    <cellStyle name="输入 7 2 2 2" xfId="8036"/>
    <cellStyle name="输入 7 2 3" xfId="8037"/>
    <cellStyle name="输入 7 3" xfId="8038"/>
    <cellStyle name="输入 7 3 2" xfId="8039"/>
    <cellStyle name="输入 7 4" xfId="8040"/>
    <cellStyle name="输入 7 4 2" xfId="8041"/>
    <cellStyle name="输入 7 5" xfId="8042"/>
    <cellStyle name="说明文本" xfId="8043"/>
    <cellStyle name="说明文本 2" xfId="8044"/>
    <cellStyle name="说明文本 2 2" xfId="8045"/>
    <cellStyle name="说明文本 2 2 2" xfId="8046"/>
    <cellStyle name="说明文本 2 2 2 2" xfId="8047"/>
    <cellStyle name="说明文本 2 2 2 2 2" xfId="8048"/>
    <cellStyle name="说明文本 2 2 2 3" xfId="8049"/>
    <cellStyle name="说明文本 2 2 3" xfId="8050"/>
    <cellStyle name="说明文本 2 2 3 2" xfId="8051"/>
    <cellStyle name="说明文本 2 2 4" xfId="8052"/>
    <cellStyle name="说明文本 2 2 4 2" xfId="8053"/>
    <cellStyle name="说明文本 2 2 5" xfId="8054"/>
    <cellStyle name="说明文本 2 3" xfId="8055"/>
    <cellStyle name="说明文本 2 3 2" xfId="8056"/>
    <cellStyle name="说明文本 2 3 2 2" xfId="8057"/>
    <cellStyle name="说明文本 2 3 3" xfId="8058"/>
    <cellStyle name="说明文本 2 4" xfId="8059"/>
    <cellStyle name="说明文本 2 4 2" xfId="8060"/>
    <cellStyle name="说明文本 2 5" xfId="8061"/>
    <cellStyle name="说明文本 2 5 2" xfId="8062"/>
    <cellStyle name="说明文本 2 6" xfId="8063"/>
    <cellStyle name="说明文本 3" xfId="8064"/>
    <cellStyle name="说明文本 3 2" xfId="8065"/>
    <cellStyle name="说明文本 3 2 2" xfId="8066"/>
    <cellStyle name="说明文本 3 2 2 2" xfId="8067"/>
    <cellStyle name="说明文本 3 2 3" xfId="8068"/>
    <cellStyle name="说明文本 3 3" xfId="8069"/>
    <cellStyle name="说明文本 3 3 2" xfId="8070"/>
    <cellStyle name="说明文本 3 4" xfId="8071"/>
    <cellStyle name="说明文本 3 4 2" xfId="8072"/>
    <cellStyle name="说明文本 3 5" xfId="8073"/>
    <cellStyle name="说明文本 4" xfId="8074"/>
    <cellStyle name="说明文本 4 2" xfId="8075"/>
    <cellStyle name="说明文本 4 2 2" xfId="8076"/>
    <cellStyle name="说明文本 4 2 2 2" xfId="8077"/>
    <cellStyle name="说明文本 4 2 3" xfId="8078"/>
    <cellStyle name="说明文本 4 3" xfId="8079"/>
    <cellStyle name="说明文本 4 3 2" xfId="8080"/>
    <cellStyle name="说明文本 4 4" xfId="8081"/>
    <cellStyle name="说明文本 4 4 2" xfId="8082"/>
    <cellStyle name="说明文本 4 5" xfId="8083"/>
    <cellStyle name="说明文本 5" xfId="8084"/>
    <cellStyle name="说明文本 5 2" xfId="8085"/>
    <cellStyle name="说明文本 5 2 2" xfId="8086"/>
    <cellStyle name="说明文本 5 3" xfId="8087"/>
    <cellStyle name="说明文本 6" xfId="8088"/>
    <cellStyle name="说明文本 6 2" xfId="8089"/>
    <cellStyle name="说明文本 7" xfId="8090"/>
    <cellStyle name="说明文本 7 2" xfId="8091"/>
    <cellStyle name="说明文本 8" xfId="8092"/>
    <cellStyle name="说明文本 8 2" xfId="8093"/>
    <cellStyle name="说明文本 9" xfId="8094"/>
    <cellStyle name="无色" xfId="8095"/>
    <cellStyle name="无色 2" xfId="8096"/>
    <cellStyle name="无色 2 2" xfId="8097"/>
    <cellStyle name="无色 2 2 2" xfId="8098"/>
    <cellStyle name="无色 2 2 2 2" xfId="8099"/>
    <cellStyle name="无色 2 2 2 2 2" xfId="8100"/>
    <cellStyle name="无色 2 2 2 3" xfId="8101"/>
    <cellStyle name="无色 2 2 3" xfId="8102"/>
    <cellStyle name="无色 2 2 3 2" xfId="8103"/>
    <cellStyle name="无色 2 2 4" xfId="8104"/>
    <cellStyle name="无色 2 2 4 2" xfId="8105"/>
    <cellStyle name="无色 2 2 5" xfId="8106"/>
    <cellStyle name="无色 2 3" xfId="8107"/>
    <cellStyle name="无色 2 3 2" xfId="8108"/>
    <cellStyle name="无色 2 3 2 2" xfId="8109"/>
    <cellStyle name="无色 2 3 3" xfId="8110"/>
    <cellStyle name="无色 2 4" xfId="8111"/>
    <cellStyle name="无色 2 4 2" xfId="8112"/>
    <cellStyle name="无色 2 5" xfId="8113"/>
    <cellStyle name="无色 2 5 2" xfId="8114"/>
    <cellStyle name="无色 2 6" xfId="8115"/>
    <cellStyle name="无色 3" xfId="8116"/>
    <cellStyle name="无色 3 2" xfId="8117"/>
    <cellStyle name="无色 3 2 2" xfId="8118"/>
    <cellStyle name="无色 3 2 2 2" xfId="8119"/>
    <cellStyle name="无色 3 2 3" xfId="8120"/>
    <cellStyle name="无色 3 3" xfId="8121"/>
    <cellStyle name="无色 3 3 2" xfId="8122"/>
    <cellStyle name="无色 3 4" xfId="8123"/>
    <cellStyle name="无色 3 4 2" xfId="8124"/>
    <cellStyle name="无色 3 5" xfId="8125"/>
    <cellStyle name="无色 4" xfId="8126"/>
    <cellStyle name="无色 4 2" xfId="8127"/>
    <cellStyle name="无色 4 2 2" xfId="8128"/>
    <cellStyle name="无色 4 2 2 2" xfId="8129"/>
    <cellStyle name="无色 4 2 3" xfId="8130"/>
    <cellStyle name="无色 4 3" xfId="8131"/>
    <cellStyle name="无色 4 3 2" xfId="8132"/>
    <cellStyle name="无色 4 4" xfId="8133"/>
    <cellStyle name="无色 4 4 2" xfId="8134"/>
    <cellStyle name="无色 4 5" xfId="8135"/>
    <cellStyle name="无色 5" xfId="8136"/>
    <cellStyle name="无色 5 2" xfId="8137"/>
    <cellStyle name="无色 5 2 2" xfId="8138"/>
    <cellStyle name="无色 5 3" xfId="8139"/>
    <cellStyle name="无色 6" xfId="8140"/>
    <cellStyle name="无色 6 2" xfId="8141"/>
    <cellStyle name="无色 7" xfId="8142"/>
    <cellStyle name="无色 7 2" xfId="8143"/>
    <cellStyle name="无色 8" xfId="8144"/>
    <cellStyle name="无色 8 2" xfId="8145"/>
    <cellStyle name="无色 9" xfId="8146"/>
    <cellStyle name="样式 1" xfId="8147"/>
    <cellStyle name="样式 1 2" xfId="8588"/>
    <cellStyle name="着色 1" xfId="8148"/>
    <cellStyle name="着色 1 2" xfId="8149"/>
    <cellStyle name="着色 1 2 2" xfId="8150"/>
    <cellStyle name="着色 1 2 2 2" xfId="8151"/>
    <cellStyle name="着色 1 2 2 2 2" xfId="8152"/>
    <cellStyle name="着色 1 2 2 2 2 2" xfId="8153"/>
    <cellStyle name="着色 1 2 2 2 3" xfId="8154"/>
    <cellStyle name="着色 1 2 2 3" xfId="8155"/>
    <cellStyle name="着色 1 2 2 3 2" xfId="8156"/>
    <cellStyle name="着色 1 2 2 4" xfId="8157"/>
    <cellStyle name="着色 1 2 2 4 2" xfId="8158"/>
    <cellStyle name="着色 1 2 2 5" xfId="8159"/>
    <cellStyle name="着色 1 2 3" xfId="8160"/>
    <cellStyle name="着色 1 2 3 2" xfId="8161"/>
    <cellStyle name="着色 1 2 3 2 2" xfId="8162"/>
    <cellStyle name="着色 1 2 3 3" xfId="8163"/>
    <cellStyle name="着色 1 2 4" xfId="8164"/>
    <cellStyle name="着色 1 2 4 2" xfId="8165"/>
    <cellStyle name="着色 1 2 5" xfId="8166"/>
    <cellStyle name="着色 1 2 5 2" xfId="8167"/>
    <cellStyle name="着色 1 2 6" xfId="8168"/>
    <cellStyle name="着色 1 3" xfId="8169"/>
    <cellStyle name="着色 1 3 2" xfId="8170"/>
    <cellStyle name="着色 1 3 2 2" xfId="8171"/>
    <cellStyle name="着色 1 3 2 2 2" xfId="8172"/>
    <cellStyle name="着色 1 3 2 3" xfId="8173"/>
    <cellStyle name="着色 1 3 3" xfId="8174"/>
    <cellStyle name="着色 1 3 3 2" xfId="8175"/>
    <cellStyle name="着色 1 3 4" xfId="8176"/>
    <cellStyle name="着色 1 3 4 2" xfId="8177"/>
    <cellStyle name="着色 1 3 5" xfId="8178"/>
    <cellStyle name="着色 1 4" xfId="8179"/>
    <cellStyle name="着色 1 4 2" xfId="8180"/>
    <cellStyle name="着色 1 4 2 2" xfId="8181"/>
    <cellStyle name="着色 1 4 2 2 2" xfId="8182"/>
    <cellStyle name="着色 1 4 2 3" xfId="8183"/>
    <cellStyle name="着色 1 4 3" xfId="8184"/>
    <cellStyle name="着色 1 4 3 2" xfId="8185"/>
    <cellStyle name="着色 1 4 4" xfId="8186"/>
    <cellStyle name="着色 1 4 4 2" xfId="8187"/>
    <cellStyle name="着色 1 4 5" xfId="8188"/>
    <cellStyle name="着色 1 5" xfId="8189"/>
    <cellStyle name="着色 1 5 2" xfId="8190"/>
    <cellStyle name="着色 1 5 2 2" xfId="8191"/>
    <cellStyle name="着色 1 5 3" xfId="8192"/>
    <cellStyle name="着色 1 6" xfId="8193"/>
    <cellStyle name="着色 1 6 2" xfId="8194"/>
    <cellStyle name="着色 1 7" xfId="8195"/>
    <cellStyle name="着色 1 7 2" xfId="8196"/>
    <cellStyle name="着色 1 8" xfId="8197"/>
    <cellStyle name="着色 1 8 2" xfId="8198"/>
    <cellStyle name="着色 1 9" xfId="8199"/>
    <cellStyle name="着色 2" xfId="8200"/>
    <cellStyle name="着色 2 2" xfId="8201"/>
    <cellStyle name="着色 2 2 2" xfId="8202"/>
    <cellStyle name="着色 2 2 2 2" xfId="8203"/>
    <cellStyle name="着色 2 2 2 2 2" xfId="8204"/>
    <cellStyle name="着色 2 2 2 2 2 2" xfId="8205"/>
    <cellStyle name="着色 2 2 2 2 3" xfId="8206"/>
    <cellStyle name="着色 2 2 2 3" xfId="8207"/>
    <cellStyle name="着色 2 2 2 3 2" xfId="8208"/>
    <cellStyle name="着色 2 2 2 4" xfId="8209"/>
    <cellStyle name="着色 2 2 2 4 2" xfId="8210"/>
    <cellStyle name="着色 2 2 2 5" xfId="8211"/>
    <cellStyle name="着色 2 2 3" xfId="8212"/>
    <cellStyle name="着色 2 2 3 2" xfId="8213"/>
    <cellStyle name="着色 2 2 3 2 2" xfId="8214"/>
    <cellStyle name="着色 2 2 3 3" xfId="8215"/>
    <cellStyle name="着色 2 2 4" xfId="8216"/>
    <cellStyle name="着色 2 2 4 2" xfId="8217"/>
    <cellStyle name="着色 2 2 5" xfId="8218"/>
    <cellStyle name="着色 2 2 5 2" xfId="8219"/>
    <cellStyle name="着色 2 2 6" xfId="8220"/>
    <cellStyle name="着色 2 3" xfId="8221"/>
    <cellStyle name="着色 2 3 2" xfId="8222"/>
    <cellStyle name="着色 2 3 2 2" xfId="8223"/>
    <cellStyle name="着色 2 3 2 2 2" xfId="8224"/>
    <cellStyle name="着色 2 3 2 3" xfId="8225"/>
    <cellStyle name="着色 2 3 3" xfId="8226"/>
    <cellStyle name="着色 2 3 3 2" xfId="8227"/>
    <cellStyle name="着色 2 3 4" xfId="8228"/>
    <cellStyle name="着色 2 3 4 2" xfId="8229"/>
    <cellStyle name="着色 2 3 5" xfId="8230"/>
    <cellStyle name="着色 2 4" xfId="8231"/>
    <cellStyle name="着色 2 4 2" xfId="8232"/>
    <cellStyle name="着色 2 4 2 2" xfId="8233"/>
    <cellStyle name="着色 2 4 2 2 2" xfId="8234"/>
    <cellStyle name="着色 2 4 2 3" xfId="8235"/>
    <cellStyle name="着色 2 4 3" xfId="8236"/>
    <cellStyle name="着色 2 4 3 2" xfId="8237"/>
    <cellStyle name="着色 2 4 4" xfId="8238"/>
    <cellStyle name="着色 2 4 4 2" xfId="8239"/>
    <cellStyle name="着色 2 4 5" xfId="8240"/>
    <cellStyle name="着色 2 5" xfId="8241"/>
    <cellStyle name="着色 2 5 2" xfId="8242"/>
    <cellStyle name="着色 2 5 2 2" xfId="8243"/>
    <cellStyle name="着色 2 5 3" xfId="8244"/>
    <cellStyle name="着色 2 6" xfId="8245"/>
    <cellStyle name="着色 2 6 2" xfId="8246"/>
    <cellStyle name="着色 2 7" xfId="8247"/>
    <cellStyle name="着色 2 7 2" xfId="8248"/>
    <cellStyle name="着色 2 8" xfId="8249"/>
    <cellStyle name="着色 2 8 2" xfId="8250"/>
    <cellStyle name="着色 2 9" xfId="8251"/>
    <cellStyle name="着色 3" xfId="8252"/>
    <cellStyle name="着色 3 2" xfId="8253"/>
    <cellStyle name="着色 3 2 2" xfId="8254"/>
    <cellStyle name="着色 3 2 2 2" xfId="8255"/>
    <cellStyle name="着色 3 2 2 2 2" xfId="8256"/>
    <cellStyle name="着色 3 2 2 2 2 2" xfId="8257"/>
    <cellStyle name="着色 3 2 2 2 3" xfId="8258"/>
    <cellStyle name="着色 3 2 2 3" xfId="8259"/>
    <cellStyle name="着色 3 2 2 3 2" xfId="8260"/>
    <cellStyle name="着色 3 2 2 4" xfId="8261"/>
    <cellStyle name="着色 3 2 2 4 2" xfId="8262"/>
    <cellStyle name="着色 3 2 2 5" xfId="8263"/>
    <cellStyle name="着色 3 2 3" xfId="8264"/>
    <cellStyle name="着色 3 2 3 2" xfId="8265"/>
    <cellStyle name="着色 3 2 3 2 2" xfId="8266"/>
    <cellStyle name="着色 3 2 3 3" xfId="8267"/>
    <cellStyle name="着色 3 2 4" xfId="8268"/>
    <cellStyle name="着色 3 2 4 2" xfId="8269"/>
    <cellStyle name="着色 3 2 5" xfId="8270"/>
    <cellStyle name="着色 3 2 5 2" xfId="8271"/>
    <cellStyle name="着色 3 2 6" xfId="8272"/>
    <cellStyle name="着色 3 3" xfId="8273"/>
    <cellStyle name="着色 3 3 2" xfId="8274"/>
    <cellStyle name="着色 3 3 2 2" xfId="8275"/>
    <cellStyle name="着色 3 3 2 2 2" xfId="8276"/>
    <cellStyle name="着色 3 3 2 3" xfId="8277"/>
    <cellStyle name="着色 3 3 3" xfId="8278"/>
    <cellStyle name="着色 3 3 3 2" xfId="8279"/>
    <cellStyle name="着色 3 3 4" xfId="8280"/>
    <cellStyle name="着色 3 3 4 2" xfId="8281"/>
    <cellStyle name="着色 3 3 5" xfId="8282"/>
    <cellStyle name="着色 3 4" xfId="8283"/>
    <cellStyle name="着色 3 4 2" xfId="8284"/>
    <cellStyle name="着色 3 4 2 2" xfId="8285"/>
    <cellStyle name="着色 3 4 2 2 2" xfId="8286"/>
    <cellStyle name="着色 3 4 2 3" xfId="8287"/>
    <cellStyle name="着色 3 4 3" xfId="8288"/>
    <cellStyle name="着色 3 4 3 2" xfId="8289"/>
    <cellStyle name="着色 3 4 4" xfId="8290"/>
    <cellStyle name="着色 3 4 4 2" xfId="8291"/>
    <cellStyle name="着色 3 4 5" xfId="8292"/>
    <cellStyle name="着色 3 5" xfId="8293"/>
    <cellStyle name="着色 3 5 2" xfId="8294"/>
    <cellStyle name="着色 3 5 2 2" xfId="8295"/>
    <cellStyle name="着色 3 5 3" xfId="8296"/>
    <cellStyle name="着色 3 6" xfId="8297"/>
    <cellStyle name="着色 3 6 2" xfId="8298"/>
    <cellStyle name="着色 3 7" xfId="8299"/>
    <cellStyle name="着色 3 7 2" xfId="8300"/>
    <cellStyle name="着色 3 8" xfId="8301"/>
    <cellStyle name="着色 3 8 2" xfId="8302"/>
    <cellStyle name="着色 3 9" xfId="8303"/>
    <cellStyle name="着色 4" xfId="8304"/>
    <cellStyle name="着色 4 2" xfId="8305"/>
    <cellStyle name="着色 4 2 2" xfId="8306"/>
    <cellStyle name="着色 4 2 2 2" xfId="8307"/>
    <cellStyle name="着色 4 2 2 2 2" xfId="8308"/>
    <cellStyle name="着色 4 2 2 2 2 2" xfId="8309"/>
    <cellStyle name="着色 4 2 2 2 3" xfId="8310"/>
    <cellStyle name="着色 4 2 2 3" xfId="8311"/>
    <cellStyle name="着色 4 2 2 3 2" xfId="8312"/>
    <cellStyle name="着色 4 2 2 4" xfId="8313"/>
    <cellStyle name="着色 4 2 2 4 2" xfId="8314"/>
    <cellStyle name="着色 4 2 2 5" xfId="8315"/>
    <cellStyle name="着色 4 2 3" xfId="8316"/>
    <cellStyle name="着色 4 2 3 2" xfId="8317"/>
    <cellStyle name="着色 4 2 3 2 2" xfId="8318"/>
    <cellStyle name="着色 4 2 3 3" xfId="8319"/>
    <cellStyle name="着色 4 2 4" xfId="8320"/>
    <cellStyle name="着色 4 2 4 2" xfId="8321"/>
    <cellStyle name="着色 4 2 5" xfId="8322"/>
    <cellStyle name="着色 4 2 5 2" xfId="8323"/>
    <cellStyle name="着色 4 2 6" xfId="8324"/>
    <cellStyle name="着色 4 3" xfId="8325"/>
    <cellStyle name="着色 4 3 2" xfId="8326"/>
    <cellStyle name="着色 4 3 2 2" xfId="8327"/>
    <cellStyle name="着色 4 3 2 2 2" xfId="8328"/>
    <cellStyle name="着色 4 3 2 3" xfId="8329"/>
    <cellStyle name="着色 4 3 3" xfId="8330"/>
    <cellStyle name="着色 4 3 3 2" xfId="8331"/>
    <cellStyle name="着色 4 3 4" xfId="8332"/>
    <cellStyle name="着色 4 3 4 2" xfId="8333"/>
    <cellStyle name="着色 4 3 5" xfId="8334"/>
    <cellStyle name="着色 4 4" xfId="8335"/>
    <cellStyle name="着色 4 4 2" xfId="8336"/>
    <cellStyle name="着色 4 4 2 2" xfId="8337"/>
    <cellStyle name="着色 4 4 2 2 2" xfId="8338"/>
    <cellStyle name="着色 4 4 2 3" xfId="8339"/>
    <cellStyle name="着色 4 4 3" xfId="8340"/>
    <cellStyle name="着色 4 4 3 2" xfId="8341"/>
    <cellStyle name="着色 4 4 4" xfId="8342"/>
    <cellStyle name="着色 4 4 4 2" xfId="8343"/>
    <cellStyle name="着色 4 4 5" xfId="8344"/>
    <cellStyle name="着色 4 5" xfId="8345"/>
    <cellStyle name="着色 4 5 2" xfId="8346"/>
    <cellStyle name="着色 4 5 2 2" xfId="8347"/>
    <cellStyle name="着色 4 5 3" xfId="8348"/>
    <cellStyle name="着色 4 6" xfId="8349"/>
    <cellStyle name="着色 4 6 2" xfId="8350"/>
    <cellStyle name="着色 4 7" xfId="8351"/>
    <cellStyle name="着色 4 7 2" xfId="8352"/>
    <cellStyle name="着色 4 8" xfId="8353"/>
    <cellStyle name="着色 4 8 2" xfId="8354"/>
    <cellStyle name="着色 4 9" xfId="8355"/>
    <cellStyle name="着色 5" xfId="8356"/>
    <cellStyle name="着色 5 2" xfId="8357"/>
    <cellStyle name="着色 5 2 2" xfId="8358"/>
    <cellStyle name="着色 5 2 2 2" xfId="8359"/>
    <cellStyle name="着色 5 2 2 2 2" xfId="8360"/>
    <cellStyle name="着色 5 2 2 2 2 2" xfId="8361"/>
    <cellStyle name="着色 5 2 2 2 3" xfId="8362"/>
    <cellStyle name="着色 5 2 2 2 4" xfId="8363"/>
    <cellStyle name="着色 5 2 2 3" xfId="8364"/>
    <cellStyle name="着色 5 2 2 3 2" xfId="8365"/>
    <cellStyle name="着色 5 2 2 4" xfId="8366"/>
    <cellStyle name="着色 5 2 2 4 2" xfId="8367"/>
    <cellStyle name="着色 5 2 2 5" xfId="8368"/>
    <cellStyle name="着色 5 2 2 6" xfId="8369"/>
    <cellStyle name="着色 5 2 3" xfId="8370"/>
    <cellStyle name="着色 5 2 3 2" xfId="8371"/>
    <cellStyle name="着色 5 2 3 2 2" xfId="8372"/>
    <cellStyle name="着色 5 2 3 3" xfId="8373"/>
    <cellStyle name="着色 5 2 3 4" xfId="8374"/>
    <cellStyle name="着色 5 2 4" xfId="8375"/>
    <cellStyle name="着色 5 2 4 2" xfId="8376"/>
    <cellStyle name="着色 5 2 5" xfId="8377"/>
    <cellStyle name="着色 5 2 5 2" xfId="8378"/>
    <cellStyle name="着色 5 2 6" xfId="8379"/>
    <cellStyle name="着色 5 2 7" xfId="8380"/>
    <cellStyle name="着色 5 3" xfId="8381"/>
    <cellStyle name="着色 5 3 2" xfId="8382"/>
    <cellStyle name="着色 5 3 2 2" xfId="8383"/>
    <cellStyle name="着色 5 3 2 2 2" xfId="8384"/>
    <cellStyle name="着色 5 3 2 3" xfId="8385"/>
    <cellStyle name="着色 5 3 2 4" xfId="8386"/>
    <cellStyle name="着色 5 3 3" xfId="8387"/>
    <cellStyle name="着色 5 3 3 2" xfId="8388"/>
    <cellStyle name="着色 5 3 4" xfId="8389"/>
    <cellStyle name="着色 5 3 4 2" xfId="8390"/>
    <cellStyle name="着色 5 3 5" xfId="8391"/>
    <cellStyle name="着色 5 3 6" xfId="8392"/>
    <cellStyle name="着色 5 4" xfId="8393"/>
    <cellStyle name="着色 5 4 2" xfId="8394"/>
    <cellStyle name="着色 5 4 2 2" xfId="8395"/>
    <cellStyle name="着色 5 4 2 2 2" xfId="8396"/>
    <cellStyle name="着色 5 4 2 3" xfId="8397"/>
    <cellStyle name="着色 5 4 2 4" xfId="8398"/>
    <cellStyle name="着色 5 4 3" xfId="8399"/>
    <cellStyle name="着色 5 4 3 2" xfId="8400"/>
    <cellStyle name="着色 5 4 4" xfId="8401"/>
    <cellStyle name="着色 5 4 4 2" xfId="8402"/>
    <cellStyle name="着色 5 4 5" xfId="8403"/>
    <cellStyle name="着色 5 4 6" xfId="8404"/>
    <cellStyle name="着色 5 5" xfId="8405"/>
    <cellStyle name="着色 5 5 2" xfId="8406"/>
    <cellStyle name="着色 5 5 2 2" xfId="8407"/>
    <cellStyle name="着色 5 5 3" xfId="8408"/>
    <cellStyle name="着色 5 5 4" xfId="8409"/>
    <cellStyle name="着色 5 6" xfId="8410"/>
    <cellStyle name="着色 5 6 2" xfId="8411"/>
    <cellStyle name="着色 5 7" xfId="8412"/>
    <cellStyle name="着色 5 7 2" xfId="8413"/>
    <cellStyle name="着色 5 8" xfId="8414"/>
    <cellStyle name="着色 5 8 2" xfId="8415"/>
    <cellStyle name="着色 5 9" xfId="8416"/>
    <cellStyle name="着色 6" xfId="8417"/>
    <cellStyle name="着色 6 10" xfId="8418"/>
    <cellStyle name="着色 6 2" xfId="8419"/>
    <cellStyle name="着色 6 2 2" xfId="8420"/>
    <cellStyle name="着色 6 2 2 2" xfId="8421"/>
    <cellStyle name="着色 6 2 2 2 2" xfId="8422"/>
    <cellStyle name="着色 6 2 2 2 2 2" xfId="8423"/>
    <cellStyle name="着色 6 2 2 2 3" xfId="8424"/>
    <cellStyle name="着色 6 2 2 2 4" xfId="8425"/>
    <cellStyle name="着色 6 2 2 3" xfId="8426"/>
    <cellStyle name="着色 6 2 2 3 2" xfId="8427"/>
    <cellStyle name="着色 6 2 2 4" xfId="8428"/>
    <cellStyle name="着色 6 2 2 4 2" xfId="8429"/>
    <cellStyle name="着色 6 2 2 5" xfId="8430"/>
    <cellStyle name="着色 6 2 2 6" xfId="8431"/>
    <cellStyle name="着色 6 2 3" xfId="8432"/>
    <cellStyle name="着色 6 2 3 2" xfId="8433"/>
    <cellStyle name="着色 6 2 3 2 2" xfId="8434"/>
    <cellStyle name="着色 6 2 3 3" xfId="8435"/>
    <cellStyle name="着色 6 2 3 4" xfId="8436"/>
    <cellStyle name="着色 6 2 4" xfId="8437"/>
    <cellStyle name="着色 6 2 4 2" xfId="8438"/>
    <cellStyle name="着色 6 2 5" xfId="8439"/>
    <cellStyle name="着色 6 2 5 2" xfId="8440"/>
    <cellStyle name="着色 6 2 6" xfId="8441"/>
    <cellStyle name="着色 6 2 7" xfId="8442"/>
    <cellStyle name="着色 6 3" xfId="8443"/>
    <cellStyle name="着色 6 3 2" xfId="8444"/>
    <cellStyle name="着色 6 3 2 2" xfId="8445"/>
    <cellStyle name="着色 6 3 2 2 2" xfId="8446"/>
    <cellStyle name="着色 6 3 2 3" xfId="8447"/>
    <cellStyle name="着色 6 3 2 4" xfId="8448"/>
    <cellStyle name="着色 6 3 3" xfId="8449"/>
    <cellStyle name="着色 6 3 3 2" xfId="8450"/>
    <cellStyle name="着色 6 3 4" xfId="8451"/>
    <cellStyle name="着色 6 3 4 2" xfId="8452"/>
    <cellStyle name="着色 6 3 5" xfId="8453"/>
    <cellStyle name="着色 6 3 6" xfId="8454"/>
    <cellStyle name="着色 6 4" xfId="8455"/>
    <cellStyle name="着色 6 4 2" xfId="8456"/>
    <cellStyle name="着色 6 4 2 2" xfId="8457"/>
    <cellStyle name="着色 6 4 2 2 2" xfId="8458"/>
    <cellStyle name="着色 6 4 2 3" xfId="8459"/>
    <cellStyle name="着色 6 4 2 4" xfId="8460"/>
    <cellStyle name="着色 6 4 3" xfId="8461"/>
    <cellStyle name="着色 6 4 3 2" xfId="8462"/>
    <cellStyle name="着色 6 4 4" xfId="8463"/>
    <cellStyle name="着色 6 4 4 2" xfId="8464"/>
    <cellStyle name="着色 6 4 5" xfId="8465"/>
    <cellStyle name="着色 6 4 6" xfId="8466"/>
    <cellStyle name="着色 6 5" xfId="8467"/>
    <cellStyle name="着色 6 5 2" xfId="8468"/>
    <cellStyle name="着色 6 5 2 2" xfId="8469"/>
    <cellStyle name="着色 6 5 3" xfId="8470"/>
    <cellStyle name="着色 6 5 4" xfId="8471"/>
    <cellStyle name="着色 6 6" xfId="8472"/>
    <cellStyle name="着色 6 6 2" xfId="8473"/>
    <cellStyle name="着色 6 7" xfId="8474"/>
    <cellStyle name="着色 6 7 2" xfId="8475"/>
    <cellStyle name="着色 6 8" xfId="8476"/>
    <cellStyle name="着色 6 8 2" xfId="8477"/>
    <cellStyle name="着色 6 9" xfId="8478"/>
    <cellStyle name="注释 2" xfId="8479"/>
    <cellStyle name="注释 2 10" xfId="8861"/>
    <cellStyle name="注释 2 10 2" xfId="9286"/>
    <cellStyle name="注释 2 11" xfId="8939"/>
    <cellStyle name="注释 2 12" xfId="8953"/>
    <cellStyle name="注释 2 13" xfId="8995"/>
    <cellStyle name="注释 2 2" xfId="8480"/>
    <cellStyle name="注释 2 2 2" xfId="8481"/>
    <cellStyle name="注释 2 2 2 2" xfId="8482"/>
    <cellStyle name="注释 2 2 2 2 2" xfId="8483"/>
    <cellStyle name="注释 2 2 2 3" xfId="8484"/>
    <cellStyle name="注释 2 2 2 4" xfId="8485"/>
    <cellStyle name="注释 2 2 3" xfId="8486"/>
    <cellStyle name="注释 2 2 3 2" xfId="8487"/>
    <cellStyle name="注释 2 2 4" xfId="8488"/>
    <cellStyle name="注释 2 2 4 2" xfId="8489"/>
    <cellStyle name="注释 2 2 5" xfId="8490"/>
    <cellStyle name="注释 2 2 6" xfId="8491"/>
    <cellStyle name="注释 2 2 7" xfId="8862"/>
    <cellStyle name="注释 2 2 7 2" xfId="9287"/>
    <cellStyle name="注释 2 2 8" xfId="8947"/>
    <cellStyle name="注释 2 2 9" xfId="8958"/>
    <cellStyle name="注释 2 3" xfId="8492"/>
    <cellStyle name="注释 2 3 2" xfId="8493"/>
    <cellStyle name="注释 2 3 2 2" xfId="8494"/>
    <cellStyle name="注释 2 3 3" xfId="8495"/>
    <cellStyle name="注释 2 3 4" xfId="8496"/>
    <cellStyle name="注释 2 4" xfId="8497"/>
    <cellStyle name="注释 2 4 2" xfId="8498"/>
    <cellStyle name="注释 2 5" xfId="8499"/>
    <cellStyle name="注释 2 5 2" xfId="8500"/>
    <cellStyle name="注释 2 6" xfId="8501"/>
    <cellStyle name="注释 2 7" xfId="8502"/>
    <cellStyle name="注释 2 8" xfId="8621"/>
    <cellStyle name="注释 2 9" xfId="8626"/>
    <cellStyle name="注释 3" xfId="8503"/>
    <cellStyle name="注释 3 2" xfId="8504"/>
    <cellStyle name="注释 3 2 2" xfId="8505"/>
    <cellStyle name="注释 3 2 2 2" xfId="8506"/>
    <cellStyle name="注释 3 2 2 2 2" xfId="8507"/>
    <cellStyle name="注释 3 2 2 3" xfId="8508"/>
    <cellStyle name="注释 3 2 2 4" xfId="8509"/>
    <cellStyle name="注释 3 2 3" xfId="8510"/>
    <cellStyle name="注释 3 2 3 2" xfId="8511"/>
    <cellStyle name="注释 3 2 4" xfId="8512"/>
    <cellStyle name="注释 3 2 4 2" xfId="8513"/>
    <cellStyle name="注释 3 2 5" xfId="8514"/>
    <cellStyle name="注释 3 2 6" xfId="8515"/>
    <cellStyle name="注释 3 2 7" xfId="8864"/>
    <cellStyle name="注释 3 2 7 2" xfId="9289"/>
    <cellStyle name="注释 3 3" xfId="8516"/>
    <cellStyle name="注释 3 3 2" xfId="8517"/>
    <cellStyle name="注释 3 3 2 2" xfId="8518"/>
    <cellStyle name="注释 3 3 3" xfId="8519"/>
    <cellStyle name="注释 3 3 4" xfId="8520"/>
    <cellStyle name="注释 3 4" xfId="8521"/>
    <cellStyle name="注释 3 4 2" xfId="8522"/>
    <cellStyle name="注释 3 5" xfId="8523"/>
    <cellStyle name="注释 3 5 2" xfId="8524"/>
    <cellStyle name="注释 3 6" xfId="8525"/>
    <cellStyle name="注释 3 7" xfId="8526"/>
    <cellStyle name="注释 3 8" xfId="8863"/>
    <cellStyle name="注释 3 8 2" xfId="9288"/>
    <cellStyle name="注释 4" xfId="8527"/>
    <cellStyle name="注释 4 2" xfId="8528"/>
    <cellStyle name="注释 4 2 2" xfId="8529"/>
    <cellStyle name="注释 4 2 2 2" xfId="8530"/>
    <cellStyle name="注释 4 2 2 2 2" xfId="8531"/>
    <cellStyle name="注释 4 2 2 3" xfId="8532"/>
    <cellStyle name="注释 4 2 2 4" xfId="8533"/>
    <cellStyle name="注释 4 2 3" xfId="8534"/>
    <cellStyle name="注释 4 2 3 2" xfId="8535"/>
    <cellStyle name="注释 4 2 4" xfId="8536"/>
    <cellStyle name="注释 4 2 4 2" xfId="8537"/>
    <cellStyle name="注释 4 2 5" xfId="8538"/>
    <cellStyle name="注释 4 2 6" xfId="8539"/>
    <cellStyle name="注释 4 2 7" xfId="8866"/>
    <cellStyle name="注释 4 2 7 2" xfId="9291"/>
    <cellStyle name="注释 4 3" xfId="8540"/>
    <cellStyle name="注释 4 3 2" xfId="8541"/>
    <cellStyle name="注释 4 3 2 2" xfId="8542"/>
    <cellStyle name="注释 4 3 3" xfId="8543"/>
    <cellStyle name="注释 4 3 4" xfId="8544"/>
    <cellStyle name="注释 4 4" xfId="8545"/>
    <cellStyle name="注释 4 4 2" xfId="8546"/>
    <cellStyle name="注释 4 5" xfId="8547"/>
    <cellStyle name="注释 4 5 2" xfId="8548"/>
    <cellStyle name="注释 4 6" xfId="8549"/>
    <cellStyle name="注释 4 7" xfId="8550"/>
    <cellStyle name="注释 4 8" xfId="8865"/>
    <cellStyle name="注释 4 8 2" xfId="9290"/>
    <cellStyle name="注释 5" xfId="8551"/>
    <cellStyle name="注释 5 2" xfId="8552"/>
    <cellStyle name="注释 5 2 2" xfId="8553"/>
    <cellStyle name="注释 5 2 2 2" xfId="8554"/>
    <cellStyle name="注释 5 2 3" xfId="8555"/>
    <cellStyle name="注释 5 2 4" xfId="8556"/>
    <cellStyle name="注释 5 3" xfId="8557"/>
    <cellStyle name="注释 5 3 2" xfId="8558"/>
    <cellStyle name="注释 5 4" xfId="8559"/>
    <cellStyle name="注释 5 4 2" xfId="8560"/>
    <cellStyle name="注释 5 5" xfId="8561"/>
    <cellStyle name="注释 5 6" xfId="8562"/>
    <cellStyle name="注释 6" xfId="8563"/>
    <cellStyle name="注释 6 2" xfId="8564"/>
    <cellStyle name="注释 6 2 2" xfId="8565"/>
    <cellStyle name="注释 6 2 2 2" xfId="8566"/>
    <cellStyle name="注释 6 2 3" xfId="8567"/>
    <cellStyle name="注释 6 2 4" xfId="8568"/>
    <cellStyle name="注释 6 3" xfId="8569"/>
    <cellStyle name="注释 6 3 2" xfId="8570"/>
    <cellStyle name="注释 6 4" xfId="8571"/>
    <cellStyle name="注释 6 4 2" xfId="8572"/>
    <cellStyle name="注释 6 5" xfId="8573"/>
    <cellStyle name="注释 6 6" xfId="8574"/>
    <cellStyle name="注释 7" xfId="8575"/>
    <cellStyle name="注释 7 2" xfId="8576"/>
    <cellStyle name="注释 7 2 2" xfId="8577"/>
    <cellStyle name="注释 7 2 2 2" xfId="8578"/>
    <cellStyle name="注释 7 2 3" xfId="8579"/>
    <cellStyle name="注释 7 2 4" xfId="8580"/>
    <cellStyle name="注释 7 3" xfId="8581"/>
    <cellStyle name="注释 7 3 2" xfId="8582"/>
    <cellStyle name="注释 7 4" xfId="8583"/>
    <cellStyle name="注释 7 4 2" xfId="8584"/>
    <cellStyle name="注释 7 5" xfId="8585"/>
    <cellStyle name="注释 7 6" xfId="85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1/21&#24180;&#23398;&#26657;&#39044;&#31639;&#21021;&#31295;/&#23398;&#26657;&#39044;&#31639;&#20462;&#25913;&#31295;1/2021&#24180;&#39044;&#31639;&#26126;&#32454;&#34920;&#65288;&#26032;&#65289;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25910;&#22238;%20(1)/2021/&#22522;&#26412;&#25903;&#20986;&#26356;&#26032;/&#39067;&#26725;2021&#24180;&#39044;&#31639;&#20108;&#19978;12.1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支出（机关及参公单位）"/>
      <sheetName val="基本支出（事业）"/>
      <sheetName val="基本支出（学校）"/>
      <sheetName val="汇总表"/>
    </sheetNames>
    <sheetDataSet>
      <sheetData sheetId="0" refreshError="1"/>
      <sheetData sheetId="1" refreshError="1"/>
      <sheetData sheetId="2" refreshError="1">
        <row r="6">
          <cell r="E6">
            <v>1415976.5</v>
          </cell>
        </row>
        <row r="7">
          <cell r="E7">
            <v>641134.1</v>
          </cell>
        </row>
        <row r="9">
          <cell r="E9">
            <v>22891.699999999997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绩效测算"/>
      <sheetName val="民办小区生补贴"/>
      <sheetName val="民办小区生补贴（街道）"/>
      <sheetName val="民办学校生均经费"/>
      <sheetName val="民办学校生均经费（街道）"/>
      <sheetName val="民办高中学费"/>
      <sheetName val="民办高中学费（街道）"/>
      <sheetName val="2021年生均公用经费定额"/>
      <sheetName val="2021年其他定额标准"/>
      <sheetName val="2021年基本支出预算表"/>
      <sheetName val="公用定额"/>
      <sheetName val="公务车"/>
      <sheetName val="2021中小学生均定额"/>
      <sheetName val="2021幼儿园生均定额"/>
      <sheetName val="工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E5">
            <v>591972</v>
          </cell>
          <cell r="F5">
            <v>150000</v>
          </cell>
          <cell r="G5">
            <v>212796</v>
          </cell>
          <cell r="H5">
            <v>232508.5</v>
          </cell>
          <cell r="I5">
            <v>1166580.5</v>
          </cell>
          <cell r="J5">
            <v>208430</v>
          </cell>
          <cell r="K5">
            <v>156327</v>
          </cell>
          <cell r="L5">
            <v>144681</v>
          </cell>
          <cell r="M5">
            <v>120216</v>
          </cell>
          <cell r="N5">
            <v>404356</v>
          </cell>
          <cell r="O5">
            <v>323262.5</v>
          </cell>
          <cell r="P5">
            <v>18100</v>
          </cell>
          <cell r="Q5">
            <v>125045.5</v>
          </cell>
          <cell r="R5">
            <v>216264</v>
          </cell>
        </row>
        <row r="6">
          <cell r="E6">
            <v>50000</v>
          </cell>
          <cell r="F6">
            <v>90000</v>
          </cell>
          <cell r="G6">
            <v>4000</v>
          </cell>
          <cell r="H6">
            <v>100000</v>
          </cell>
          <cell r="I6">
            <v>15000</v>
          </cell>
          <cell r="K6">
            <v>10000</v>
          </cell>
          <cell r="L6">
            <v>10000</v>
          </cell>
          <cell r="N6">
            <v>10000</v>
          </cell>
        </row>
        <row r="7">
          <cell r="L7">
            <v>10000</v>
          </cell>
          <cell r="N7">
            <v>100000</v>
          </cell>
          <cell r="R7">
            <v>20000</v>
          </cell>
        </row>
        <row r="8">
          <cell r="E8">
            <v>180000</v>
          </cell>
          <cell r="F8">
            <v>156000</v>
          </cell>
          <cell r="G8">
            <v>160000</v>
          </cell>
          <cell r="H8">
            <v>150000</v>
          </cell>
          <cell r="I8">
            <v>120000</v>
          </cell>
          <cell r="J8">
            <v>20000</v>
          </cell>
          <cell r="K8">
            <v>50000</v>
          </cell>
          <cell r="L8">
            <v>40000</v>
          </cell>
          <cell r="M8">
            <v>50000</v>
          </cell>
          <cell r="N8">
            <v>50000</v>
          </cell>
          <cell r="O8">
            <v>150000</v>
          </cell>
          <cell r="Q8">
            <v>30000</v>
          </cell>
          <cell r="R8">
            <v>30000</v>
          </cell>
        </row>
        <row r="9">
          <cell r="E9">
            <v>260000</v>
          </cell>
          <cell r="F9">
            <v>140000</v>
          </cell>
          <cell r="G9">
            <v>120000</v>
          </cell>
          <cell r="H9">
            <v>200000</v>
          </cell>
          <cell r="I9">
            <v>450000</v>
          </cell>
          <cell r="J9">
            <v>150000</v>
          </cell>
          <cell r="K9">
            <v>200000</v>
          </cell>
          <cell r="L9">
            <v>90000</v>
          </cell>
          <cell r="M9">
            <v>200000</v>
          </cell>
          <cell r="N9">
            <v>150000</v>
          </cell>
          <cell r="O9">
            <v>300000</v>
          </cell>
          <cell r="Q9">
            <v>50000</v>
          </cell>
          <cell r="R9">
            <v>130000</v>
          </cell>
        </row>
        <row r="10">
          <cell r="E10">
            <v>50000</v>
          </cell>
          <cell r="F10">
            <v>80000</v>
          </cell>
          <cell r="G10">
            <v>3000</v>
          </cell>
          <cell r="H10">
            <v>5000</v>
          </cell>
          <cell r="I10">
            <v>50000</v>
          </cell>
          <cell r="J10">
            <v>6000</v>
          </cell>
          <cell r="K10">
            <v>10000</v>
          </cell>
          <cell r="L10">
            <v>10000</v>
          </cell>
          <cell r="M10">
            <v>10000</v>
          </cell>
          <cell r="N10">
            <v>50000</v>
          </cell>
          <cell r="O10">
            <v>40000</v>
          </cell>
          <cell r="P10">
            <v>5000</v>
          </cell>
          <cell r="Q10">
            <v>10000</v>
          </cell>
          <cell r="R10">
            <v>30000</v>
          </cell>
        </row>
        <row r="11">
          <cell r="E11">
            <v>68000</v>
          </cell>
          <cell r="F11">
            <v>56000</v>
          </cell>
          <cell r="G11">
            <v>20000</v>
          </cell>
          <cell r="H11">
            <v>5000</v>
          </cell>
          <cell r="I11">
            <v>10000</v>
          </cell>
          <cell r="J11">
            <v>20000</v>
          </cell>
          <cell r="K11">
            <v>5000</v>
          </cell>
          <cell r="L11">
            <v>2000</v>
          </cell>
          <cell r="M11">
            <v>10000</v>
          </cell>
          <cell r="N11">
            <v>20000</v>
          </cell>
          <cell r="P11">
            <v>1000</v>
          </cell>
          <cell r="Q11">
            <v>1000</v>
          </cell>
          <cell r="R11">
            <v>5000</v>
          </cell>
        </row>
        <row r="12">
          <cell r="E12">
            <v>500000</v>
          </cell>
          <cell r="F12">
            <v>200000</v>
          </cell>
          <cell r="G12">
            <v>300000</v>
          </cell>
          <cell r="H12">
            <v>300000</v>
          </cell>
          <cell r="I12">
            <v>50000</v>
          </cell>
          <cell r="J12">
            <v>500000</v>
          </cell>
          <cell r="K12">
            <v>577797</v>
          </cell>
          <cell r="L12">
            <v>250000</v>
          </cell>
          <cell r="M12">
            <v>502700</v>
          </cell>
          <cell r="N12">
            <v>300000</v>
          </cell>
          <cell r="O12">
            <v>750000</v>
          </cell>
          <cell r="P12">
            <v>15000</v>
          </cell>
          <cell r="Q12">
            <v>500000</v>
          </cell>
          <cell r="R12">
            <v>250000</v>
          </cell>
        </row>
        <row r="14">
          <cell r="E14">
            <v>185788</v>
          </cell>
          <cell r="F14">
            <v>97493.5</v>
          </cell>
          <cell r="G14">
            <v>119436</v>
          </cell>
          <cell r="H14">
            <v>138017.5</v>
          </cell>
          <cell r="I14">
            <v>441563.5</v>
          </cell>
          <cell r="J14">
            <v>34970</v>
          </cell>
          <cell r="K14">
            <v>110814</v>
          </cell>
          <cell r="L14">
            <v>67855</v>
          </cell>
          <cell r="M14">
            <v>62643</v>
          </cell>
          <cell r="N14">
            <v>72244</v>
          </cell>
          <cell r="O14">
            <v>211719</v>
          </cell>
          <cell r="Q14">
            <v>59854.5</v>
          </cell>
          <cell r="R14">
            <v>60116</v>
          </cell>
        </row>
        <row r="16">
          <cell r="E16">
            <v>850000</v>
          </cell>
          <cell r="F16">
            <v>400376.5</v>
          </cell>
          <cell r="G16">
            <v>619488</v>
          </cell>
          <cell r="H16">
            <v>600000</v>
          </cell>
          <cell r="I16">
            <v>3498126</v>
          </cell>
          <cell r="J16">
            <v>250000</v>
          </cell>
          <cell r="K16">
            <v>742302</v>
          </cell>
          <cell r="L16">
            <v>30000</v>
          </cell>
          <cell r="M16">
            <v>30000</v>
          </cell>
          <cell r="N16">
            <v>120000</v>
          </cell>
          <cell r="O16">
            <v>250000</v>
          </cell>
          <cell r="P16">
            <v>20000</v>
          </cell>
          <cell r="Q16">
            <v>500000</v>
          </cell>
          <cell r="R16">
            <v>150000</v>
          </cell>
        </row>
        <row r="17">
          <cell r="H17">
            <v>20000</v>
          </cell>
          <cell r="J17">
            <v>10000</v>
          </cell>
          <cell r="K17">
            <v>20000</v>
          </cell>
          <cell r="N17">
            <v>20000</v>
          </cell>
          <cell r="P17">
            <v>0</v>
          </cell>
          <cell r="Q17">
            <v>10000</v>
          </cell>
        </row>
        <row r="18">
          <cell r="H18">
            <v>150000</v>
          </cell>
          <cell r="J18">
            <v>50000</v>
          </cell>
          <cell r="K18">
            <v>50000</v>
          </cell>
          <cell r="L18">
            <v>250000</v>
          </cell>
          <cell r="M18">
            <v>50000</v>
          </cell>
          <cell r="N18">
            <v>10000</v>
          </cell>
          <cell r="O18">
            <v>100000</v>
          </cell>
          <cell r="R18">
            <v>20000</v>
          </cell>
        </row>
        <row r="19">
          <cell r="E19">
            <v>200000</v>
          </cell>
          <cell r="F19">
            <v>180000</v>
          </cell>
          <cell r="G19">
            <v>600000</v>
          </cell>
          <cell r="H19">
            <v>759824</v>
          </cell>
          <cell r="I19">
            <v>2420000</v>
          </cell>
          <cell r="K19">
            <v>50000</v>
          </cell>
          <cell r="L19">
            <v>835604</v>
          </cell>
          <cell r="M19">
            <v>121621</v>
          </cell>
          <cell r="N19">
            <v>50000</v>
          </cell>
          <cell r="Q19">
            <v>100000</v>
          </cell>
          <cell r="R19">
            <v>50000</v>
          </cell>
        </row>
        <row r="20">
          <cell r="E20">
            <v>350000</v>
          </cell>
          <cell r="F20">
            <v>150000</v>
          </cell>
          <cell r="G20">
            <v>230000</v>
          </cell>
          <cell r="H20">
            <v>100000</v>
          </cell>
          <cell r="I20">
            <v>110000</v>
          </cell>
          <cell r="J20">
            <v>364600</v>
          </cell>
          <cell r="K20">
            <v>150000</v>
          </cell>
          <cell r="M20">
            <v>500000</v>
          </cell>
          <cell r="N20">
            <v>100000</v>
          </cell>
          <cell r="O20">
            <v>950000</v>
          </cell>
          <cell r="P20">
            <v>12900</v>
          </cell>
          <cell r="Q20">
            <v>312100</v>
          </cell>
          <cell r="R20">
            <v>200000</v>
          </cell>
        </row>
        <row r="21">
          <cell r="E21">
            <v>430000</v>
          </cell>
          <cell r="F21">
            <v>250000</v>
          </cell>
          <cell r="I21">
            <v>500000</v>
          </cell>
          <cell r="K21">
            <v>100000</v>
          </cell>
          <cell r="N21">
            <v>100000</v>
          </cell>
          <cell r="O21">
            <v>1159398.5</v>
          </cell>
          <cell r="P21">
            <v>80000</v>
          </cell>
          <cell r="R21">
            <v>150000</v>
          </cell>
        </row>
      </sheetData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workbookViewId="0">
      <pane xSplit="4" ySplit="2" topLeftCell="M81" activePane="bottomRight" state="frozen"/>
      <selection pane="topRight" activeCell="E1" sqref="E1"/>
      <selection pane="bottomLeft" activeCell="A3" sqref="A3"/>
      <selection pane="bottomRight" activeCell="M111" sqref="M111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5" width="15.625" style="30"/>
    <col min="6" max="6" width="14.375" style="30" customWidth="1"/>
    <col min="7" max="253" width="15.625" style="30"/>
    <col min="254" max="254" width="4.625" style="30" customWidth="1"/>
    <col min="255" max="255" width="29.25" style="30" customWidth="1"/>
    <col min="256" max="256" width="13" style="30" customWidth="1"/>
    <col min="257" max="257" width="20" style="30" customWidth="1"/>
    <col min="258" max="509" width="15.625" style="30"/>
    <col min="510" max="510" width="4.625" style="30" customWidth="1"/>
    <col min="511" max="511" width="29.25" style="30" customWidth="1"/>
    <col min="512" max="512" width="13" style="30" customWidth="1"/>
    <col min="513" max="513" width="20" style="30" customWidth="1"/>
    <col min="514" max="765" width="15.625" style="30"/>
    <col min="766" max="766" width="4.625" style="30" customWidth="1"/>
    <col min="767" max="767" width="29.25" style="30" customWidth="1"/>
    <col min="768" max="768" width="13" style="30" customWidth="1"/>
    <col min="769" max="769" width="20" style="30" customWidth="1"/>
    <col min="770" max="1021" width="15.625" style="30"/>
    <col min="1022" max="1022" width="4.625" style="30" customWidth="1"/>
    <col min="1023" max="1023" width="29.25" style="30" customWidth="1"/>
    <col min="1024" max="1024" width="13" style="30" customWidth="1"/>
    <col min="1025" max="1025" width="20" style="30" customWidth="1"/>
    <col min="1026" max="1277" width="15.625" style="30"/>
    <col min="1278" max="1278" width="4.625" style="30" customWidth="1"/>
    <col min="1279" max="1279" width="29.25" style="30" customWidth="1"/>
    <col min="1280" max="1280" width="13" style="30" customWidth="1"/>
    <col min="1281" max="1281" width="20" style="30" customWidth="1"/>
    <col min="1282" max="1533" width="15.625" style="30"/>
    <col min="1534" max="1534" width="4.625" style="30" customWidth="1"/>
    <col min="1535" max="1535" width="29.25" style="30" customWidth="1"/>
    <col min="1536" max="1536" width="13" style="30" customWidth="1"/>
    <col min="1537" max="1537" width="20" style="30" customWidth="1"/>
    <col min="1538" max="1789" width="15.625" style="30"/>
    <col min="1790" max="1790" width="4.625" style="30" customWidth="1"/>
    <col min="1791" max="1791" width="29.25" style="30" customWidth="1"/>
    <col min="1792" max="1792" width="13" style="30" customWidth="1"/>
    <col min="1793" max="1793" width="20" style="30" customWidth="1"/>
    <col min="1794" max="2045" width="15.625" style="30"/>
    <col min="2046" max="2046" width="4.625" style="30" customWidth="1"/>
    <col min="2047" max="2047" width="29.25" style="30" customWidth="1"/>
    <col min="2048" max="2048" width="13" style="30" customWidth="1"/>
    <col min="2049" max="2049" width="20" style="30" customWidth="1"/>
    <col min="2050" max="2301" width="15.625" style="30"/>
    <col min="2302" max="2302" width="4.625" style="30" customWidth="1"/>
    <col min="2303" max="2303" width="29.25" style="30" customWidth="1"/>
    <col min="2304" max="2304" width="13" style="30" customWidth="1"/>
    <col min="2305" max="2305" width="20" style="30" customWidth="1"/>
    <col min="2306" max="2557" width="15.625" style="30"/>
    <col min="2558" max="2558" width="4.625" style="30" customWidth="1"/>
    <col min="2559" max="2559" width="29.25" style="30" customWidth="1"/>
    <col min="2560" max="2560" width="13" style="30" customWidth="1"/>
    <col min="2561" max="2561" width="20" style="30" customWidth="1"/>
    <col min="2562" max="2813" width="15.625" style="30"/>
    <col min="2814" max="2814" width="4.625" style="30" customWidth="1"/>
    <col min="2815" max="2815" width="29.25" style="30" customWidth="1"/>
    <col min="2816" max="2816" width="13" style="30" customWidth="1"/>
    <col min="2817" max="2817" width="20" style="30" customWidth="1"/>
    <col min="2818" max="3069" width="15.625" style="30"/>
    <col min="3070" max="3070" width="4.625" style="30" customWidth="1"/>
    <col min="3071" max="3071" width="29.25" style="30" customWidth="1"/>
    <col min="3072" max="3072" width="13" style="30" customWidth="1"/>
    <col min="3073" max="3073" width="20" style="30" customWidth="1"/>
    <col min="3074" max="3325" width="15.625" style="30"/>
    <col min="3326" max="3326" width="4.625" style="30" customWidth="1"/>
    <col min="3327" max="3327" width="29.25" style="30" customWidth="1"/>
    <col min="3328" max="3328" width="13" style="30" customWidth="1"/>
    <col min="3329" max="3329" width="20" style="30" customWidth="1"/>
    <col min="3330" max="3581" width="15.625" style="30"/>
    <col min="3582" max="3582" width="4.625" style="30" customWidth="1"/>
    <col min="3583" max="3583" width="29.25" style="30" customWidth="1"/>
    <col min="3584" max="3584" width="13" style="30" customWidth="1"/>
    <col min="3585" max="3585" width="20" style="30" customWidth="1"/>
    <col min="3586" max="3837" width="15.625" style="30"/>
    <col min="3838" max="3838" width="4.625" style="30" customWidth="1"/>
    <col min="3839" max="3839" width="29.25" style="30" customWidth="1"/>
    <col min="3840" max="3840" width="13" style="30" customWidth="1"/>
    <col min="3841" max="3841" width="20" style="30" customWidth="1"/>
    <col min="3842" max="4093" width="15.625" style="30"/>
    <col min="4094" max="4094" width="4.625" style="30" customWidth="1"/>
    <col min="4095" max="4095" width="29.25" style="30" customWidth="1"/>
    <col min="4096" max="4096" width="13" style="30" customWidth="1"/>
    <col min="4097" max="4097" width="20" style="30" customWidth="1"/>
    <col min="4098" max="4349" width="15.625" style="30"/>
    <col min="4350" max="4350" width="4.625" style="30" customWidth="1"/>
    <col min="4351" max="4351" width="29.25" style="30" customWidth="1"/>
    <col min="4352" max="4352" width="13" style="30" customWidth="1"/>
    <col min="4353" max="4353" width="20" style="30" customWidth="1"/>
    <col min="4354" max="4605" width="15.625" style="30"/>
    <col min="4606" max="4606" width="4.625" style="30" customWidth="1"/>
    <col min="4607" max="4607" width="29.25" style="30" customWidth="1"/>
    <col min="4608" max="4608" width="13" style="30" customWidth="1"/>
    <col min="4609" max="4609" width="20" style="30" customWidth="1"/>
    <col min="4610" max="4861" width="15.625" style="30"/>
    <col min="4862" max="4862" width="4.625" style="30" customWidth="1"/>
    <col min="4863" max="4863" width="29.25" style="30" customWidth="1"/>
    <col min="4864" max="4864" width="13" style="30" customWidth="1"/>
    <col min="4865" max="4865" width="20" style="30" customWidth="1"/>
    <col min="4866" max="5117" width="15.625" style="30"/>
    <col min="5118" max="5118" width="4.625" style="30" customWidth="1"/>
    <col min="5119" max="5119" width="29.25" style="30" customWidth="1"/>
    <col min="5120" max="5120" width="13" style="30" customWidth="1"/>
    <col min="5121" max="5121" width="20" style="30" customWidth="1"/>
    <col min="5122" max="5373" width="15.625" style="30"/>
    <col min="5374" max="5374" width="4.625" style="30" customWidth="1"/>
    <col min="5375" max="5375" width="29.25" style="30" customWidth="1"/>
    <col min="5376" max="5376" width="13" style="30" customWidth="1"/>
    <col min="5377" max="5377" width="20" style="30" customWidth="1"/>
    <col min="5378" max="5629" width="15.625" style="30"/>
    <col min="5630" max="5630" width="4.625" style="30" customWidth="1"/>
    <col min="5631" max="5631" width="29.25" style="30" customWidth="1"/>
    <col min="5632" max="5632" width="13" style="30" customWidth="1"/>
    <col min="5633" max="5633" width="20" style="30" customWidth="1"/>
    <col min="5634" max="5885" width="15.625" style="30"/>
    <col min="5886" max="5886" width="4.625" style="30" customWidth="1"/>
    <col min="5887" max="5887" width="29.25" style="30" customWidth="1"/>
    <col min="5888" max="5888" width="13" style="30" customWidth="1"/>
    <col min="5889" max="5889" width="20" style="30" customWidth="1"/>
    <col min="5890" max="6141" width="15.625" style="30"/>
    <col min="6142" max="6142" width="4.625" style="30" customWidth="1"/>
    <col min="6143" max="6143" width="29.25" style="30" customWidth="1"/>
    <col min="6144" max="6144" width="13" style="30" customWidth="1"/>
    <col min="6145" max="6145" width="20" style="30" customWidth="1"/>
    <col min="6146" max="6397" width="15.625" style="30"/>
    <col min="6398" max="6398" width="4.625" style="30" customWidth="1"/>
    <col min="6399" max="6399" width="29.25" style="30" customWidth="1"/>
    <col min="6400" max="6400" width="13" style="30" customWidth="1"/>
    <col min="6401" max="6401" width="20" style="30" customWidth="1"/>
    <col min="6402" max="6653" width="15.625" style="30"/>
    <col min="6654" max="6654" width="4.625" style="30" customWidth="1"/>
    <col min="6655" max="6655" width="29.25" style="30" customWidth="1"/>
    <col min="6656" max="6656" width="13" style="30" customWidth="1"/>
    <col min="6657" max="6657" width="20" style="30" customWidth="1"/>
    <col min="6658" max="6909" width="15.625" style="30"/>
    <col min="6910" max="6910" width="4.625" style="30" customWidth="1"/>
    <col min="6911" max="6911" width="29.25" style="30" customWidth="1"/>
    <col min="6912" max="6912" width="13" style="30" customWidth="1"/>
    <col min="6913" max="6913" width="20" style="30" customWidth="1"/>
    <col min="6914" max="7165" width="15.625" style="30"/>
    <col min="7166" max="7166" width="4.625" style="30" customWidth="1"/>
    <col min="7167" max="7167" width="29.25" style="30" customWidth="1"/>
    <col min="7168" max="7168" width="13" style="30" customWidth="1"/>
    <col min="7169" max="7169" width="20" style="30" customWidth="1"/>
    <col min="7170" max="7421" width="15.625" style="30"/>
    <col min="7422" max="7422" width="4.625" style="30" customWidth="1"/>
    <col min="7423" max="7423" width="29.25" style="30" customWidth="1"/>
    <col min="7424" max="7424" width="13" style="30" customWidth="1"/>
    <col min="7425" max="7425" width="20" style="30" customWidth="1"/>
    <col min="7426" max="7677" width="15.625" style="30"/>
    <col min="7678" max="7678" width="4.625" style="30" customWidth="1"/>
    <col min="7679" max="7679" width="29.25" style="30" customWidth="1"/>
    <col min="7680" max="7680" width="13" style="30" customWidth="1"/>
    <col min="7681" max="7681" width="20" style="30" customWidth="1"/>
    <col min="7682" max="7933" width="15.625" style="30"/>
    <col min="7934" max="7934" width="4.625" style="30" customWidth="1"/>
    <col min="7935" max="7935" width="29.25" style="30" customWidth="1"/>
    <col min="7936" max="7936" width="13" style="30" customWidth="1"/>
    <col min="7937" max="7937" width="20" style="30" customWidth="1"/>
    <col min="7938" max="8189" width="15.625" style="30"/>
    <col min="8190" max="8190" width="4.625" style="30" customWidth="1"/>
    <col min="8191" max="8191" width="29.25" style="30" customWidth="1"/>
    <col min="8192" max="8192" width="13" style="30" customWidth="1"/>
    <col min="8193" max="8193" width="20" style="30" customWidth="1"/>
    <col min="8194" max="8445" width="15.625" style="30"/>
    <col min="8446" max="8446" width="4.625" style="30" customWidth="1"/>
    <col min="8447" max="8447" width="29.25" style="30" customWidth="1"/>
    <col min="8448" max="8448" width="13" style="30" customWidth="1"/>
    <col min="8449" max="8449" width="20" style="30" customWidth="1"/>
    <col min="8450" max="8701" width="15.625" style="30"/>
    <col min="8702" max="8702" width="4.625" style="30" customWidth="1"/>
    <col min="8703" max="8703" width="29.25" style="30" customWidth="1"/>
    <col min="8704" max="8704" width="13" style="30" customWidth="1"/>
    <col min="8705" max="8705" width="20" style="30" customWidth="1"/>
    <col min="8706" max="8957" width="15.625" style="30"/>
    <col min="8958" max="8958" width="4.625" style="30" customWidth="1"/>
    <col min="8959" max="8959" width="29.25" style="30" customWidth="1"/>
    <col min="8960" max="8960" width="13" style="30" customWidth="1"/>
    <col min="8961" max="8961" width="20" style="30" customWidth="1"/>
    <col min="8962" max="9213" width="15.625" style="30"/>
    <col min="9214" max="9214" width="4.625" style="30" customWidth="1"/>
    <col min="9215" max="9215" width="29.25" style="30" customWidth="1"/>
    <col min="9216" max="9216" width="13" style="30" customWidth="1"/>
    <col min="9217" max="9217" width="20" style="30" customWidth="1"/>
    <col min="9218" max="9469" width="15.625" style="30"/>
    <col min="9470" max="9470" width="4.625" style="30" customWidth="1"/>
    <col min="9471" max="9471" width="29.25" style="30" customWidth="1"/>
    <col min="9472" max="9472" width="13" style="30" customWidth="1"/>
    <col min="9473" max="9473" width="20" style="30" customWidth="1"/>
    <col min="9474" max="9725" width="15.625" style="30"/>
    <col min="9726" max="9726" width="4.625" style="30" customWidth="1"/>
    <col min="9727" max="9727" width="29.25" style="30" customWidth="1"/>
    <col min="9728" max="9728" width="13" style="30" customWidth="1"/>
    <col min="9729" max="9729" width="20" style="30" customWidth="1"/>
    <col min="9730" max="9981" width="15.625" style="30"/>
    <col min="9982" max="9982" width="4.625" style="30" customWidth="1"/>
    <col min="9983" max="9983" width="29.25" style="30" customWidth="1"/>
    <col min="9984" max="9984" width="13" style="30" customWidth="1"/>
    <col min="9985" max="9985" width="20" style="30" customWidth="1"/>
    <col min="9986" max="10237" width="15.625" style="30"/>
    <col min="10238" max="10238" width="4.625" style="30" customWidth="1"/>
    <col min="10239" max="10239" width="29.25" style="30" customWidth="1"/>
    <col min="10240" max="10240" width="13" style="30" customWidth="1"/>
    <col min="10241" max="10241" width="20" style="30" customWidth="1"/>
    <col min="10242" max="10493" width="15.625" style="30"/>
    <col min="10494" max="10494" width="4.625" style="30" customWidth="1"/>
    <col min="10495" max="10495" width="29.25" style="30" customWidth="1"/>
    <col min="10496" max="10496" width="13" style="30" customWidth="1"/>
    <col min="10497" max="10497" width="20" style="30" customWidth="1"/>
    <col min="10498" max="10749" width="15.625" style="30"/>
    <col min="10750" max="10750" width="4.625" style="30" customWidth="1"/>
    <col min="10751" max="10751" width="29.25" style="30" customWidth="1"/>
    <col min="10752" max="10752" width="13" style="30" customWidth="1"/>
    <col min="10753" max="10753" width="20" style="30" customWidth="1"/>
    <col min="10754" max="11005" width="15.625" style="30"/>
    <col min="11006" max="11006" width="4.625" style="30" customWidth="1"/>
    <col min="11007" max="11007" width="29.25" style="30" customWidth="1"/>
    <col min="11008" max="11008" width="13" style="30" customWidth="1"/>
    <col min="11009" max="11009" width="20" style="30" customWidth="1"/>
    <col min="11010" max="11261" width="15.625" style="30"/>
    <col min="11262" max="11262" width="4.625" style="30" customWidth="1"/>
    <col min="11263" max="11263" width="29.25" style="30" customWidth="1"/>
    <col min="11264" max="11264" width="13" style="30" customWidth="1"/>
    <col min="11265" max="11265" width="20" style="30" customWidth="1"/>
    <col min="11266" max="11517" width="15.625" style="30"/>
    <col min="11518" max="11518" width="4.625" style="30" customWidth="1"/>
    <col min="11519" max="11519" width="29.25" style="30" customWidth="1"/>
    <col min="11520" max="11520" width="13" style="30" customWidth="1"/>
    <col min="11521" max="11521" width="20" style="30" customWidth="1"/>
    <col min="11522" max="11773" width="15.625" style="30"/>
    <col min="11774" max="11774" width="4.625" style="30" customWidth="1"/>
    <col min="11775" max="11775" width="29.25" style="30" customWidth="1"/>
    <col min="11776" max="11776" width="13" style="30" customWidth="1"/>
    <col min="11777" max="11777" width="20" style="30" customWidth="1"/>
    <col min="11778" max="12029" width="15.625" style="30"/>
    <col min="12030" max="12030" width="4.625" style="30" customWidth="1"/>
    <col min="12031" max="12031" width="29.25" style="30" customWidth="1"/>
    <col min="12032" max="12032" width="13" style="30" customWidth="1"/>
    <col min="12033" max="12033" width="20" style="30" customWidth="1"/>
    <col min="12034" max="12285" width="15.625" style="30"/>
    <col min="12286" max="12286" width="4.625" style="30" customWidth="1"/>
    <col min="12287" max="12287" width="29.25" style="30" customWidth="1"/>
    <col min="12288" max="12288" width="13" style="30" customWidth="1"/>
    <col min="12289" max="12289" width="20" style="30" customWidth="1"/>
    <col min="12290" max="12541" width="15.625" style="30"/>
    <col min="12542" max="12542" width="4.625" style="30" customWidth="1"/>
    <col min="12543" max="12543" width="29.25" style="30" customWidth="1"/>
    <col min="12544" max="12544" width="13" style="30" customWidth="1"/>
    <col min="12545" max="12545" width="20" style="30" customWidth="1"/>
    <col min="12546" max="12797" width="15.625" style="30"/>
    <col min="12798" max="12798" width="4.625" style="30" customWidth="1"/>
    <col min="12799" max="12799" width="29.25" style="30" customWidth="1"/>
    <col min="12800" max="12800" width="13" style="30" customWidth="1"/>
    <col min="12801" max="12801" width="20" style="30" customWidth="1"/>
    <col min="12802" max="13053" width="15.625" style="30"/>
    <col min="13054" max="13054" width="4.625" style="30" customWidth="1"/>
    <col min="13055" max="13055" width="29.25" style="30" customWidth="1"/>
    <col min="13056" max="13056" width="13" style="30" customWidth="1"/>
    <col min="13057" max="13057" width="20" style="30" customWidth="1"/>
    <col min="13058" max="13309" width="15.625" style="30"/>
    <col min="13310" max="13310" width="4.625" style="30" customWidth="1"/>
    <col min="13311" max="13311" width="29.25" style="30" customWidth="1"/>
    <col min="13312" max="13312" width="13" style="30" customWidth="1"/>
    <col min="13313" max="13313" width="20" style="30" customWidth="1"/>
    <col min="13314" max="13565" width="15.625" style="30"/>
    <col min="13566" max="13566" width="4.625" style="30" customWidth="1"/>
    <col min="13567" max="13567" width="29.25" style="30" customWidth="1"/>
    <col min="13568" max="13568" width="13" style="30" customWidth="1"/>
    <col min="13569" max="13569" width="20" style="30" customWidth="1"/>
    <col min="13570" max="13821" width="15.625" style="30"/>
    <col min="13822" max="13822" width="4.625" style="30" customWidth="1"/>
    <col min="13823" max="13823" width="29.25" style="30" customWidth="1"/>
    <col min="13824" max="13824" width="13" style="30" customWidth="1"/>
    <col min="13825" max="13825" width="20" style="30" customWidth="1"/>
    <col min="13826" max="14077" width="15.625" style="30"/>
    <col min="14078" max="14078" width="4.625" style="30" customWidth="1"/>
    <col min="14079" max="14079" width="29.25" style="30" customWidth="1"/>
    <col min="14080" max="14080" width="13" style="30" customWidth="1"/>
    <col min="14081" max="14081" width="20" style="30" customWidth="1"/>
    <col min="14082" max="14333" width="15.625" style="30"/>
    <col min="14334" max="14334" width="4.625" style="30" customWidth="1"/>
    <col min="14335" max="14335" width="29.25" style="30" customWidth="1"/>
    <col min="14336" max="14336" width="13" style="30" customWidth="1"/>
    <col min="14337" max="14337" width="20" style="30" customWidth="1"/>
    <col min="14338" max="14589" width="15.625" style="30"/>
    <col min="14590" max="14590" width="4.625" style="30" customWidth="1"/>
    <col min="14591" max="14591" width="29.25" style="30" customWidth="1"/>
    <col min="14592" max="14592" width="13" style="30" customWidth="1"/>
    <col min="14593" max="14593" width="20" style="30" customWidth="1"/>
    <col min="14594" max="14845" width="15.625" style="30"/>
    <col min="14846" max="14846" width="4.625" style="30" customWidth="1"/>
    <col min="14847" max="14847" width="29.25" style="30" customWidth="1"/>
    <col min="14848" max="14848" width="13" style="30" customWidth="1"/>
    <col min="14849" max="14849" width="20" style="30" customWidth="1"/>
    <col min="14850" max="15101" width="15.625" style="30"/>
    <col min="15102" max="15102" width="4.625" style="30" customWidth="1"/>
    <col min="15103" max="15103" width="29.25" style="30" customWidth="1"/>
    <col min="15104" max="15104" width="13" style="30" customWidth="1"/>
    <col min="15105" max="15105" width="20" style="30" customWidth="1"/>
    <col min="15106" max="15357" width="15.625" style="30"/>
    <col min="15358" max="15358" width="4.625" style="30" customWidth="1"/>
    <col min="15359" max="15359" width="29.25" style="30" customWidth="1"/>
    <col min="15360" max="15360" width="13" style="30" customWidth="1"/>
    <col min="15361" max="15361" width="20" style="30" customWidth="1"/>
    <col min="15362" max="15613" width="15.625" style="30"/>
    <col min="15614" max="15614" width="4.625" style="30" customWidth="1"/>
    <col min="15615" max="15615" width="29.25" style="30" customWidth="1"/>
    <col min="15616" max="15616" width="13" style="30" customWidth="1"/>
    <col min="15617" max="15617" width="20" style="30" customWidth="1"/>
    <col min="15618" max="15869" width="15.625" style="30"/>
    <col min="15870" max="15870" width="4.625" style="30" customWidth="1"/>
    <col min="15871" max="15871" width="29.25" style="30" customWidth="1"/>
    <col min="15872" max="15872" width="13" style="30" customWidth="1"/>
    <col min="15873" max="15873" width="20" style="30" customWidth="1"/>
    <col min="15874" max="16125" width="15.625" style="30"/>
    <col min="16126" max="16126" width="4.625" style="30" customWidth="1"/>
    <col min="16127" max="16127" width="29.25" style="30" customWidth="1"/>
    <col min="16128" max="16128" width="13" style="30" customWidth="1"/>
    <col min="16129" max="16129" width="20" style="30" customWidth="1"/>
    <col min="16130" max="16384" width="15.625" style="30"/>
  </cols>
  <sheetData>
    <row r="1" spans="1:16" ht="25.5">
      <c r="A1" s="219" t="s">
        <v>177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</row>
    <row r="2" spans="1:16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472</v>
      </c>
      <c r="F2" s="32" t="s">
        <v>473</v>
      </c>
      <c r="G2" s="32" t="s">
        <v>474</v>
      </c>
      <c r="H2" s="32" t="s">
        <v>475</v>
      </c>
      <c r="I2" s="32" t="s">
        <v>476</v>
      </c>
      <c r="J2" s="32" t="s">
        <v>477</v>
      </c>
      <c r="K2" s="32" t="s">
        <v>478</v>
      </c>
      <c r="L2" s="32" t="s">
        <v>479</v>
      </c>
      <c r="M2" s="32" t="s">
        <v>480</v>
      </c>
      <c r="N2" s="32" t="s">
        <v>25</v>
      </c>
    </row>
    <row r="3" spans="1:16">
      <c r="A3" s="33" t="s">
        <v>181</v>
      </c>
      <c r="B3" s="34" t="s">
        <v>182</v>
      </c>
      <c r="C3" s="34"/>
      <c r="D3" s="35" t="s">
        <v>183</v>
      </c>
      <c r="E3" s="36">
        <v>87807039.550000012</v>
      </c>
      <c r="F3" s="36">
        <v>97101939.520000011</v>
      </c>
      <c r="G3" s="36">
        <v>526907161.50000012</v>
      </c>
      <c r="H3" s="36">
        <v>311568151.06000006</v>
      </c>
      <c r="I3" s="36">
        <v>327916147.66000003</v>
      </c>
      <c r="J3" s="36">
        <v>208779246.89999998</v>
      </c>
      <c r="K3" s="36">
        <v>211856171.53999999</v>
      </c>
      <c r="L3" s="36">
        <v>354260790.8499999</v>
      </c>
      <c r="M3" s="36">
        <v>213557010.40000001</v>
      </c>
      <c r="N3" s="36">
        <f t="shared" ref="N3:N34" si="0">SUM(E3:M3)</f>
        <v>2339753658.98</v>
      </c>
      <c r="O3" s="30">
        <v>2210161781.8300004</v>
      </c>
      <c r="P3" s="143">
        <f>N3-O3</f>
        <v>129591877.14999962</v>
      </c>
    </row>
    <row r="4" spans="1:16">
      <c r="A4" s="33" t="s">
        <v>184</v>
      </c>
      <c r="B4" s="34" t="s">
        <v>128</v>
      </c>
      <c r="C4" s="34"/>
      <c r="D4" s="35" t="s">
        <v>183</v>
      </c>
      <c r="E4" s="36">
        <v>75950655</v>
      </c>
      <c r="F4" s="36">
        <v>82641092.599999994</v>
      </c>
      <c r="G4" s="36">
        <v>451273232.79000002</v>
      </c>
      <c r="H4" s="36">
        <v>262222614.5</v>
      </c>
      <c r="I4" s="36">
        <v>282123671.80000001</v>
      </c>
      <c r="J4" s="36">
        <v>179388313</v>
      </c>
      <c r="K4" s="36">
        <v>182930253.19999999</v>
      </c>
      <c r="L4" s="36">
        <v>303613493</v>
      </c>
      <c r="M4" s="36">
        <v>185993797</v>
      </c>
      <c r="N4" s="36">
        <f t="shared" si="0"/>
        <v>2006137122.8900001</v>
      </c>
      <c r="O4" s="30">
        <v>1887290898.2900002</v>
      </c>
      <c r="P4" s="143">
        <f>N4-O4</f>
        <v>118846224.5999999</v>
      </c>
    </row>
    <row r="5" spans="1:16">
      <c r="A5" s="33" t="s">
        <v>185</v>
      </c>
      <c r="B5" s="34" t="s">
        <v>186</v>
      </c>
      <c r="C5" s="34"/>
      <c r="D5" s="35" t="s">
        <v>183</v>
      </c>
      <c r="E5" s="36">
        <v>11283703</v>
      </c>
      <c r="F5" s="36">
        <v>11189005</v>
      </c>
      <c r="G5" s="36">
        <v>62708930.989999995</v>
      </c>
      <c r="H5" s="36">
        <v>33943042.600000001</v>
      </c>
      <c r="I5" s="36">
        <v>38352264</v>
      </c>
      <c r="J5" s="36">
        <v>23807466</v>
      </c>
      <c r="K5" s="36">
        <v>26096784</v>
      </c>
      <c r="L5" s="36">
        <v>39773364</v>
      </c>
      <c r="M5" s="36">
        <v>26127730</v>
      </c>
      <c r="N5" s="36">
        <f t="shared" si="0"/>
        <v>273282289.59000003</v>
      </c>
      <c r="O5" s="30">
        <v>268326871.13999999</v>
      </c>
      <c r="P5" s="143">
        <f t="shared" ref="P5:P31" si="1">N5-O5</f>
        <v>4955418.4500000477</v>
      </c>
    </row>
    <row r="6" spans="1:16">
      <c r="A6" s="33" t="s">
        <v>187</v>
      </c>
      <c r="B6" s="34" t="s">
        <v>188</v>
      </c>
      <c r="C6" s="34" t="s">
        <v>189</v>
      </c>
      <c r="D6" s="35" t="s">
        <v>190</v>
      </c>
      <c r="E6" s="37">
        <v>6441558</v>
      </c>
      <c r="F6" s="37">
        <v>6604766</v>
      </c>
      <c r="G6" s="37">
        <v>36776066.989999995</v>
      </c>
      <c r="H6" s="37">
        <v>21096384.5</v>
      </c>
      <c r="I6" s="37">
        <v>22984188</v>
      </c>
      <c r="J6" s="37">
        <v>14413950</v>
      </c>
      <c r="K6" s="37">
        <v>14834928</v>
      </c>
      <c r="L6" s="37">
        <v>24516696</v>
      </c>
      <c r="M6" s="37">
        <v>15018860</v>
      </c>
      <c r="N6" s="36">
        <f t="shared" si="0"/>
        <v>162687397.49000001</v>
      </c>
      <c r="O6" s="30">
        <v>157971718.39999998</v>
      </c>
      <c r="P6" s="143">
        <f t="shared" si="1"/>
        <v>4715679.0900000334</v>
      </c>
    </row>
    <row r="7" spans="1:16">
      <c r="A7" s="33" t="s">
        <v>191</v>
      </c>
      <c r="B7" s="34" t="s">
        <v>192</v>
      </c>
      <c r="C7" s="34" t="s">
        <v>189</v>
      </c>
      <c r="D7" s="35" t="s">
        <v>190</v>
      </c>
      <c r="E7" s="37">
        <v>4842145</v>
      </c>
      <c r="F7" s="37">
        <v>4584239</v>
      </c>
      <c r="G7" s="37">
        <v>25932864</v>
      </c>
      <c r="H7" s="37">
        <v>12846658.1</v>
      </c>
      <c r="I7" s="37">
        <v>15368076</v>
      </c>
      <c r="J7" s="37">
        <v>9393516</v>
      </c>
      <c r="K7" s="37">
        <v>11261856</v>
      </c>
      <c r="L7" s="37">
        <v>15256668</v>
      </c>
      <c r="M7" s="37">
        <v>11108870</v>
      </c>
      <c r="N7" s="36">
        <f t="shared" si="0"/>
        <v>110594892.09999999</v>
      </c>
      <c r="O7" s="30">
        <v>110355152.73999999</v>
      </c>
      <c r="P7" s="143">
        <f t="shared" si="1"/>
        <v>239739.3599999994</v>
      </c>
    </row>
    <row r="8" spans="1:16">
      <c r="A8" s="33" t="s">
        <v>193</v>
      </c>
      <c r="B8" s="34" t="s">
        <v>194</v>
      </c>
      <c r="C8" s="34"/>
      <c r="D8" s="35" t="s">
        <v>183</v>
      </c>
      <c r="E8" s="36">
        <v>1339999</v>
      </c>
      <c r="F8" s="36">
        <v>1484639</v>
      </c>
      <c r="G8" s="36">
        <v>8042424</v>
      </c>
      <c r="H8" s="36">
        <v>4793437.7</v>
      </c>
      <c r="I8" s="36">
        <v>5100984</v>
      </c>
      <c r="J8" s="36">
        <v>3244032</v>
      </c>
      <c r="K8" s="36">
        <v>3255924</v>
      </c>
      <c r="L8" s="36">
        <v>5452224</v>
      </c>
      <c r="M8" s="36">
        <v>3287590</v>
      </c>
      <c r="N8" s="36">
        <f t="shared" si="0"/>
        <v>36001253.700000003</v>
      </c>
      <c r="O8" s="30">
        <v>34594486.700000003</v>
      </c>
      <c r="P8" s="143">
        <f t="shared" si="1"/>
        <v>1406767</v>
      </c>
    </row>
    <row r="9" spans="1:16">
      <c r="A9" s="33" t="s">
        <v>195</v>
      </c>
      <c r="B9" s="34" t="s">
        <v>196</v>
      </c>
      <c r="C9" s="34" t="s">
        <v>189</v>
      </c>
      <c r="D9" s="35" t="s">
        <v>190</v>
      </c>
      <c r="E9" s="37">
        <v>28759</v>
      </c>
      <c r="F9" s="37">
        <v>18191</v>
      </c>
      <c r="G9" s="37">
        <v>94704</v>
      </c>
      <c r="H9" s="37">
        <v>78325.7</v>
      </c>
      <c r="I9" s="37">
        <v>59400</v>
      </c>
      <c r="J9" s="37">
        <v>32832</v>
      </c>
      <c r="K9" s="37">
        <v>55428</v>
      </c>
      <c r="L9" s="37">
        <v>57408</v>
      </c>
      <c r="M9" s="37">
        <v>44278</v>
      </c>
      <c r="N9" s="36">
        <f t="shared" si="0"/>
        <v>469325.7</v>
      </c>
      <c r="O9" s="30">
        <v>504193.8</v>
      </c>
      <c r="P9" s="143">
        <f t="shared" si="1"/>
        <v>-34868.099999999977</v>
      </c>
    </row>
    <row r="10" spans="1:16">
      <c r="A10" s="33" t="s">
        <v>197</v>
      </c>
      <c r="B10" s="34" t="s">
        <v>198</v>
      </c>
      <c r="C10" s="34"/>
      <c r="D10" s="35" t="s">
        <v>183</v>
      </c>
      <c r="E10" s="36">
        <v>1311240</v>
      </c>
      <c r="F10" s="36">
        <v>1466448</v>
      </c>
      <c r="G10" s="36">
        <v>7947720</v>
      </c>
      <c r="H10" s="36">
        <v>4715112</v>
      </c>
      <c r="I10" s="36">
        <v>5041584</v>
      </c>
      <c r="J10" s="36">
        <v>3211200</v>
      </c>
      <c r="K10" s="36">
        <v>3200496</v>
      </c>
      <c r="L10" s="36">
        <v>5394816</v>
      </c>
      <c r="M10" s="36">
        <v>3243312</v>
      </c>
      <c r="N10" s="36">
        <f t="shared" si="0"/>
        <v>35531928</v>
      </c>
      <c r="O10" s="30">
        <v>34090292.899999999</v>
      </c>
      <c r="P10" s="143">
        <f t="shared" si="1"/>
        <v>1441635.1000000015</v>
      </c>
    </row>
    <row r="11" spans="1:16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v>17640</v>
      </c>
      <c r="F11" s="36">
        <v>19728</v>
      </c>
      <c r="G11" s="36">
        <v>106920</v>
      </c>
      <c r="H11" s="36">
        <v>63432</v>
      </c>
      <c r="I11" s="36">
        <v>67824</v>
      </c>
      <c r="J11" s="36">
        <v>43200</v>
      </c>
      <c r="K11" s="36">
        <v>43056</v>
      </c>
      <c r="L11" s="36">
        <v>72576</v>
      </c>
      <c r="M11" s="36">
        <v>43632</v>
      </c>
      <c r="N11" s="36">
        <f t="shared" si="0"/>
        <v>478008</v>
      </c>
      <c r="O11" s="40">
        <v>461283.9</v>
      </c>
      <c r="P11" s="143">
        <f t="shared" si="1"/>
        <v>16724.099999999977</v>
      </c>
    </row>
    <row r="12" spans="1:16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v>1293600</v>
      </c>
      <c r="F12" s="36">
        <v>1446720</v>
      </c>
      <c r="G12" s="36">
        <v>7840800</v>
      </c>
      <c r="H12" s="36">
        <v>4651680</v>
      </c>
      <c r="I12" s="36">
        <v>4973760</v>
      </c>
      <c r="J12" s="36">
        <v>3168000</v>
      </c>
      <c r="K12" s="36">
        <v>3157440</v>
      </c>
      <c r="L12" s="36">
        <v>5322240</v>
      </c>
      <c r="M12" s="36">
        <v>3199680</v>
      </c>
      <c r="N12" s="36">
        <f t="shared" si="0"/>
        <v>35053920</v>
      </c>
      <c r="O12" s="40">
        <v>33629009</v>
      </c>
      <c r="P12" s="143">
        <f t="shared" si="1"/>
        <v>1424911</v>
      </c>
    </row>
    <row r="13" spans="1:16">
      <c r="A13" s="33" t="s">
        <v>203</v>
      </c>
      <c r="B13" s="34" t="s">
        <v>204</v>
      </c>
      <c r="C13" s="34"/>
      <c r="D13" s="35" t="s">
        <v>205</v>
      </c>
      <c r="E13" s="36">
        <v>1211810</v>
      </c>
      <c r="F13" s="36">
        <v>1293008.3999999999</v>
      </c>
      <c r="G13" s="36">
        <v>6949081.2000000002</v>
      </c>
      <c r="H13" s="36">
        <v>4061860.8</v>
      </c>
      <c r="I13" s="36">
        <v>4323808.2</v>
      </c>
      <c r="J13" s="36">
        <v>2761525</v>
      </c>
      <c r="K13" s="36">
        <v>2842174.8</v>
      </c>
      <c r="L13" s="36">
        <v>4719546</v>
      </c>
      <c r="M13" s="36">
        <v>2934610</v>
      </c>
      <c r="N13" s="36">
        <f t="shared" si="0"/>
        <v>31097424.399999999</v>
      </c>
      <c r="O13" s="30">
        <v>25434725.850000005</v>
      </c>
      <c r="P13" s="143">
        <f t="shared" si="1"/>
        <v>5662698.5499999933</v>
      </c>
    </row>
    <row r="14" spans="1:16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v>727086</v>
      </c>
      <c r="F14" s="36">
        <v>775805.03999999992</v>
      </c>
      <c r="G14" s="36">
        <v>4169448.7199999997</v>
      </c>
      <c r="H14" s="36">
        <v>2437116.4800000004</v>
      </c>
      <c r="I14" s="36">
        <v>2594284.92</v>
      </c>
      <c r="J14" s="36">
        <v>1656914.9999999998</v>
      </c>
      <c r="K14" s="36">
        <v>1705304.8800000001</v>
      </c>
      <c r="L14" s="36">
        <v>2831727.6000000006</v>
      </c>
      <c r="M14" s="36">
        <v>1760766</v>
      </c>
      <c r="N14" s="36">
        <f t="shared" si="0"/>
        <v>18658454.640000001</v>
      </c>
      <c r="O14" s="40">
        <v>15657546.540000003</v>
      </c>
      <c r="P14" s="143">
        <f t="shared" si="1"/>
        <v>3000908.0999999978</v>
      </c>
    </row>
    <row r="15" spans="1:16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v>242362</v>
      </c>
      <c r="F15" s="36">
        <v>258601.68</v>
      </c>
      <c r="G15" s="36">
        <v>1389816.24</v>
      </c>
      <c r="H15" s="36">
        <v>812372.16</v>
      </c>
      <c r="I15" s="36">
        <v>864761.64</v>
      </c>
      <c r="J15" s="36">
        <v>552305.00000000012</v>
      </c>
      <c r="K15" s="36">
        <v>568434.96</v>
      </c>
      <c r="L15" s="36">
        <v>943909.2</v>
      </c>
      <c r="M15" s="36">
        <v>586922</v>
      </c>
      <c r="N15" s="36">
        <f t="shared" si="0"/>
        <v>6219484.8799999999</v>
      </c>
      <c r="O15" s="40">
        <v>3051912.2800000003</v>
      </c>
      <c r="P15" s="143">
        <f t="shared" si="1"/>
        <v>3167572.5999999996</v>
      </c>
    </row>
    <row r="16" spans="1:16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v>242362</v>
      </c>
      <c r="F16" s="37">
        <v>258601.68</v>
      </c>
      <c r="G16" s="37">
        <v>1389816.24</v>
      </c>
      <c r="H16" s="37">
        <v>812372.16</v>
      </c>
      <c r="I16" s="37">
        <v>864761.64</v>
      </c>
      <c r="J16" s="37">
        <v>552305.00000000012</v>
      </c>
      <c r="K16" s="37">
        <v>568434.96</v>
      </c>
      <c r="L16" s="37">
        <v>943909.2</v>
      </c>
      <c r="M16" s="37">
        <v>586922</v>
      </c>
      <c r="N16" s="36">
        <f t="shared" si="0"/>
        <v>6219484.8799999999</v>
      </c>
      <c r="O16" s="40">
        <v>5763507.3300000001</v>
      </c>
      <c r="P16" s="143">
        <f t="shared" si="1"/>
        <v>455977.54999999981</v>
      </c>
    </row>
    <row r="17" spans="1:16">
      <c r="A17" s="33" t="s">
        <v>213</v>
      </c>
      <c r="B17" s="34" t="s">
        <v>214</v>
      </c>
      <c r="C17" s="34"/>
      <c r="D17" s="35" t="s">
        <v>183</v>
      </c>
      <c r="E17" s="36">
        <v>37950563</v>
      </c>
      <c r="F17" s="36">
        <v>42769889</v>
      </c>
      <c r="G17" s="36">
        <v>234233335</v>
      </c>
      <c r="H17" s="36">
        <v>137853179</v>
      </c>
      <c r="I17" s="36">
        <v>147474868</v>
      </c>
      <c r="J17" s="36">
        <v>94107840</v>
      </c>
      <c r="K17" s="36">
        <v>93835424</v>
      </c>
      <c r="L17" s="36">
        <v>159039731</v>
      </c>
      <c r="M17" s="36">
        <v>95003287</v>
      </c>
      <c r="N17" s="36">
        <f t="shared" si="0"/>
        <v>1042268116</v>
      </c>
      <c r="O17" s="30">
        <v>1011229700.8499999</v>
      </c>
      <c r="P17" s="143">
        <f t="shared" si="1"/>
        <v>31038415.150000095</v>
      </c>
    </row>
    <row r="18" spans="1:16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v>36993215</v>
      </c>
      <c r="F18" s="43">
        <v>41674167</v>
      </c>
      <c r="G18" s="43">
        <v>230590812</v>
      </c>
      <c r="H18" s="43">
        <v>134857905</v>
      </c>
      <c r="I18" s="43">
        <v>144682553</v>
      </c>
      <c r="J18" s="43">
        <v>92385340</v>
      </c>
      <c r="K18" s="43">
        <v>91963644</v>
      </c>
      <c r="L18" s="43">
        <v>155946982</v>
      </c>
      <c r="M18" s="43">
        <v>93215522</v>
      </c>
      <c r="N18" s="36">
        <f t="shared" si="0"/>
        <v>1022310140</v>
      </c>
      <c r="O18" s="30">
        <v>991095329.8499999</v>
      </c>
      <c r="P18" s="143">
        <f t="shared" si="1"/>
        <v>31214810.150000095</v>
      </c>
    </row>
    <row r="19" spans="1:16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957348</v>
      </c>
      <c r="F19" s="44">
        <v>1095722</v>
      </c>
      <c r="G19" s="43">
        <v>3642523</v>
      </c>
      <c r="H19" s="43">
        <v>2995274</v>
      </c>
      <c r="I19" s="43">
        <v>2792315</v>
      </c>
      <c r="J19" s="43">
        <v>1722500</v>
      </c>
      <c r="K19" s="43">
        <v>1871780</v>
      </c>
      <c r="L19" s="43">
        <v>3092749</v>
      </c>
      <c r="M19" s="43">
        <v>1787765</v>
      </c>
      <c r="N19" s="36">
        <f t="shared" si="0"/>
        <v>19957976</v>
      </c>
      <c r="O19" s="30">
        <v>20134371</v>
      </c>
      <c r="P19" s="143">
        <f t="shared" si="1"/>
        <v>-176395</v>
      </c>
    </row>
    <row r="20" spans="1:16">
      <c r="A20" s="33" t="s">
        <v>221</v>
      </c>
      <c r="B20" s="34" t="s">
        <v>222</v>
      </c>
      <c r="C20" s="34"/>
      <c r="D20" s="42" t="s">
        <v>183</v>
      </c>
      <c r="E20" s="45">
        <v>4847240</v>
      </c>
      <c r="F20" s="45">
        <v>5172033.5999999996</v>
      </c>
      <c r="G20" s="45">
        <v>27796324.800000001</v>
      </c>
      <c r="H20" s="45">
        <v>16247443.199999999</v>
      </c>
      <c r="I20" s="45">
        <v>17295232.800000001</v>
      </c>
      <c r="J20" s="45">
        <v>11046100</v>
      </c>
      <c r="K20" s="45">
        <v>11368699.199999999</v>
      </c>
      <c r="L20" s="45">
        <v>18878184</v>
      </c>
      <c r="M20" s="45">
        <v>11738440</v>
      </c>
      <c r="N20" s="36">
        <f t="shared" si="0"/>
        <v>124389697.59999999</v>
      </c>
      <c r="O20" s="30">
        <v>115373571.08000001</v>
      </c>
      <c r="P20" s="143">
        <f t="shared" si="1"/>
        <v>9016126.5199999809</v>
      </c>
    </row>
    <row r="21" spans="1:16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v>4847240</v>
      </c>
      <c r="F21" s="45">
        <v>5172033.5999999996</v>
      </c>
      <c r="G21" s="45">
        <v>27796324.800000001</v>
      </c>
      <c r="H21" s="45">
        <v>16247443.199999999</v>
      </c>
      <c r="I21" s="45">
        <v>17295232.800000001</v>
      </c>
      <c r="J21" s="45">
        <v>11046100</v>
      </c>
      <c r="K21" s="45">
        <v>11368699.199999999</v>
      </c>
      <c r="L21" s="45">
        <v>18878184</v>
      </c>
      <c r="M21" s="45">
        <v>11738440</v>
      </c>
      <c r="N21" s="36">
        <f t="shared" si="0"/>
        <v>124389697.59999999</v>
      </c>
      <c r="O21" s="30">
        <v>115373571.08000001</v>
      </c>
      <c r="P21" s="143">
        <f t="shared" si="1"/>
        <v>9016126.5199999809</v>
      </c>
    </row>
    <row r="22" spans="1:16">
      <c r="A22" s="33" t="s">
        <v>226</v>
      </c>
      <c r="B22" s="34" t="s">
        <v>227</v>
      </c>
      <c r="C22" s="34"/>
      <c r="D22" s="42" t="s">
        <v>208</v>
      </c>
      <c r="E22" s="45">
        <v>1938896</v>
      </c>
      <c r="F22" s="45">
        <v>2068813.44</v>
      </c>
      <c r="G22" s="45">
        <v>11118529.92</v>
      </c>
      <c r="H22" s="45">
        <v>6498977.2800000003</v>
      </c>
      <c r="I22" s="45">
        <v>6918093.1200000001</v>
      </c>
      <c r="J22" s="45">
        <v>4418440.0000000009</v>
      </c>
      <c r="K22" s="45">
        <v>4547479.68</v>
      </c>
      <c r="L22" s="45">
        <v>7551273.5999999996</v>
      </c>
      <c r="M22" s="45">
        <v>4695376</v>
      </c>
      <c r="N22" s="36">
        <f t="shared" si="0"/>
        <v>49755879.039999999</v>
      </c>
      <c r="O22" s="30">
        <v>12909240.1</v>
      </c>
      <c r="P22" s="143">
        <f t="shared" si="1"/>
        <v>36846638.939999998</v>
      </c>
    </row>
    <row r="23" spans="1:16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v>969448</v>
      </c>
      <c r="F23" s="45">
        <v>1034406.72</v>
      </c>
      <c r="G23" s="45">
        <v>5559264.96</v>
      </c>
      <c r="H23" s="45">
        <v>3249488.64</v>
      </c>
      <c r="I23" s="45">
        <v>3459046.56</v>
      </c>
      <c r="J23" s="45">
        <v>2209220.0000000005</v>
      </c>
      <c r="K23" s="45">
        <v>2273739.84</v>
      </c>
      <c r="L23" s="45">
        <v>3775636.8</v>
      </c>
      <c r="M23" s="45">
        <v>2347688</v>
      </c>
      <c r="N23" s="36">
        <f t="shared" si="0"/>
        <v>24877939.52</v>
      </c>
      <c r="O23" s="30">
        <v>6207723.5999999996</v>
      </c>
      <c r="P23" s="143">
        <f t="shared" si="1"/>
        <v>18670215.920000002</v>
      </c>
    </row>
    <row r="24" spans="1:16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v>969448</v>
      </c>
      <c r="F24" s="45">
        <v>1034406.72</v>
      </c>
      <c r="G24" s="45">
        <v>5559264.96</v>
      </c>
      <c r="H24" s="45">
        <v>3249488.64</v>
      </c>
      <c r="I24" s="45">
        <v>3459046.56</v>
      </c>
      <c r="J24" s="45">
        <v>2209220.0000000005</v>
      </c>
      <c r="K24" s="45">
        <v>2273739.84</v>
      </c>
      <c r="L24" s="45">
        <v>3775636.8</v>
      </c>
      <c r="M24" s="45">
        <v>2347688</v>
      </c>
      <c r="N24" s="36">
        <f t="shared" si="0"/>
        <v>24877939.52</v>
      </c>
      <c r="O24" s="30">
        <v>6701516.5</v>
      </c>
      <c r="P24" s="143">
        <f t="shared" si="1"/>
        <v>18176423.02</v>
      </c>
    </row>
    <row r="25" spans="1:16">
      <c r="A25" s="33" t="s">
        <v>233</v>
      </c>
      <c r="B25" s="34" t="s">
        <v>234</v>
      </c>
      <c r="C25" s="34"/>
      <c r="D25" s="35" t="s">
        <v>183</v>
      </c>
      <c r="E25" s="36">
        <v>7755584</v>
      </c>
      <c r="F25" s="36">
        <v>8275253.7599999998</v>
      </c>
      <c r="G25" s="36">
        <v>44474119.68</v>
      </c>
      <c r="H25" s="36">
        <v>25995909.120000001</v>
      </c>
      <c r="I25" s="36">
        <v>27672372.48</v>
      </c>
      <c r="J25" s="36">
        <v>17673760.000000004</v>
      </c>
      <c r="K25" s="36">
        <v>18189918.719999999</v>
      </c>
      <c r="L25" s="36">
        <v>30205094.399999999</v>
      </c>
      <c r="M25" s="36">
        <v>18781504</v>
      </c>
      <c r="N25" s="36">
        <f t="shared" si="0"/>
        <v>199023516.16</v>
      </c>
      <c r="O25" s="30">
        <v>184614394.41</v>
      </c>
      <c r="P25" s="143">
        <f t="shared" si="1"/>
        <v>14409121.75</v>
      </c>
    </row>
    <row r="26" spans="1:16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v>7755584</v>
      </c>
      <c r="F26" s="36">
        <v>8275253.7599999998</v>
      </c>
      <c r="G26" s="36">
        <v>44474119.68</v>
      </c>
      <c r="H26" s="36">
        <v>25995909.120000001</v>
      </c>
      <c r="I26" s="36">
        <v>27672372.48</v>
      </c>
      <c r="J26" s="36">
        <v>17673760.000000004</v>
      </c>
      <c r="K26" s="36">
        <v>18189918.719999999</v>
      </c>
      <c r="L26" s="36">
        <v>30205094.399999999</v>
      </c>
      <c r="M26" s="36">
        <v>18781504</v>
      </c>
      <c r="N26" s="36">
        <f t="shared" si="0"/>
        <v>199023516.16</v>
      </c>
      <c r="O26" s="40">
        <v>184614394.41</v>
      </c>
      <c r="P26" s="143">
        <f t="shared" si="1"/>
        <v>14409121.75</v>
      </c>
    </row>
    <row r="27" spans="1:16">
      <c r="A27" s="33" t="s">
        <v>238</v>
      </c>
      <c r="B27" s="34" t="s">
        <v>239</v>
      </c>
      <c r="C27" s="34"/>
      <c r="D27" s="35" t="s">
        <v>183</v>
      </c>
      <c r="E27" s="36">
        <v>3877792</v>
      </c>
      <c r="F27" s="36">
        <v>4137626.88</v>
      </c>
      <c r="G27" s="36">
        <v>22237059.84</v>
      </c>
      <c r="H27" s="36">
        <v>12997954.560000001</v>
      </c>
      <c r="I27" s="36">
        <v>13836186.24</v>
      </c>
      <c r="J27" s="36">
        <v>8836880.0000000019</v>
      </c>
      <c r="K27" s="36">
        <v>9094959.3599999994</v>
      </c>
      <c r="L27" s="36">
        <v>15102547.199999999</v>
      </c>
      <c r="M27" s="36">
        <v>9390752</v>
      </c>
      <c r="N27" s="36">
        <f t="shared" si="0"/>
        <v>99511758.079999998</v>
      </c>
      <c r="O27" s="30">
        <v>92315326.559999987</v>
      </c>
      <c r="P27" s="143">
        <f t="shared" si="1"/>
        <v>7196431.5200000107</v>
      </c>
    </row>
    <row r="28" spans="1:16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v>3877792</v>
      </c>
      <c r="F28" s="36">
        <v>4137626.88</v>
      </c>
      <c r="G28" s="36">
        <v>22237059.84</v>
      </c>
      <c r="H28" s="36">
        <v>12997954.560000001</v>
      </c>
      <c r="I28" s="36">
        <v>13836186.24</v>
      </c>
      <c r="J28" s="36">
        <v>8836880.0000000019</v>
      </c>
      <c r="K28" s="36">
        <v>9094959.3599999994</v>
      </c>
      <c r="L28" s="36">
        <v>15102547.199999999</v>
      </c>
      <c r="M28" s="36">
        <v>9390752</v>
      </c>
      <c r="N28" s="36">
        <f t="shared" si="0"/>
        <v>99511758.079999998</v>
      </c>
      <c r="O28" s="40">
        <v>92315326.559999987</v>
      </c>
      <c r="P28" s="143">
        <f t="shared" si="1"/>
        <v>7196431.5200000107</v>
      </c>
    </row>
    <row r="29" spans="1:16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v>2352000</v>
      </c>
      <c r="F29" s="36">
        <v>2630400</v>
      </c>
      <c r="G29" s="36">
        <v>14256000</v>
      </c>
      <c r="H29" s="36">
        <v>8457600</v>
      </c>
      <c r="I29" s="36">
        <v>9043200</v>
      </c>
      <c r="J29" s="36">
        <v>5760000</v>
      </c>
      <c r="K29" s="36">
        <v>5740800</v>
      </c>
      <c r="L29" s="36">
        <v>9676800</v>
      </c>
      <c r="M29" s="36">
        <v>5817600</v>
      </c>
      <c r="N29" s="36">
        <f t="shared" si="0"/>
        <v>63734400</v>
      </c>
      <c r="O29" s="30">
        <v>61809479</v>
      </c>
      <c r="P29" s="143">
        <f t="shared" si="1"/>
        <v>1924921</v>
      </c>
    </row>
    <row r="30" spans="1:16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v>3393068</v>
      </c>
      <c r="F30" s="45">
        <v>3620423.5200000005</v>
      </c>
      <c r="G30" s="45">
        <v>19457427.359999999</v>
      </c>
      <c r="H30" s="45">
        <v>11373210.24</v>
      </c>
      <c r="I30" s="45">
        <v>12106662.960000001</v>
      </c>
      <c r="J30" s="45">
        <v>7732270</v>
      </c>
      <c r="K30" s="45">
        <v>7958089.4400000004</v>
      </c>
      <c r="L30" s="45">
        <v>13214728.800000001</v>
      </c>
      <c r="M30" s="45">
        <v>8216908</v>
      </c>
      <c r="N30" s="36">
        <f t="shared" si="0"/>
        <v>87072788.319999993</v>
      </c>
      <c r="O30" s="30">
        <v>80683102.599999994</v>
      </c>
      <c r="P30" s="143">
        <f t="shared" si="1"/>
        <v>6389685.7199999988</v>
      </c>
    </row>
    <row r="31" spans="1:16">
      <c r="A31" s="33" t="s">
        <v>248</v>
      </c>
      <c r="B31" s="34" t="s">
        <v>249</v>
      </c>
      <c r="C31" s="34"/>
      <c r="D31" s="35" t="s">
        <v>183</v>
      </c>
      <c r="E31" s="36">
        <v>66360</v>
      </c>
      <c r="F31" s="36">
        <v>42570</v>
      </c>
      <c r="G31" s="36">
        <v>184931.20000000001</v>
      </c>
      <c r="H31" s="36">
        <v>133680</v>
      </c>
      <c r="I31" s="36">
        <v>198811.2</v>
      </c>
      <c r="J31" s="36">
        <v>79310</v>
      </c>
      <c r="K31" s="36">
        <v>179838</v>
      </c>
      <c r="L31" s="36">
        <v>120040</v>
      </c>
      <c r="M31" s="36">
        <v>75020</v>
      </c>
      <c r="N31" s="36">
        <f t="shared" si="0"/>
        <v>1080560.3999999999</v>
      </c>
      <c r="O31" s="30">
        <v>5736341.9000000004</v>
      </c>
      <c r="P31" s="143">
        <f t="shared" si="1"/>
        <v>-4655781.5</v>
      </c>
    </row>
    <row r="32" spans="1:16">
      <c r="A32" s="33" t="s">
        <v>250</v>
      </c>
      <c r="B32" s="34" t="s">
        <v>251</v>
      </c>
      <c r="C32" s="34"/>
      <c r="D32" s="35" t="s">
        <v>183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101248</v>
      </c>
      <c r="L32" s="36">
        <v>0</v>
      </c>
      <c r="M32" s="36">
        <v>0</v>
      </c>
      <c r="N32" s="36">
        <f t="shared" si="0"/>
        <v>101248</v>
      </c>
    </row>
    <row r="33" spans="1:14">
      <c r="A33" s="33" t="s">
        <v>252</v>
      </c>
      <c r="B33" s="34" t="s">
        <v>253</v>
      </c>
      <c r="C33" s="34" t="s">
        <v>254</v>
      </c>
      <c r="D33" s="42" t="s">
        <v>255</v>
      </c>
      <c r="E33" s="43">
        <v>0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  <c r="N33" s="36">
        <f t="shared" si="0"/>
        <v>0</v>
      </c>
    </row>
    <row r="34" spans="1:14">
      <c r="A34" s="33" t="s">
        <v>256</v>
      </c>
      <c r="B34" s="34" t="s">
        <v>257</v>
      </c>
      <c r="C34" s="34" t="s">
        <v>254</v>
      </c>
      <c r="D34" s="42" t="s">
        <v>255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2400</v>
      </c>
      <c r="L34" s="43">
        <v>0</v>
      </c>
      <c r="M34" s="43">
        <v>0</v>
      </c>
      <c r="N34" s="36">
        <f t="shared" si="0"/>
        <v>2400</v>
      </c>
    </row>
    <row r="35" spans="1:14">
      <c r="A35" s="33" t="s">
        <v>258</v>
      </c>
      <c r="B35" s="34" t="s">
        <v>259</v>
      </c>
      <c r="C35" s="34" t="s">
        <v>254</v>
      </c>
      <c r="D35" s="42" t="s">
        <v>260</v>
      </c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  <c r="N35" s="36">
        <f t="shared" ref="N35:N66" si="2">SUM(E35:M35)</f>
        <v>0</v>
      </c>
    </row>
    <row r="36" spans="1:14">
      <c r="A36" s="33" t="s">
        <v>261</v>
      </c>
      <c r="B36" s="34" t="s">
        <v>262</v>
      </c>
      <c r="C36" s="34" t="s">
        <v>254</v>
      </c>
      <c r="D36" s="42" t="s">
        <v>255</v>
      </c>
      <c r="E36" s="43">
        <v>0</v>
      </c>
      <c r="F36" s="43">
        <v>0</v>
      </c>
      <c r="G36" s="43">
        <v>0</v>
      </c>
      <c r="H36" s="43">
        <v>0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  <c r="N36" s="36">
        <f t="shared" si="2"/>
        <v>0</v>
      </c>
    </row>
    <row r="37" spans="1:14">
      <c r="A37" s="33" t="s">
        <v>263</v>
      </c>
      <c r="B37" s="34" t="s">
        <v>264</v>
      </c>
      <c r="C37" s="34" t="s">
        <v>254</v>
      </c>
      <c r="D37" s="42" t="s">
        <v>255</v>
      </c>
      <c r="E37" s="43">
        <v>0</v>
      </c>
      <c r="F37" s="43">
        <v>0</v>
      </c>
      <c r="G37" s="43">
        <v>0</v>
      </c>
      <c r="H37" s="43">
        <v>0</v>
      </c>
      <c r="I37" s="43">
        <v>0</v>
      </c>
      <c r="J37" s="43">
        <v>0</v>
      </c>
      <c r="K37" s="43">
        <v>0</v>
      </c>
      <c r="L37" s="43">
        <v>0</v>
      </c>
      <c r="M37" s="43">
        <v>0</v>
      </c>
      <c r="N37" s="36">
        <f t="shared" si="2"/>
        <v>0</v>
      </c>
    </row>
    <row r="38" spans="1:14">
      <c r="A38" s="33" t="s">
        <v>265</v>
      </c>
      <c r="B38" s="34" t="s">
        <v>266</v>
      </c>
      <c r="C38" s="34" t="s">
        <v>254</v>
      </c>
      <c r="D38" s="42" t="s">
        <v>255</v>
      </c>
      <c r="E38" s="43">
        <v>0</v>
      </c>
      <c r="F38" s="43">
        <v>0</v>
      </c>
      <c r="G38" s="43">
        <v>0</v>
      </c>
      <c r="H38" s="43">
        <v>0</v>
      </c>
      <c r="I38" s="43">
        <v>0</v>
      </c>
      <c r="J38" s="43">
        <v>0</v>
      </c>
      <c r="K38" s="43">
        <v>71848</v>
      </c>
      <c r="L38" s="43">
        <v>0</v>
      </c>
      <c r="M38" s="43">
        <v>0</v>
      </c>
      <c r="N38" s="36">
        <f t="shared" si="2"/>
        <v>71848</v>
      </c>
    </row>
    <row r="39" spans="1:14">
      <c r="A39" s="33" t="s">
        <v>267</v>
      </c>
      <c r="B39" s="34" t="s">
        <v>268</v>
      </c>
      <c r="C39" s="34" t="s">
        <v>254</v>
      </c>
      <c r="D39" s="42" t="s">
        <v>255</v>
      </c>
      <c r="E39" s="43">
        <v>0</v>
      </c>
      <c r="F39" s="43">
        <v>0</v>
      </c>
      <c r="G39" s="43">
        <v>0</v>
      </c>
      <c r="H39" s="43">
        <v>0</v>
      </c>
      <c r="I39" s="43">
        <v>0</v>
      </c>
      <c r="J39" s="43">
        <v>0</v>
      </c>
      <c r="K39" s="43">
        <v>27000</v>
      </c>
      <c r="L39" s="43">
        <v>0</v>
      </c>
      <c r="M39" s="43">
        <v>0</v>
      </c>
      <c r="N39" s="36">
        <f t="shared" si="2"/>
        <v>27000</v>
      </c>
    </row>
    <row r="40" spans="1:14">
      <c r="A40" s="33" t="s">
        <v>269</v>
      </c>
      <c r="B40" s="34" t="s">
        <v>270</v>
      </c>
      <c r="C40" s="34"/>
      <c r="D40" s="35" t="s">
        <v>183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f t="shared" si="2"/>
        <v>0</v>
      </c>
    </row>
    <row r="41" spans="1:14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  <c r="J41" s="46">
        <v>0</v>
      </c>
      <c r="K41" s="46">
        <v>0</v>
      </c>
      <c r="L41" s="46">
        <v>0</v>
      </c>
      <c r="M41" s="46">
        <v>0</v>
      </c>
      <c r="N41" s="36">
        <f t="shared" si="2"/>
        <v>0</v>
      </c>
    </row>
    <row r="42" spans="1:14">
      <c r="A42" s="33" t="s">
        <v>274</v>
      </c>
      <c r="B42" s="34" t="s">
        <v>275</v>
      </c>
      <c r="C42" s="34"/>
      <c r="D42" s="35" t="s">
        <v>183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f t="shared" si="2"/>
        <v>0</v>
      </c>
    </row>
    <row r="43" spans="1:14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  <c r="J43" s="46">
        <v>0</v>
      </c>
      <c r="K43" s="46">
        <v>0</v>
      </c>
      <c r="L43" s="46">
        <v>0</v>
      </c>
      <c r="M43" s="46">
        <v>0</v>
      </c>
      <c r="N43" s="36">
        <f t="shared" si="2"/>
        <v>0</v>
      </c>
    </row>
    <row r="44" spans="1:14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  <c r="J44" s="46">
        <v>0</v>
      </c>
      <c r="K44" s="46">
        <v>0</v>
      </c>
      <c r="L44" s="46">
        <v>0</v>
      </c>
      <c r="M44" s="46">
        <v>0</v>
      </c>
      <c r="N44" s="36">
        <f t="shared" si="2"/>
        <v>0</v>
      </c>
    </row>
    <row r="45" spans="1:14">
      <c r="A45" s="33" t="s">
        <v>280</v>
      </c>
      <c r="B45" s="34" t="s">
        <v>281</v>
      </c>
      <c r="C45" s="34"/>
      <c r="D45" s="35" t="s">
        <v>183</v>
      </c>
      <c r="E45" s="36">
        <v>23610</v>
      </c>
      <c r="F45" s="36">
        <v>20970</v>
      </c>
      <c r="G45" s="36">
        <v>121320</v>
      </c>
      <c r="H45" s="36">
        <v>52980</v>
      </c>
      <c r="I45" s="36">
        <v>70560</v>
      </c>
      <c r="J45" s="36">
        <v>38160</v>
      </c>
      <c r="K45" s="36">
        <v>42840</v>
      </c>
      <c r="L45" s="36">
        <v>62640</v>
      </c>
      <c r="M45" s="36">
        <v>41370</v>
      </c>
      <c r="N45" s="36">
        <f t="shared" si="2"/>
        <v>474450</v>
      </c>
    </row>
    <row r="46" spans="1:14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23610</v>
      </c>
      <c r="F46" s="37">
        <v>20970</v>
      </c>
      <c r="G46" s="37">
        <v>121320</v>
      </c>
      <c r="H46" s="37">
        <v>52980</v>
      </c>
      <c r="I46" s="37">
        <v>70560</v>
      </c>
      <c r="J46" s="37">
        <v>38160</v>
      </c>
      <c r="K46" s="37">
        <v>42840</v>
      </c>
      <c r="L46" s="37">
        <v>62640</v>
      </c>
      <c r="M46" s="37">
        <v>41370</v>
      </c>
      <c r="N46" s="36">
        <f t="shared" si="2"/>
        <v>474450</v>
      </c>
    </row>
    <row r="47" spans="1:14">
      <c r="A47" s="33" t="s">
        <v>284</v>
      </c>
      <c r="B47" s="34" t="s">
        <v>285</v>
      </c>
      <c r="C47" s="34"/>
      <c r="D47" s="35" t="s">
        <v>183</v>
      </c>
      <c r="E47" s="36">
        <v>42750</v>
      </c>
      <c r="F47" s="36">
        <v>21600</v>
      </c>
      <c r="G47" s="36">
        <v>63611.199999999997</v>
      </c>
      <c r="H47" s="36">
        <v>80700</v>
      </c>
      <c r="I47" s="36">
        <v>128251.2</v>
      </c>
      <c r="J47" s="36">
        <v>41150</v>
      </c>
      <c r="K47" s="36">
        <v>35750</v>
      </c>
      <c r="L47" s="36">
        <v>57400</v>
      </c>
      <c r="M47" s="36">
        <v>33650</v>
      </c>
      <c r="N47" s="36">
        <f t="shared" si="2"/>
        <v>504862.4</v>
      </c>
    </row>
    <row r="48" spans="1:14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42750</v>
      </c>
      <c r="F48" s="37">
        <v>21600</v>
      </c>
      <c r="G48" s="37">
        <v>24900</v>
      </c>
      <c r="H48" s="37">
        <v>80700</v>
      </c>
      <c r="I48" s="37">
        <v>89400</v>
      </c>
      <c r="J48" s="37">
        <v>41150</v>
      </c>
      <c r="K48" s="37">
        <v>35750</v>
      </c>
      <c r="L48" s="37">
        <v>57400</v>
      </c>
      <c r="M48" s="37">
        <v>33650</v>
      </c>
      <c r="N48" s="36">
        <f t="shared" si="2"/>
        <v>427300</v>
      </c>
    </row>
    <row r="49" spans="1:16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  <c r="N49" s="36">
        <f t="shared" si="2"/>
        <v>0</v>
      </c>
    </row>
    <row r="50" spans="1:16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  <c r="J50" s="46">
        <v>0</v>
      </c>
      <c r="K50" s="46">
        <v>0</v>
      </c>
      <c r="L50" s="46">
        <v>0</v>
      </c>
      <c r="M50" s="46">
        <v>0</v>
      </c>
      <c r="N50" s="36">
        <f t="shared" si="2"/>
        <v>0</v>
      </c>
    </row>
    <row r="51" spans="1:16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>
        <v>0</v>
      </c>
      <c r="F51" s="43">
        <v>0</v>
      </c>
      <c r="G51" s="43">
        <v>38711.199999999997</v>
      </c>
      <c r="H51" s="43">
        <v>0</v>
      </c>
      <c r="I51" s="43">
        <v>38851.199999999997</v>
      </c>
      <c r="J51" s="43">
        <v>0</v>
      </c>
      <c r="K51" s="43">
        <v>0</v>
      </c>
      <c r="L51" s="43">
        <v>0</v>
      </c>
      <c r="M51" s="43">
        <v>0</v>
      </c>
      <c r="N51" s="36">
        <f t="shared" si="2"/>
        <v>77562.399999999994</v>
      </c>
    </row>
    <row r="52" spans="1:16">
      <c r="A52" s="33" t="s">
        <v>297</v>
      </c>
      <c r="B52" s="34" t="s">
        <v>298</v>
      </c>
      <c r="C52" s="34"/>
      <c r="D52" s="35" t="s">
        <v>183</v>
      </c>
      <c r="E52" s="36">
        <v>11790024.550000001</v>
      </c>
      <c r="F52" s="36">
        <v>14418276.919999998</v>
      </c>
      <c r="G52" s="36">
        <v>75448997.510000005</v>
      </c>
      <c r="H52" s="36">
        <v>49211856.560000002</v>
      </c>
      <c r="I52" s="36">
        <v>45593664.659999996</v>
      </c>
      <c r="J52" s="36">
        <v>29311623.899999999</v>
      </c>
      <c r="K52" s="36">
        <v>28746080.340000004</v>
      </c>
      <c r="L52" s="36">
        <v>50527257.850000001</v>
      </c>
      <c r="M52" s="36">
        <v>27488193.399999999</v>
      </c>
      <c r="N52" s="36">
        <f t="shared" si="2"/>
        <v>332535975.69</v>
      </c>
      <c r="O52" s="30">
        <v>317134541.63999999</v>
      </c>
      <c r="P52" s="143">
        <f>N52-O52</f>
        <v>15401434.050000012</v>
      </c>
    </row>
    <row r="53" spans="1:16">
      <c r="A53" s="33" t="s">
        <v>299</v>
      </c>
      <c r="B53" s="34" t="s">
        <v>300</v>
      </c>
      <c r="C53" s="34"/>
      <c r="D53" s="35" t="s">
        <v>301</v>
      </c>
      <c r="E53" s="36">
        <v>7992140</v>
      </c>
      <c r="F53" s="36">
        <v>9487990</v>
      </c>
      <c r="G53" s="36">
        <v>56517460</v>
      </c>
      <c r="H53" s="36">
        <v>34259210</v>
      </c>
      <c r="I53" s="36">
        <v>31926800</v>
      </c>
      <c r="J53" s="36">
        <v>20528560</v>
      </c>
      <c r="K53" s="36">
        <v>19655910</v>
      </c>
      <c r="L53" s="36">
        <v>35849890</v>
      </c>
      <c r="M53" s="36">
        <v>18642140</v>
      </c>
      <c r="N53" s="36">
        <f t="shared" si="2"/>
        <v>234860100</v>
      </c>
    </row>
    <row r="54" spans="1:16">
      <c r="A54" s="33" t="s">
        <v>302</v>
      </c>
      <c r="B54" s="34" t="s">
        <v>303</v>
      </c>
      <c r="C54" s="34" t="s">
        <v>189</v>
      </c>
      <c r="D54" s="47"/>
      <c r="E54" s="37">
        <v>1446637</v>
      </c>
      <c r="F54" s="37">
        <v>2591816</v>
      </c>
      <c r="G54" s="37">
        <v>5016536</v>
      </c>
      <c r="H54" s="37">
        <v>8894011.620000001</v>
      </c>
      <c r="I54" s="37">
        <v>30524016</v>
      </c>
      <c r="J54" s="37">
        <v>19172670</v>
      </c>
      <c r="K54" s="37">
        <v>3217208.5</v>
      </c>
      <c r="L54" s="37">
        <v>4070539</v>
      </c>
      <c r="M54" s="37">
        <v>3993400.5</v>
      </c>
      <c r="N54" s="36">
        <f t="shared" si="2"/>
        <v>78926834.620000005</v>
      </c>
    </row>
    <row r="55" spans="1:16">
      <c r="A55" s="33" t="s">
        <v>304</v>
      </c>
      <c r="B55" s="34" t="s">
        <v>305</v>
      </c>
      <c r="C55" s="34" t="s">
        <v>189</v>
      </c>
      <c r="D55" s="47"/>
      <c r="E55" s="37">
        <v>46946.5</v>
      </c>
      <c r="F55" s="37">
        <v>140000</v>
      </c>
      <c r="G55" s="37">
        <v>1753317</v>
      </c>
      <c r="H55" s="37">
        <v>1199701.5</v>
      </c>
      <c r="I55" s="37">
        <v>0</v>
      </c>
      <c r="J55" s="37">
        <v>0</v>
      </c>
      <c r="K55" s="37">
        <v>364090</v>
      </c>
      <c r="L55" s="37">
        <v>289000</v>
      </c>
      <c r="M55" s="37">
        <v>0</v>
      </c>
      <c r="N55" s="36">
        <f t="shared" si="2"/>
        <v>3793055</v>
      </c>
    </row>
    <row r="56" spans="1:16">
      <c r="A56" s="33" t="s">
        <v>306</v>
      </c>
      <c r="B56" s="34" t="s">
        <v>307</v>
      </c>
      <c r="C56" s="34" t="s">
        <v>189</v>
      </c>
      <c r="D56" s="47"/>
      <c r="E56" s="37">
        <v>112000</v>
      </c>
      <c r="F56" s="37">
        <v>20000</v>
      </c>
      <c r="G56" s="37">
        <v>752000</v>
      </c>
      <c r="H56" s="37">
        <v>341230</v>
      </c>
      <c r="I56" s="37">
        <v>0</v>
      </c>
      <c r="J56" s="37">
        <v>0</v>
      </c>
      <c r="K56" s="37">
        <v>51820</v>
      </c>
      <c r="L56" s="37">
        <v>130000</v>
      </c>
      <c r="M56" s="37">
        <v>0</v>
      </c>
      <c r="N56" s="36">
        <f t="shared" si="2"/>
        <v>1407050</v>
      </c>
    </row>
    <row r="57" spans="1:16">
      <c r="A57" s="33" t="s">
        <v>308</v>
      </c>
      <c r="B57" s="34" t="s">
        <v>309</v>
      </c>
      <c r="C57" s="34" t="s">
        <v>189</v>
      </c>
      <c r="D57" s="47"/>
      <c r="E57" s="37">
        <v>405000</v>
      </c>
      <c r="F57" s="37">
        <v>228000</v>
      </c>
      <c r="G57" s="37">
        <v>1475500</v>
      </c>
      <c r="H57" s="37">
        <v>782231.21</v>
      </c>
      <c r="I57" s="37">
        <v>0</v>
      </c>
      <c r="J57" s="37">
        <v>0</v>
      </c>
      <c r="K57" s="37">
        <v>852620</v>
      </c>
      <c r="L57" s="37">
        <v>1186000</v>
      </c>
      <c r="M57" s="37">
        <v>607730</v>
      </c>
      <c r="N57" s="36">
        <f t="shared" si="2"/>
        <v>5537081.21</v>
      </c>
    </row>
    <row r="58" spans="1:16">
      <c r="A58" s="33" t="s">
        <v>310</v>
      </c>
      <c r="B58" s="34" t="s">
        <v>311</v>
      </c>
      <c r="C58" s="34" t="s">
        <v>189</v>
      </c>
      <c r="D58" s="47"/>
      <c r="E58" s="37">
        <v>595000</v>
      </c>
      <c r="F58" s="37">
        <v>610000</v>
      </c>
      <c r="G58" s="37">
        <v>3218000</v>
      </c>
      <c r="H58" s="37">
        <v>2720401.52</v>
      </c>
      <c r="I58" s="37">
        <v>0</v>
      </c>
      <c r="J58" s="37">
        <v>0</v>
      </c>
      <c r="K58" s="37">
        <v>1637450</v>
      </c>
      <c r="L58" s="37">
        <v>2440000</v>
      </c>
      <c r="M58" s="37">
        <v>1208480</v>
      </c>
      <c r="N58" s="36">
        <f t="shared" si="2"/>
        <v>12429331.52</v>
      </c>
    </row>
    <row r="59" spans="1:16">
      <c r="A59" s="33" t="s">
        <v>312</v>
      </c>
      <c r="B59" s="34" t="s">
        <v>313</v>
      </c>
      <c r="C59" s="34" t="s">
        <v>189</v>
      </c>
      <c r="D59" s="47"/>
      <c r="E59" s="37">
        <v>69000</v>
      </c>
      <c r="F59" s="37">
        <v>37500</v>
      </c>
      <c r="G59" s="37">
        <v>757000</v>
      </c>
      <c r="H59" s="37">
        <v>386223.4</v>
      </c>
      <c r="I59" s="37">
        <v>0</v>
      </c>
      <c r="J59" s="37">
        <v>0</v>
      </c>
      <c r="K59" s="37">
        <v>337970</v>
      </c>
      <c r="L59" s="37">
        <v>359000</v>
      </c>
      <c r="M59" s="37">
        <v>265650</v>
      </c>
      <c r="N59" s="36">
        <f t="shared" si="2"/>
        <v>2212343.4</v>
      </c>
    </row>
    <row r="60" spans="1:16">
      <c r="A60" s="33" t="s">
        <v>314</v>
      </c>
      <c r="B60" s="34" t="s">
        <v>315</v>
      </c>
      <c r="C60" s="34" t="s">
        <v>189</v>
      </c>
      <c r="D60" s="47"/>
      <c r="E60" s="37">
        <v>58000</v>
      </c>
      <c r="F60" s="37">
        <v>120000</v>
      </c>
      <c r="G60" s="37">
        <v>429000</v>
      </c>
      <c r="H60" s="37">
        <v>221557.5</v>
      </c>
      <c r="I60" s="37">
        <v>0</v>
      </c>
      <c r="J60" s="37">
        <v>0</v>
      </c>
      <c r="K60" s="37">
        <v>283070</v>
      </c>
      <c r="L60" s="37">
        <v>223000</v>
      </c>
      <c r="M60" s="37">
        <v>263620</v>
      </c>
      <c r="N60" s="36">
        <f t="shared" si="2"/>
        <v>1598247.5</v>
      </c>
    </row>
    <row r="61" spans="1:16">
      <c r="A61" s="33" t="s">
        <v>316</v>
      </c>
      <c r="B61" s="34" t="s">
        <v>317</v>
      </c>
      <c r="C61" s="34" t="s">
        <v>189</v>
      </c>
      <c r="D61" s="47"/>
      <c r="E61" s="37">
        <v>826347</v>
      </c>
      <c r="F61" s="37">
        <v>800000</v>
      </c>
      <c r="G61" s="37">
        <v>5720989</v>
      </c>
      <c r="H61" s="37">
        <v>4335671.5</v>
      </c>
      <c r="I61" s="37">
        <v>0</v>
      </c>
      <c r="J61" s="37">
        <v>0</v>
      </c>
      <c r="K61" s="37">
        <v>3166650</v>
      </c>
      <c r="L61" s="37">
        <v>4995497</v>
      </c>
      <c r="M61" s="37">
        <v>1945400</v>
      </c>
      <c r="N61" s="36">
        <f t="shared" si="2"/>
        <v>21790554.5</v>
      </c>
    </row>
    <row r="62" spans="1:16">
      <c r="A62" s="33" t="s">
        <v>318</v>
      </c>
      <c r="B62" s="34" t="s">
        <v>319</v>
      </c>
      <c r="C62" s="34" t="s">
        <v>189</v>
      </c>
      <c r="D62" s="47"/>
      <c r="E62" s="37">
        <v>0</v>
      </c>
      <c r="F62" s="37">
        <v>11000</v>
      </c>
      <c r="G62" s="37">
        <v>0</v>
      </c>
      <c r="H62" s="37">
        <v>5000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6">
        <f t="shared" si="2"/>
        <v>16000</v>
      </c>
    </row>
    <row r="63" spans="1:16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369682</v>
      </c>
      <c r="F63" s="37">
        <v>371286</v>
      </c>
      <c r="G63" s="37">
        <v>2752460.5</v>
      </c>
      <c r="H63" s="37">
        <v>1543516</v>
      </c>
      <c r="I63" s="37">
        <v>1402784</v>
      </c>
      <c r="J63" s="37">
        <v>992780</v>
      </c>
      <c r="K63" s="37">
        <v>948481.5</v>
      </c>
      <c r="L63" s="37">
        <v>1670514</v>
      </c>
      <c r="M63" s="37">
        <v>853707.5</v>
      </c>
      <c r="N63" s="36">
        <f t="shared" si="2"/>
        <v>10905211.5</v>
      </c>
    </row>
    <row r="64" spans="1:16">
      <c r="A64" s="33" t="s">
        <v>324</v>
      </c>
      <c r="B64" s="34" t="s">
        <v>325</v>
      </c>
      <c r="C64" s="34" t="s">
        <v>189</v>
      </c>
      <c r="D64" s="47"/>
      <c r="E64" s="37">
        <v>0</v>
      </c>
      <c r="F64" s="37">
        <v>40000</v>
      </c>
      <c r="G64" s="37">
        <v>207500</v>
      </c>
      <c r="H64" s="37">
        <v>107000</v>
      </c>
      <c r="I64" s="37">
        <v>0</v>
      </c>
      <c r="J64" s="37">
        <v>0</v>
      </c>
      <c r="K64" s="37">
        <v>177712</v>
      </c>
      <c r="L64" s="37">
        <v>0</v>
      </c>
      <c r="M64" s="37">
        <v>137756</v>
      </c>
      <c r="N64" s="36">
        <f t="shared" si="2"/>
        <v>669968</v>
      </c>
    </row>
    <row r="65" spans="1:14">
      <c r="A65" s="33" t="s">
        <v>326</v>
      </c>
      <c r="B65" s="34" t="s">
        <v>327</v>
      </c>
      <c r="C65" s="34" t="s">
        <v>189</v>
      </c>
      <c r="D65" s="47"/>
      <c r="E65" s="37">
        <v>1346070</v>
      </c>
      <c r="F65" s="37">
        <v>280000</v>
      </c>
      <c r="G65" s="37">
        <v>5723000</v>
      </c>
      <c r="H65" s="37">
        <v>2827916.9</v>
      </c>
      <c r="I65" s="37">
        <v>0</v>
      </c>
      <c r="J65" s="37">
        <v>0</v>
      </c>
      <c r="K65" s="37">
        <v>1509750</v>
      </c>
      <c r="L65" s="37">
        <v>8060292.5</v>
      </c>
      <c r="M65" s="37">
        <v>1308950</v>
      </c>
      <c r="N65" s="36">
        <f t="shared" si="2"/>
        <v>21055979.399999999</v>
      </c>
    </row>
    <row r="66" spans="1:14">
      <c r="A66" s="33" t="s">
        <v>328</v>
      </c>
      <c r="B66" s="34" t="s">
        <v>329</v>
      </c>
      <c r="C66" s="34" t="s">
        <v>189</v>
      </c>
      <c r="D66" s="47"/>
      <c r="E66" s="37">
        <v>560000</v>
      </c>
      <c r="F66" s="37">
        <v>90000</v>
      </c>
      <c r="G66" s="37">
        <v>4013000</v>
      </c>
      <c r="H66" s="37">
        <v>568130</v>
      </c>
      <c r="I66" s="37">
        <v>0</v>
      </c>
      <c r="J66" s="37">
        <v>0</v>
      </c>
      <c r="K66" s="37">
        <v>454200</v>
      </c>
      <c r="L66" s="37">
        <v>80000</v>
      </c>
      <c r="M66" s="37">
        <v>405650</v>
      </c>
      <c r="N66" s="36">
        <f t="shared" si="2"/>
        <v>6170980</v>
      </c>
    </row>
    <row r="67" spans="1:14">
      <c r="A67" s="33" t="s">
        <v>330</v>
      </c>
      <c r="B67" s="34" t="s">
        <v>331</v>
      </c>
      <c r="C67" s="34" t="s">
        <v>189</v>
      </c>
      <c r="D67" s="47"/>
      <c r="E67" s="37">
        <v>909000</v>
      </c>
      <c r="F67" s="37">
        <v>1604779.5</v>
      </c>
      <c r="G67" s="37">
        <v>2660000</v>
      </c>
      <c r="H67" s="37">
        <v>16500</v>
      </c>
      <c r="I67" s="37">
        <v>0</v>
      </c>
      <c r="J67" s="37">
        <v>0</v>
      </c>
      <c r="K67" s="37">
        <v>211800</v>
      </c>
      <c r="L67" s="37">
        <v>680000</v>
      </c>
      <c r="M67" s="37">
        <v>0</v>
      </c>
      <c r="N67" s="36">
        <f t="shared" ref="N67:N98" si="3">SUM(E67:M67)</f>
        <v>6082079.5</v>
      </c>
    </row>
    <row r="68" spans="1:14">
      <c r="A68" s="33" t="s">
        <v>332</v>
      </c>
      <c r="B68" s="34" t="s">
        <v>333</v>
      </c>
      <c r="C68" s="34" t="s">
        <v>189</v>
      </c>
      <c r="D68" s="47"/>
      <c r="E68" s="37">
        <v>644529</v>
      </c>
      <c r="F68" s="37">
        <v>710507.5</v>
      </c>
      <c r="G68" s="37">
        <v>13305126.5</v>
      </c>
      <c r="H68" s="37">
        <v>6231478.8499999996</v>
      </c>
      <c r="I68" s="37">
        <v>0</v>
      </c>
      <c r="J68" s="37">
        <v>0</v>
      </c>
      <c r="K68" s="37">
        <v>3306438</v>
      </c>
      <c r="L68" s="37">
        <v>5367049</v>
      </c>
      <c r="M68" s="37">
        <v>5815346</v>
      </c>
      <c r="N68" s="36">
        <f t="shared" si="3"/>
        <v>35380474.850000001</v>
      </c>
    </row>
    <row r="69" spans="1:14">
      <c r="A69" s="33" t="s">
        <v>334</v>
      </c>
      <c r="B69" s="34" t="s">
        <v>335</v>
      </c>
      <c r="C69" s="34" t="s">
        <v>189</v>
      </c>
      <c r="D69" s="47"/>
      <c r="E69" s="37">
        <v>367400</v>
      </c>
      <c r="F69" s="37">
        <v>1070000</v>
      </c>
      <c r="G69" s="37">
        <v>5242583</v>
      </c>
      <c r="H69" s="37">
        <v>2650855</v>
      </c>
      <c r="I69" s="37">
        <v>0</v>
      </c>
      <c r="J69" s="37">
        <v>0</v>
      </c>
      <c r="K69" s="37">
        <v>2136425</v>
      </c>
      <c r="L69" s="37">
        <v>3529600</v>
      </c>
      <c r="M69" s="37">
        <v>824500</v>
      </c>
      <c r="N69" s="36">
        <f t="shared" si="3"/>
        <v>15821363</v>
      </c>
    </row>
    <row r="70" spans="1:14">
      <c r="A70" s="33" t="s">
        <v>336</v>
      </c>
      <c r="B70" s="34" t="s">
        <v>337</v>
      </c>
      <c r="C70" s="34" t="s">
        <v>189</v>
      </c>
      <c r="D70" s="47"/>
      <c r="E70" s="37">
        <v>236528.5</v>
      </c>
      <c r="F70" s="37">
        <v>763101</v>
      </c>
      <c r="G70" s="37">
        <v>3491448</v>
      </c>
      <c r="H70" s="37">
        <v>1427785</v>
      </c>
      <c r="I70" s="37">
        <v>0</v>
      </c>
      <c r="J70" s="37">
        <v>0</v>
      </c>
      <c r="K70" s="37">
        <v>1000225</v>
      </c>
      <c r="L70" s="37">
        <v>2769398.5</v>
      </c>
      <c r="M70" s="37">
        <v>1011950</v>
      </c>
      <c r="N70" s="36">
        <f t="shared" si="3"/>
        <v>10700436</v>
      </c>
    </row>
    <row r="71" spans="1:14">
      <c r="A71" s="33" t="s">
        <v>338</v>
      </c>
      <c r="B71" s="34" t="s">
        <v>339</v>
      </c>
      <c r="C71" s="34"/>
      <c r="D71" s="35"/>
      <c r="E71" s="36">
        <v>98000</v>
      </c>
      <c r="F71" s="36">
        <v>109600</v>
      </c>
      <c r="G71" s="36">
        <v>594000</v>
      </c>
      <c r="H71" s="36">
        <v>352400</v>
      </c>
      <c r="I71" s="36">
        <v>376800</v>
      </c>
      <c r="J71" s="36">
        <v>240000</v>
      </c>
      <c r="K71" s="36">
        <v>239200</v>
      </c>
      <c r="L71" s="36">
        <v>403200</v>
      </c>
      <c r="M71" s="36">
        <v>242400</v>
      </c>
      <c r="N71" s="36">
        <f t="shared" si="3"/>
        <v>2655600</v>
      </c>
    </row>
    <row r="72" spans="1:14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v>98000</v>
      </c>
      <c r="F72" s="36">
        <v>109600</v>
      </c>
      <c r="G72" s="36">
        <v>594000</v>
      </c>
      <c r="H72" s="36">
        <v>352400</v>
      </c>
      <c r="I72" s="36">
        <v>376800</v>
      </c>
      <c r="J72" s="36">
        <v>240000</v>
      </c>
      <c r="K72" s="36">
        <v>239200</v>
      </c>
      <c r="L72" s="36">
        <v>403200</v>
      </c>
      <c r="M72" s="36">
        <v>242400</v>
      </c>
      <c r="N72" s="36">
        <f t="shared" si="3"/>
        <v>2655600</v>
      </c>
    </row>
    <row r="73" spans="1:14">
      <c r="A73" s="33" t="s">
        <v>343</v>
      </c>
      <c r="B73" s="34" t="s">
        <v>344</v>
      </c>
      <c r="C73" s="34"/>
      <c r="D73" s="35" t="s">
        <v>183</v>
      </c>
      <c r="E73" s="36">
        <v>801596.55</v>
      </c>
      <c r="F73" s="36">
        <v>1289968.2</v>
      </c>
      <c r="G73" s="36">
        <v>2751836.55</v>
      </c>
      <c r="H73" s="36">
        <v>3868010.4</v>
      </c>
      <c r="I73" s="36">
        <v>2580981.3000000003</v>
      </c>
      <c r="J73" s="36">
        <v>1832576.7</v>
      </c>
      <c r="K73" s="36">
        <v>1215502.5</v>
      </c>
      <c r="L73" s="36">
        <v>3098587.05</v>
      </c>
      <c r="M73" s="36">
        <v>1458291</v>
      </c>
      <c r="N73" s="36">
        <f t="shared" si="3"/>
        <v>18897350.25</v>
      </c>
    </row>
    <row r="74" spans="1:14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v>801596.55</v>
      </c>
      <c r="F74" s="36">
        <v>1289968.2</v>
      </c>
      <c r="G74" s="36">
        <v>2751836.55</v>
      </c>
      <c r="H74" s="36">
        <v>3868010.4</v>
      </c>
      <c r="I74" s="36">
        <v>2580981.3000000003</v>
      </c>
      <c r="J74" s="36">
        <v>1832576.7</v>
      </c>
      <c r="K74" s="36">
        <v>1215502.5</v>
      </c>
      <c r="L74" s="36">
        <v>3098587.05</v>
      </c>
      <c r="M74" s="36">
        <v>1458291</v>
      </c>
      <c r="N74" s="36">
        <f t="shared" si="3"/>
        <v>18897350.25</v>
      </c>
    </row>
    <row r="75" spans="1:14">
      <c r="A75" s="33" t="s">
        <v>348</v>
      </c>
      <c r="B75" s="34" t="s">
        <v>349</v>
      </c>
      <c r="C75" s="34"/>
      <c r="D75" s="35" t="s">
        <v>183</v>
      </c>
      <c r="E75" s="36">
        <v>247600</v>
      </c>
      <c r="F75" s="36">
        <v>432552</v>
      </c>
      <c r="G75" s="36">
        <v>714436</v>
      </c>
      <c r="H75" s="36">
        <v>1215387.52</v>
      </c>
      <c r="I75" s="36">
        <v>711516.79999999993</v>
      </c>
      <c r="J75" s="36">
        <v>535107.19999999995</v>
      </c>
      <c r="K75" s="36">
        <v>513088</v>
      </c>
      <c r="L75" s="36">
        <v>1020544</v>
      </c>
      <c r="M75" s="36">
        <v>325194.40000000002</v>
      </c>
      <c r="N75" s="36">
        <f t="shared" si="3"/>
        <v>5715425.9199999999</v>
      </c>
    </row>
    <row r="76" spans="1:14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v>247600</v>
      </c>
      <c r="F76" s="36">
        <v>432552</v>
      </c>
      <c r="G76" s="36">
        <v>714436</v>
      </c>
      <c r="H76" s="36">
        <v>1215387.52</v>
      </c>
      <c r="I76" s="36">
        <v>711516.79999999993</v>
      </c>
      <c r="J76" s="36">
        <v>535107.19999999995</v>
      </c>
      <c r="K76" s="36">
        <v>513088</v>
      </c>
      <c r="L76" s="36">
        <v>1020544</v>
      </c>
      <c r="M76" s="36">
        <v>325194.40000000002</v>
      </c>
      <c r="N76" s="36">
        <f t="shared" si="3"/>
        <v>5715425.9199999999</v>
      </c>
    </row>
    <row r="77" spans="1:14">
      <c r="A77" s="33" t="s">
        <v>353</v>
      </c>
      <c r="B77" s="34" t="s">
        <v>354</v>
      </c>
      <c r="C77" s="34"/>
      <c r="D77" s="35" t="s">
        <v>183</v>
      </c>
      <c r="E77" s="36">
        <v>0</v>
      </c>
      <c r="F77" s="36">
        <v>0</v>
      </c>
      <c r="G77" s="36">
        <v>0</v>
      </c>
      <c r="H77" s="36">
        <v>0</v>
      </c>
      <c r="I77" s="36">
        <v>0</v>
      </c>
      <c r="J77" s="36">
        <v>0</v>
      </c>
      <c r="K77" s="36">
        <v>0</v>
      </c>
      <c r="L77" s="36">
        <v>0</v>
      </c>
      <c r="M77" s="36">
        <v>0</v>
      </c>
      <c r="N77" s="36">
        <f t="shared" si="3"/>
        <v>0</v>
      </c>
    </row>
    <row r="78" spans="1:14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>
        <v>0</v>
      </c>
      <c r="F78" s="46">
        <v>0</v>
      </c>
      <c r="G78" s="46">
        <v>0</v>
      </c>
      <c r="H78" s="46">
        <v>0</v>
      </c>
      <c r="I78" s="46">
        <v>0</v>
      </c>
      <c r="J78" s="46">
        <v>0</v>
      </c>
      <c r="K78" s="46">
        <v>0</v>
      </c>
      <c r="L78" s="46">
        <v>0</v>
      </c>
      <c r="M78" s="46">
        <v>0</v>
      </c>
      <c r="N78" s="36">
        <f t="shared" si="3"/>
        <v>0</v>
      </c>
    </row>
    <row r="79" spans="1:14">
      <c r="A79" s="33" t="s">
        <v>357</v>
      </c>
      <c r="B79" s="34" t="s">
        <v>358</v>
      </c>
      <c r="C79" s="34"/>
      <c r="D79" s="35" t="s">
        <v>183</v>
      </c>
      <c r="E79" s="36">
        <v>1058400</v>
      </c>
      <c r="F79" s="36">
        <v>1183680</v>
      </c>
      <c r="G79" s="36">
        <v>6415200</v>
      </c>
      <c r="H79" s="36">
        <v>3805920</v>
      </c>
      <c r="I79" s="36">
        <v>4069440</v>
      </c>
      <c r="J79" s="36">
        <v>2592000</v>
      </c>
      <c r="K79" s="36">
        <v>2583360</v>
      </c>
      <c r="L79" s="36">
        <v>4354560</v>
      </c>
      <c r="M79" s="36">
        <v>2617920</v>
      </c>
      <c r="N79" s="36">
        <f t="shared" si="3"/>
        <v>28680480</v>
      </c>
    </row>
    <row r="80" spans="1:14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v>1058400</v>
      </c>
      <c r="F80" s="36">
        <v>1183680</v>
      </c>
      <c r="G80" s="36">
        <v>6415200</v>
      </c>
      <c r="H80" s="36">
        <v>3805920</v>
      </c>
      <c r="I80" s="36">
        <v>4069440</v>
      </c>
      <c r="J80" s="36">
        <v>2592000</v>
      </c>
      <c r="K80" s="36">
        <v>2583360</v>
      </c>
      <c r="L80" s="36">
        <v>4354560</v>
      </c>
      <c r="M80" s="36">
        <v>2617920</v>
      </c>
      <c r="N80" s="36">
        <f t="shared" si="3"/>
        <v>28680480</v>
      </c>
    </row>
    <row r="81" spans="1:14">
      <c r="A81" s="33" t="s">
        <v>362</v>
      </c>
      <c r="B81" s="34" t="s">
        <v>363</v>
      </c>
      <c r="C81" s="34"/>
      <c r="D81" s="35" t="s">
        <v>183</v>
      </c>
      <c r="E81" s="36">
        <v>969448</v>
      </c>
      <c r="F81" s="36">
        <v>1034406.72</v>
      </c>
      <c r="G81" s="36">
        <v>5559264.96</v>
      </c>
      <c r="H81" s="36">
        <v>3249488.64</v>
      </c>
      <c r="I81" s="36">
        <v>3459046.56</v>
      </c>
      <c r="J81" s="36">
        <v>2209220.0000000005</v>
      </c>
      <c r="K81" s="36">
        <v>2273739.84</v>
      </c>
      <c r="L81" s="36">
        <v>3775636.8</v>
      </c>
      <c r="M81" s="36">
        <v>2347688</v>
      </c>
      <c r="N81" s="36">
        <f t="shared" si="3"/>
        <v>24877939.52</v>
      </c>
    </row>
    <row r="82" spans="1:14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v>969448</v>
      </c>
      <c r="F82" s="36">
        <v>1034406.72</v>
      </c>
      <c r="G82" s="36">
        <v>5559264.96</v>
      </c>
      <c r="H82" s="36">
        <v>3249488.64</v>
      </c>
      <c r="I82" s="36">
        <v>3459046.56</v>
      </c>
      <c r="J82" s="36">
        <v>2209220.0000000005</v>
      </c>
      <c r="K82" s="36">
        <v>2273739.84</v>
      </c>
      <c r="L82" s="36">
        <v>3775636.8</v>
      </c>
      <c r="M82" s="36">
        <v>2347688</v>
      </c>
      <c r="N82" s="36">
        <f t="shared" si="3"/>
        <v>24877939.52</v>
      </c>
    </row>
    <row r="83" spans="1:14">
      <c r="A83" s="33" t="s">
        <v>366</v>
      </c>
      <c r="B83" s="34" t="s">
        <v>367</v>
      </c>
      <c r="C83" s="34"/>
      <c r="D83" s="35" t="s">
        <v>183</v>
      </c>
      <c r="E83" s="36">
        <v>64000</v>
      </c>
      <c r="F83" s="36">
        <v>64000</v>
      </c>
      <c r="G83" s="36">
        <v>384000</v>
      </c>
      <c r="H83" s="36">
        <v>224000</v>
      </c>
      <c r="I83" s="36">
        <v>320000</v>
      </c>
      <c r="J83" s="36">
        <v>64000</v>
      </c>
      <c r="K83" s="36">
        <v>128000</v>
      </c>
      <c r="L83" s="36">
        <v>320000</v>
      </c>
      <c r="M83" s="36">
        <v>224000</v>
      </c>
      <c r="N83" s="36">
        <f t="shared" si="3"/>
        <v>1792000</v>
      </c>
    </row>
    <row r="84" spans="1:14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64000</v>
      </c>
      <c r="F84" s="37">
        <v>64000</v>
      </c>
      <c r="G84" s="37">
        <v>384000</v>
      </c>
      <c r="H84" s="37">
        <v>224000</v>
      </c>
      <c r="I84" s="37">
        <v>320000</v>
      </c>
      <c r="J84" s="37">
        <v>64000</v>
      </c>
      <c r="K84" s="37">
        <v>128000</v>
      </c>
      <c r="L84" s="37">
        <v>320000</v>
      </c>
      <c r="M84" s="37">
        <v>224000</v>
      </c>
      <c r="N84" s="36">
        <f t="shared" si="3"/>
        <v>1792000</v>
      </c>
    </row>
    <row r="85" spans="1:14">
      <c r="A85" s="33" t="s">
        <v>371</v>
      </c>
      <c r="B85" s="34" t="s">
        <v>372</v>
      </c>
      <c r="C85" s="34"/>
      <c r="D85" s="35" t="s">
        <v>183</v>
      </c>
      <c r="E85" s="36">
        <v>457840</v>
      </c>
      <c r="F85" s="36">
        <v>656080</v>
      </c>
      <c r="G85" s="36">
        <v>2312800</v>
      </c>
      <c r="H85" s="36">
        <v>1897440</v>
      </c>
      <c r="I85" s="36">
        <v>1836080</v>
      </c>
      <c r="J85" s="36">
        <v>958160</v>
      </c>
      <c r="K85" s="36">
        <v>1977280</v>
      </c>
      <c r="L85" s="36">
        <v>1519840</v>
      </c>
      <c r="M85" s="36">
        <v>1524560</v>
      </c>
      <c r="N85" s="36">
        <f t="shared" si="3"/>
        <v>13140080</v>
      </c>
    </row>
    <row r="86" spans="1:14">
      <c r="A86" s="33" t="s">
        <v>373</v>
      </c>
      <c r="B86" s="34" t="s">
        <v>374</v>
      </c>
      <c r="C86" s="34"/>
      <c r="D86" s="35" t="s">
        <v>183</v>
      </c>
      <c r="E86" s="36">
        <v>0</v>
      </c>
      <c r="F86" s="36">
        <v>0</v>
      </c>
      <c r="G86" s="36">
        <v>0</v>
      </c>
      <c r="H86" s="36">
        <v>0</v>
      </c>
      <c r="I86" s="36">
        <v>0</v>
      </c>
      <c r="J86" s="36">
        <v>0</v>
      </c>
      <c r="K86" s="36">
        <v>4320</v>
      </c>
      <c r="L86" s="36">
        <v>0</v>
      </c>
      <c r="M86" s="36">
        <v>0</v>
      </c>
      <c r="N86" s="36">
        <f t="shared" si="3"/>
        <v>4320</v>
      </c>
    </row>
    <row r="87" spans="1:14">
      <c r="A87" s="33" t="s">
        <v>375</v>
      </c>
      <c r="B87" s="34" t="s">
        <v>376</v>
      </c>
      <c r="C87" s="34" t="s">
        <v>189</v>
      </c>
      <c r="D87" s="47" t="s">
        <v>291</v>
      </c>
      <c r="E87" s="43">
        <v>0</v>
      </c>
      <c r="F87" s="43">
        <v>0</v>
      </c>
      <c r="G87" s="43">
        <v>0</v>
      </c>
      <c r="H87" s="43">
        <v>0</v>
      </c>
      <c r="I87" s="43">
        <v>0</v>
      </c>
      <c r="J87" s="43">
        <v>0</v>
      </c>
      <c r="K87" s="43">
        <v>0</v>
      </c>
      <c r="L87" s="43">
        <v>0</v>
      </c>
      <c r="M87" s="43">
        <v>0</v>
      </c>
      <c r="N87" s="36">
        <f t="shared" si="3"/>
        <v>0</v>
      </c>
    </row>
    <row r="88" spans="1:14">
      <c r="A88" s="33" t="s">
        <v>377</v>
      </c>
      <c r="B88" s="34" t="s">
        <v>378</v>
      </c>
      <c r="C88" s="34" t="s">
        <v>189</v>
      </c>
      <c r="D88" s="35" t="s">
        <v>379</v>
      </c>
      <c r="E88" s="43">
        <v>0</v>
      </c>
      <c r="F88" s="43">
        <v>0</v>
      </c>
      <c r="G88" s="43">
        <v>0</v>
      </c>
      <c r="H88" s="43">
        <v>0</v>
      </c>
      <c r="I88" s="43">
        <v>0</v>
      </c>
      <c r="J88" s="43">
        <v>0</v>
      </c>
      <c r="K88" s="43">
        <v>4320</v>
      </c>
      <c r="L88" s="43">
        <v>0</v>
      </c>
      <c r="M88" s="43">
        <v>0</v>
      </c>
      <c r="N88" s="36">
        <f t="shared" si="3"/>
        <v>4320</v>
      </c>
    </row>
    <row r="89" spans="1:14">
      <c r="A89" s="33" t="s">
        <v>380</v>
      </c>
      <c r="B89" s="34" t="s">
        <v>381</v>
      </c>
      <c r="C89" s="34"/>
      <c r="D89" s="35" t="s">
        <v>183</v>
      </c>
      <c r="E89" s="36">
        <v>457840</v>
      </c>
      <c r="F89" s="36">
        <v>656080</v>
      </c>
      <c r="G89" s="36">
        <v>2312800</v>
      </c>
      <c r="H89" s="36">
        <v>1897440</v>
      </c>
      <c r="I89" s="36">
        <v>1836080</v>
      </c>
      <c r="J89" s="36">
        <v>958160</v>
      </c>
      <c r="K89" s="36">
        <v>1972960</v>
      </c>
      <c r="L89" s="36">
        <v>1519840</v>
      </c>
      <c r="M89" s="36">
        <v>1524560</v>
      </c>
      <c r="N89" s="36">
        <f t="shared" si="3"/>
        <v>13135760</v>
      </c>
    </row>
    <row r="90" spans="1:14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v>38800</v>
      </c>
      <c r="F90" s="36">
        <v>55600</v>
      </c>
      <c r="G90" s="36">
        <v>196000</v>
      </c>
      <c r="H90" s="36">
        <v>160800</v>
      </c>
      <c r="I90" s="36">
        <v>155600</v>
      </c>
      <c r="J90" s="36">
        <v>81200</v>
      </c>
      <c r="K90" s="36">
        <v>167200</v>
      </c>
      <c r="L90" s="36">
        <v>128800</v>
      </c>
      <c r="M90" s="36">
        <v>129200</v>
      </c>
      <c r="N90" s="36">
        <f t="shared" si="3"/>
        <v>1113200</v>
      </c>
    </row>
    <row r="91" spans="1:14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v>419040</v>
      </c>
      <c r="F91" s="36">
        <v>600480</v>
      </c>
      <c r="G91" s="36">
        <v>2116800</v>
      </c>
      <c r="H91" s="36">
        <v>1736640</v>
      </c>
      <c r="I91" s="36">
        <v>1680480</v>
      </c>
      <c r="J91" s="36">
        <v>876960</v>
      </c>
      <c r="K91" s="36">
        <v>1805760</v>
      </c>
      <c r="L91" s="36">
        <v>1391040</v>
      </c>
      <c r="M91" s="36">
        <v>1395360</v>
      </c>
      <c r="N91" s="36">
        <f t="shared" si="3"/>
        <v>12022560</v>
      </c>
    </row>
    <row r="92" spans="1:14">
      <c r="A92" s="33" t="s">
        <v>388</v>
      </c>
      <c r="B92" s="34" t="s">
        <v>389</v>
      </c>
      <c r="C92" s="34" t="s">
        <v>189</v>
      </c>
      <c r="D92" s="47" t="s">
        <v>291</v>
      </c>
      <c r="E92" s="49">
        <v>0</v>
      </c>
      <c r="F92" s="49">
        <v>0</v>
      </c>
      <c r="G92" s="49">
        <v>0</v>
      </c>
      <c r="H92" s="49">
        <v>0</v>
      </c>
      <c r="I92" s="49">
        <v>0</v>
      </c>
      <c r="J92" s="49">
        <v>0</v>
      </c>
      <c r="K92" s="49">
        <v>0</v>
      </c>
      <c r="L92" s="49">
        <v>0</v>
      </c>
      <c r="M92" s="49">
        <v>0</v>
      </c>
      <c r="N92" s="36">
        <f t="shared" si="3"/>
        <v>0</v>
      </c>
    </row>
    <row r="93" spans="1:14">
      <c r="A93" s="33" t="s">
        <v>390</v>
      </c>
      <c r="B93" s="34" t="s">
        <v>391</v>
      </c>
      <c r="C93" s="34"/>
      <c r="D93" s="35" t="s">
        <v>183</v>
      </c>
      <c r="E93" s="36">
        <v>101000</v>
      </c>
      <c r="F93" s="36">
        <v>160000</v>
      </c>
      <c r="G93" s="36">
        <v>200000</v>
      </c>
      <c r="H93" s="36">
        <v>340000</v>
      </c>
      <c r="I93" s="36">
        <v>313000</v>
      </c>
      <c r="J93" s="36">
        <v>352000</v>
      </c>
      <c r="K93" s="36">
        <v>160000</v>
      </c>
      <c r="L93" s="36">
        <v>185000</v>
      </c>
      <c r="M93" s="36">
        <v>106000</v>
      </c>
      <c r="N93" s="36">
        <f t="shared" si="3"/>
        <v>1917000</v>
      </c>
    </row>
    <row r="94" spans="1:14" ht="57" thickBot="1">
      <c r="A94" s="33" t="s">
        <v>392</v>
      </c>
      <c r="B94" s="50" t="s">
        <v>393</v>
      </c>
      <c r="C94" s="34" t="s">
        <v>189</v>
      </c>
      <c r="D94" s="51" t="s">
        <v>394</v>
      </c>
      <c r="E94" s="52">
        <v>101000</v>
      </c>
      <c r="F94" s="52">
        <v>160000</v>
      </c>
      <c r="G94" s="52">
        <v>200000</v>
      </c>
      <c r="H94" s="52">
        <v>340000</v>
      </c>
      <c r="I94" s="52">
        <v>313000</v>
      </c>
      <c r="J94" s="52">
        <v>352000</v>
      </c>
      <c r="K94" s="52">
        <v>160000</v>
      </c>
      <c r="L94" s="52">
        <v>185000</v>
      </c>
      <c r="M94" s="52">
        <v>106000</v>
      </c>
      <c r="N94" s="36">
        <f t="shared" si="3"/>
        <v>1917000</v>
      </c>
    </row>
    <row r="95" spans="1:14" ht="23.25" customHeight="1" thickTop="1">
      <c r="A95" s="33" t="s">
        <v>395</v>
      </c>
      <c r="B95" s="53" t="s">
        <v>396</v>
      </c>
      <c r="C95" s="53"/>
      <c r="D95" s="54"/>
      <c r="E95" s="55">
        <v>0</v>
      </c>
      <c r="F95" s="55">
        <v>0</v>
      </c>
      <c r="G95" s="55">
        <v>0</v>
      </c>
      <c r="H95" s="55">
        <v>0</v>
      </c>
      <c r="I95" s="55">
        <v>0</v>
      </c>
      <c r="J95" s="55">
        <v>0</v>
      </c>
      <c r="K95" s="55">
        <v>0</v>
      </c>
      <c r="L95" s="55">
        <v>0</v>
      </c>
      <c r="M95" s="55">
        <v>0</v>
      </c>
      <c r="N95" s="36">
        <f t="shared" si="3"/>
        <v>0</v>
      </c>
    </row>
    <row r="96" spans="1:14" ht="22.5">
      <c r="A96" s="33" t="s">
        <v>397</v>
      </c>
      <c r="B96" s="34" t="s">
        <v>398</v>
      </c>
      <c r="C96" s="34"/>
      <c r="D96" s="35" t="s">
        <v>399</v>
      </c>
      <c r="E96" s="36">
        <v>245</v>
      </c>
      <c r="F96" s="36">
        <v>274</v>
      </c>
      <c r="G96" s="36">
        <v>1485</v>
      </c>
      <c r="H96" s="36">
        <v>881</v>
      </c>
      <c r="I96" s="36">
        <v>942</v>
      </c>
      <c r="J96" s="36">
        <v>600</v>
      </c>
      <c r="K96" s="36">
        <v>598</v>
      </c>
      <c r="L96" s="36">
        <v>1008</v>
      </c>
      <c r="M96" s="36">
        <v>606</v>
      </c>
      <c r="N96" s="36">
        <f t="shared" si="3"/>
        <v>6639</v>
      </c>
    </row>
    <row r="97" spans="1:14">
      <c r="A97" s="33" t="s">
        <v>400</v>
      </c>
      <c r="B97" s="56" t="s">
        <v>401</v>
      </c>
      <c r="C97" s="56"/>
      <c r="D97" s="42"/>
      <c r="E97" s="43">
        <v>60</v>
      </c>
      <c r="F97" s="43">
        <v>83</v>
      </c>
      <c r="G97" s="43">
        <v>514</v>
      </c>
      <c r="H97" s="43">
        <v>243</v>
      </c>
      <c r="I97" s="43">
        <v>269</v>
      </c>
      <c r="J97" s="43">
        <v>165</v>
      </c>
      <c r="K97" s="43">
        <v>215</v>
      </c>
      <c r="L97" s="43">
        <v>299</v>
      </c>
      <c r="M97" s="43">
        <v>207</v>
      </c>
      <c r="N97" s="36">
        <f t="shared" si="3"/>
        <v>2055</v>
      </c>
    </row>
    <row r="98" spans="1:14">
      <c r="A98" s="33" t="s">
        <v>402</v>
      </c>
      <c r="B98" s="56" t="s">
        <v>403</v>
      </c>
      <c r="C98" s="56"/>
      <c r="D98" s="35"/>
      <c r="E98" s="37">
        <v>69</v>
      </c>
      <c r="F98" s="37">
        <v>90</v>
      </c>
      <c r="G98" s="37">
        <v>638</v>
      </c>
      <c r="H98" s="37">
        <v>342</v>
      </c>
      <c r="I98" s="37">
        <v>363</v>
      </c>
      <c r="J98" s="37">
        <v>254</v>
      </c>
      <c r="K98" s="37">
        <v>206</v>
      </c>
      <c r="L98" s="37">
        <v>487</v>
      </c>
      <c r="M98" s="37">
        <v>211</v>
      </c>
      <c r="N98" s="36">
        <f t="shared" si="3"/>
        <v>2660</v>
      </c>
    </row>
    <row r="99" spans="1:14">
      <c r="A99" s="33" t="s">
        <v>404</v>
      </c>
      <c r="B99" s="56" t="s">
        <v>405</v>
      </c>
      <c r="C99" s="56"/>
      <c r="D99" s="42"/>
      <c r="E99" s="43">
        <v>110</v>
      </c>
      <c r="F99" s="43">
        <v>97</v>
      </c>
      <c r="G99" s="43">
        <v>326</v>
      </c>
      <c r="H99" s="43">
        <v>290</v>
      </c>
      <c r="I99" s="43">
        <v>306</v>
      </c>
      <c r="J99" s="43">
        <v>172</v>
      </c>
      <c r="K99" s="43">
        <v>170</v>
      </c>
      <c r="L99" s="43">
        <v>217</v>
      </c>
      <c r="M99" s="43">
        <v>187</v>
      </c>
      <c r="N99" s="36">
        <f t="shared" ref="N99:N109" si="4">SUM(E99:M99)</f>
        <v>1875</v>
      </c>
    </row>
    <row r="100" spans="1:14">
      <c r="A100" s="33" t="s">
        <v>406</v>
      </c>
      <c r="B100" s="56" t="s">
        <v>407</v>
      </c>
      <c r="C100" s="56"/>
      <c r="D100" s="42"/>
      <c r="E100" s="43">
        <v>6</v>
      </c>
      <c r="F100" s="43">
        <v>4</v>
      </c>
      <c r="G100" s="43">
        <v>7</v>
      </c>
      <c r="H100" s="43">
        <v>6</v>
      </c>
      <c r="I100" s="43">
        <v>4</v>
      </c>
      <c r="J100" s="43">
        <v>9</v>
      </c>
      <c r="K100" s="43">
        <v>7</v>
      </c>
      <c r="L100" s="43">
        <v>5</v>
      </c>
      <c r="M100" s="43">
        <v>1</v>
      </c>
      <c r="N100" s="36">
        <f t="shared" si="4"/>
        <v>49</v>
      </c>
    </row>
    <row r="101" spans="1:14" ht="33.75">
      <c r="A101" s="33" t="s">
        <v>408</v>
      </c>
      <c r="B101" s="34" t="s">
        <v>409</v>
      </c>
      <c r="C101" s="34"/>
      <c r="D101" s="35" t="s">
        <v>410</v>
      </c>
      <c r="E101" s="36">
        <v>2643</v>
      </c>
      <c r="F101" s="36">
        <v>2683</v>
      </c>
      <c r="G101" s="36">
        <v>20084</v>
      </c>
      <c r="H101" s="36">
        <v>11206</v>
      </c>
      <c r="I101" s="36">
        <v>10251</v>
      </c>
      <c r="J101" s="36">
        <v>7221</v>
      </c>
      <c r="K101" s="36">
        <v>6836</v>
      </c>
      <c r="L101" s="36">
        <v>12213</v>
      </c>
      <c r="M101" s="36">
        <v>6231</v>
      </c>
      <c r="N101" s="36">
        <f t="shared" si="4"/>
        <v>79368</v>
      </c>
    </row>
    <row r="102" spans="1:14">
      <c r="A102" s="33" t="s">
        <v>411</v>
      </c>
      <c r="B102" s="56" t="s">
        <v>401</v>
      </c>
      <c r="C102" s="56"/>
      <c r="D102" s="42"/>
      <c r="E102" s="43">
        <v>537</v>
      </c>
      <c r="F102" s="43">
        <v>667</v>
      </c>
      <c r="G102" s="43">
        <v>5601</v>
      </c>
      <c r="H102" s="43">
        <v>2453</v>
      </c>
      <c r="I102" s="43">
        <v>2635</v>
      </c>
      <c r="J102" s="43">
        <v>1465</v>
      </c>
      <c r="K102" s="43">
        <v>2206</v>
      </c>
      <c r="L102" s="43">
        <v>2986</v>
      </c>
      <c r="M102" s="43">
        <v>1487</v>
      </c>
      <c r="N102" s="36">
        <f t="shared" si="4"/>
        <v>20037</v>
      </c>
    </row>
    <row r="103" spans="1:14">
      <c r="A103" s="33" t="s">
        <v>412</v>
      </c>
      <c r="B103" s="56" t="s">
        <v>403</v>
      </c>
      <c r="C103" s="56"/>
      <c r="D103" s="35"/>
      <c r="E103" s="37">
        <v>744</v>
      </c>
      <c r="F103" s="37">
        <v>1020</v>
      </c>
      <c r="G103" s="37">
        <v>10150</v>
      </c>
      <c r="H103" s="37">
        <v>4890</v>
      </c>
      <c r="I103" s="37">
        <v>3811</v>
      </c>
      <c r="J103" s="37">
        <v>3303</v>
      </c>
      <c r="K103" s="37">
        <v>2784</v>
      </c>
      <c r="L103" s="37">
        <v>6424</v>
      </c>
      <c r="M103" s="37">
        <v>2814</v>
      </c>
      <c r="N103" s="36">
        <f t="shared" si="4"/>
        <v>35940</v>
      </c>
    </row>
    <row r="104" spans="1:14">
      <c r="A104" s="33" t="s">
        <v>413</v>
      </c>
      <c r="B104" s="56" t="s">
        <v>405</v>
      </c>
      <c r="C104" s="56"/>
      <c r="D104" s="42"/>
      <c r="E104" s="43">
        <v>1362</v>
      </c>
      <c r="F104" s="43">
        <v>996</v>
      </c>
      <c r="G104" s="43">
        <v>4260</v>
      </c>
      <c r="H104" s="43">
        <v>3863</v>
      </c>
      <c r="I104" s="43">
        <v>3805</v>
      </c>
      <c r="J104" s="43">
        <v>2453</v>
      </c>
      <c r="K104" s="43">
        <v>1846</v>
      </c>
      <c r="L104" s="43">
        <v>2803</v>
      </c>
      <c r="M104" s="43">
        <v>1930</v>
      </c>
      <c r="N104" s="36">
        <f t="shared" si="4"/>
        <v>23318</v>
      </c>
    </row>
    <row r="105" spans="1:14">
      <c r="A105" s="33" t="s">
        <v>414</v>
      </c>
      <c r="B105" s="56" t="s">
        <v>407</v>
      </c>
      <c r="C105" s="56"/>
      <c r="D105" s="42"/>
      <c r="E105" s="43">
        <v>0</v>
      </c>
      <c r="F105" s="43">
        <v>0</v>
      </c>
      <c r="G105" s="43">
        <v>73</v>
      </c>
      <c r="H105" s="43">
        <v>0</v>
      </c>
      <c r="I105" s="43">
        <v>0</v>
      </c>
      <c r="J105" s="43">
        <v>0</v>
      </c>
      <c r="K105" s="43">
        <v>0</v>
      </c>
      <c r="L105" s="43">
        <v>0</v>
      </c>
      <c r="M105" s="43">
        <v>0</v>
      </c>
      <c r="N105" s="36">
        <f t="shared" si="4"/>
        <v>73</v>
      </c>
    </row>
    <row r="106" spans="1:14">
      <c r="A106" s="33" t="s">
        <v>415</v>
      </c>
      <c r="B106" s="34" t="s">
        <v>416</v>
      </c>
      <c r="C106" s="34"/>
      <c r="D106" s="47"/>
      <c r="E106" s="57">
        <v>0</v>
      </c>
      <c r="F106" s="57">
        <v>0</v>
      </c>
      <c r="G106" s="57">
        <v>0</v>
      </c>
      <c r="H106" s="57">
        <v>0</v>
      </c>
      <c r="I106" s="57">
        <v>0</v>
      </c>
      <c r="J106" s="57">
        <v>0</v>
      </c>
      <c r="K106" s="57">
        <v>1</v>
      </c>
      <c r="L106" s="57">
        <v>0</v>
      </c>
      <c r="M106" s="57">
        <v>0</v>
      </c>
      <c r="N106" s="36">
        <f t="shared" si="4"/>
        <v>1</v>
      </c>
    </row>
    <row r="107" spans="1:14">
      <c r="A107" s="33" t="s">
        <v>417</v>
      </c>
      <c r="B107" s="34" t="s">
        <v>418</v>
      </c>
      <c r="C107" s="34"/>
      <c r="D107" s="35"/>
      <c r="E107" s="37">
        <v>97</v>
      </c>
      <c r="F107" s="37">
        <v>139</v>
      </c>
      <c r="G107" s="37">
        <v>490</v>
      </c>
      <c r="H107" s="37">
        <v>402</v>
      </c>
      <c r="I107" s="37">
        <v>389</v>
      </c>
      <c r="J107" s="37">
        <v>203</v>
      </c>
      <c r="K107" s="37">
        <v>418</v>
      </c>
      <c r="L107" s="37">
        <v>322</v>
      </c>
      <c r="M107" s="37">
        <v>323</v>
      </c>
      <c r="N107" s="36">
        <f t="shared" si="4"/>
        <v>2783</v>
      </c>
    </row>
    <row r="108" spans="1:14">
      <c r="A108" s="33" t="s">
        <v>419</v>
      </c>
      <c r="B108" s="56" t="s">
        <v>420</v>
      </c>
      <c r="C108" s="56"/>
      <c r="D108" s="47"/>
      <c r="E108" s="37">
        <v>53439.770000000004</v>
      </c>
      <c r="F108" s="37">
        <v>85997.88</v>
      </c>
      <c r="G108" s="37">
        <v>183455.77000000002</v>
      </c>
      <c r="H108" s="37">
        <v>257867.36</v>
      </c>
      <c r="I108" s="37">
        <v>172065.41999999998</v>
      </c>
      <c r="J108" s="37">
        <v>122171.77999999998</v>
      </c>
      <c r="K108" s="37">
        <v>81033.5</v>
      </c>
      <c r="L108" s="37">
        <v>206572.47000000003</v>
      </c>
      <c r="M108" s="37">
        <v>97219.4</v>
      </c>
      <c r="N108" s="36">
        <f t="shared" si="4"/>
        <v>1259823.3499999999</v>
      </c>
    </row>
    <row r="109" spans="1:14">
      <c r="A109" s="33" t="s">
        <v>421</v>
      </c>
      <c r="B109" s="56" t="s">
        <v>422</v>
      </c>
      <c r="C109" s="56"/>
      <c r="D109" s="47"/>
      <c r="E109" s="37">
        <v>30950</v>
      </c>
      <c r="F109" s="37">
        <v>54069</v>
      </c>
      <c r="G109" s="37">
        <v>89304.5</v>
      </c>
      <c r="H109" s="37">
        <v>151923.44</v>
      </c>
      <c r="I109" s="37">
        <v>88939.599999999991</v>
      </c>
      <c r="J109" s="37">
        <v>66888.399999999994</v>
      </c>
      <c r="K109" s="37">
        <v>64136</v>
      </c>
      <c r="L109" s="37">
        <v>127568</v>
      </c>
      <c r="M109" s="37">
        <v>40649.300000000003</v>
      </c>
      <c r="N109" s="36">
        <f t="shared" si="4"/>
        <v>714428.24</v>
      </c>
    </row>
    <row r="110" spans="1:14">
      <c r="E110" s="30">
        <f>(E5+E8+E17)/E96</f>
        <v>206425.57142857142</v>
      </c>
      <c r="F110" s="30">
        <f t="shared" ref="F110:N110" si="5">(F5+F8+F17)/F96</f>
        <v>202348.66058394162</v>
      </c>
      <c r="G110" s="30">
        <f t="shared" si="5"/>
        <v>205376.89561616164</v>
      </c>
      <c r="H110" s="30">
        <f t="shared" si="5"/>
        <v>200442.29205448355</v>
      </c>
      <c r="I110" s="30">
        <f t="shared" si="5"/>
        <v>202683.77494692145</v>
      </c>
      <c r="J110" s="30">
        <f t="shared" si="5"/>
        <v>201932.23</v>
      </c>
      <c r="K110" s="30">
        <f t="shared" si="5"/>
        <v>206000.22073578596</v>
      </c>
      <c r="L110" s="30">
        <f t="shared" si="5"/>
        <v>202644.16567460317</v>
      </c>
      <c r="M110" s="30">
        <f t="shared" si="5"/>
        <v>205311.23267326734</v>
      </c>
      <c r="N110" s="30">
        <f t="shared" si="5"/>
        <v>203577.59591655369</v>
      </c>
    </row>
    <row r="111" spans="1:14">
      <c r="E111" s="30">
        <f>(E4+E31)/E96</f>
        <v>310273.53061224491</v>
      </c>
      <c r="F111" s="30">
        <f t="shared" ref="F111:N111" si="6">(F4+F31)/F96</f>
        <v>301765.1919708029</v>
      </c>
      <c r="G111" s="30">
        <f t="shared" si="6"/>
        <v>304012.23164309765</v>
      </c>
      <c r="H111" s="30">
        <f t="shared" si="6"/>
        <v>297793.75085130532</v>
      </c>
      <c r="I111" s="30">
        <f t="shared" si="6"/>
        <v>299705.39596602973</v>
      </c>
      <c r="J111" s="30">
        <f t="shared" si="6"/>
        <v>299112.70500000002</v>
      </c>
      <c r="K111" s="30">
        <f t="shared" si="6"/>
        <v>306204.16588628758</v>
      </c>
      <c r="L111" s="30">
        <f t="shared" si="6"/>
        <v>301322.94940476189</v>
      </c>
      <c r="M111" s="30">
        <f t="shared" si="6"/>
        <v>307044.25247524754</v>
      </c>
      <c r="N111" s="30">
        <f t="shared" si="6"/>
        <v>302337.3525064016</v>
      </c>
    </row>
  </sheetData>
  <protectedRanges>
    <protectedRange password="E9C1" sqref="B31:D109 A4:D12 B13:D28 A13:A109 N4:N109 A2:N3" name="区域1_1"/>
    <protectedRange password="E9C1" sqref="B29:C30" name="区域1_1_1"/>
    <protectedRange password="E9C1" sqref="D29" name="区域1"/>
    <protectedRange password="E9C1" sqref="D30" name="区域1_2"/>
  </protectedRanges>
  <mergeCells count="1">
    <mergeCell ref="A1:N1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9"/>
  <sheetViews>
    <sheetView topLeftCell="M1" workbookViewId="0">
      <selection activeCell="W3" sqref="W3:W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23" ht="25.5">
      <c r="A1" s="219" t="s">
        <v>177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</row>
    <row r="2" spans="1:23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142" t="s">
        <v>450</v>
      </c>
      <c r="F2" s="142" t="s">
        <v>174</v>
      </c>
      <c r="G2" s="142" t="s">
        <v>451</v>
      </c>
      <c r="H2" s="142" t="s">
        <v>452</v>
      </c>
      <c r="I2" s="142" t="s">
        <v>453</v>
      </c>
      <c r="J2" s="142" t="s">
        <v>173</v>
      </c>
      <c r="K2" s="142" t="s">
        <v>454</v>
      </c>
      <c r="L2" s="142" t="s">
        <v>172</v>
      </c>
      <c r="M2" s="142" t="s">
        <v>455</v>
      </c>
      <c r="N2" s="142" t="s">
        <v>171</v>
      </c>
      <c r="O2" s="142" t="s">
        <v>170</v>
      </c>
      <c r="P2" s="142" t="s">
        <v>456</v>
      </c>
      <c r="Q2" s="142" t="s">
        <v>457</v>
      </c>
      <c r="R2" s="142" t="s">
        <v>458</v>
      </c>
      <c r="S2" s="142" t="s">
        <v>459</v>
      </c>
      <c r="T2" s="142" t="s">
        <v>460</v>
      </c>
      <c r="U2" s="142" t="s">
        <v>461</v>
      </c>
      <c r="V2" s="142" t="s">
        <v>462</v>
      </c>
      <c r="W2" s="32" t="s">
        <v>25</v>
      </c>
    </row>
    <row r="3" spans="1:23">
      <c r="A3" s="33" t="s">
        <v>181</v>
      </c>
      <c r="B3" s="34" t="s">
        <v>182</v>
      </c>
      <c r="C3" s="34"/>
      <c r="D3" s="35" t="s">
        <v>183</v>
      </c>
      <c r="E3" s="36">
        <f>E4+E31+E52</f>
        <v>24051930.649999999</v>
      </c>
      <c r="F3" s="36">
        <f t="shared" ref="F3:V3" si="0">F4+F31+F52</f>
        <v>24152256.800000001</v>
      </c>
      <c r="G3" s="36">
        <f t="shared" si="0"/>
        <v>24716410.760000002</v>
      </c>
      <c r="H3" s="36">
        <f t="shared" si="0"/>
        <v>22867719.199999999</v>
      </c>
      <c r="I3" s="36">
        <f t="shared" si="0"/>
        <v>7672935.6500000004</v>
      </c>
      <c r="J3" s="36">
        <f t="shared" si="0"/>
        <v>27869412.350000001</v>
      </c>
      <c r="K3" s="36">
        <f t="shared" si="0"/>
        <v>29888622</v>
      </c>
      <c r="L3" s="36">
        <f t="shared" si="0"/>
        <v>23376685.449999999</v>
      </c>
      <c r="M3" s="36">
        <f t="shared" si="0"/>
        <v>40402962.799999997</v>
      </c>
      <c r="N3" s="36">
        <f t="shared" si="0"/>
        <v>19431736.300000001</v>
      </c>
      <c r="O3" s="36">
        <f t="shared" si="0"/>
        <v>15581362.550000001</v>
      </c>
      <c r="P3" s="36">
        <f t="shared" si="0"/>
        <v>19921942.079999998</v>
      </c>
      <c r="Q3" s="36">
        <f t="shared" si="0"/>
        <v>8033131.2999999998</v>
      </c>
      <c r="R3" s="36">
        <f t="shared" si="0"/>
        <v>16663664.02</v>
      </c>
      <c r="S3" s="36">
        <f t="shared" si="0"/>
        <v>7508751.8499999996</v>
      </c>
      <c r="T3" s="37">
        <f t="shared" si="0"/>
        <v>11476101.9</v>
      </c>
      <c r="U3" s="37">
        <f t="shared" si="0"/>
        <v>2940143.2</v>
      </c>
      <c r="V3" s="36">
        <f t="shared" si="0"/>
        <v>1360378.8</v>
      </c>
      <c r="W3" s="36">
        <f>SUM(E3:V3)</f>
        <v>327916147.66000003</v>
      </c>
    </row>
    <row r="4" spans="1:23">
      <c r="A4" s="33" t="s">
        <v>184</v>
      </c>
      <c r="B4" s="34" t="s">
        <v>128</v>
      </c>
      <c r="C4" s="34"/>
      <c r="D4" s="35" t="s">
        <v>183</v>
      </c>
      <c r="E4" s="36">
        <f t="shared" ref="E4:V4" si="1">E5+E8+E13+E17+E20+E22+E25+E27+E29+E30</f>
        <v>21192847</v>
      </c>
      <c r="F4" s="36">
        <f t="shared" si="1"/>
        <v>21272815</v>
      </c>
      <c r="G4" s="36">
        <f t="shared" si="1"/>
        <v>22065142.800000001</v>
      </c>
      <c r="H4" s="36">
        <f t="shared" si="1"/>
        <v>19613484</v>
      </c>
      <c r="I4" s="36">
        <f t="shared" si="1"/>
        <v>5556438</v>
      </c>
      <c r="J4" s="36">
        <f t="shared" si="1"/>
        <v>23296089</v>
      </c>
      <c r="K4" s="36">
        <f t="shared" si="1"/>
        <v>27008894</v>
      </c>
      <c r="L4" s="36">
        <f t="shared" si="1"/>
        <v>20263201</v>
      </c>
      <c r="M4" s="36">
        <f t="shared" si="1"/>
        <v>34687323</v>
      </c>
      <c r="N4" s="36">
        <f t="shared" si="1"/>
        <v>16615948</v>
      </c>
      <c r="O4" s="36">
        <f t="shared" si="1"/>
        <v>13596410</v>
      </c>
      <c r="P4" s="36">
        <f t="shared" si="1"/>
        <v>16726740</v>
      </c>
      <c r="Q4" s="36">
        <f t="shared" si="1"/>
        <v>6890128</v>
      </c>
      <c r="R4" s="36">
        <f t="shared" si="1"/>
        <v>14217252</v>
      </c>
      <c r="S4" s="36">
        <f t="shared" si="1"/>
        <v>6377882</v>
      </c>
      <c r="T4" s="37">
        <f t="shared" si="1"/>
        <v>9646958</v>
      </c>
      <c r="U4" s="37">
        <f t="shared" si="1"/>
        <v>1953682</v>
      </c>
      <c r="V4" s="36">
        <f t="shared" si="1"/>
        <v>1142438</v>
      </c>
      <c r="W4" s="36">
        <f t="shared" ref="W4:W67" si="2">SUM(E4:V4)</f>
        <v>282123671.80000001</v>
      </c>
    </row>
    <row r="5" spans="1:23">
      <c r="A5" s="33" t="s">
        <v>185</v>
      </c>
      <c r="B5" s="34" t="s">
        <v>186</v>
      </c>
      <c r="C5" s="34"/>
      <c r="D5" s="35" t="s">
        <v>183</v>
      </c>
      <c r="E5" s="36">
        <f>E6+E7</f>
        <v>3169152</v>
      </c>
      <c r="F5" s="36">
        <f t="shared" ref="F5:V5" si="3">F6+F7</f>
        <v>3002028</v>
      </c>
      <c r="G5" s="36">
        <f t="shared" si="3"/>
        <v>3190824</v>
      </c>
      <c r="H5" s="36">
        <f t="shared" si="3"/>
        <v>2521608</v>
      </c>
      <c r="I5" s="36">
        <f t="shared" si="3"/>
        <v>739128</v>
      </c>
      <c r="J5" s="36">
        <f t="shared" si="3"/>
        <v>3295764</v>
      </c>
      <c r="K5" s="36">
        <f t="shared" si="3"/>
        <v>4128732</v>
      </c>
      <c r="L5" s="36">
        <f t="shared" si="3"/>
        <v>2652696</v>
      </c>
      <c r="M5" s="36">
        <f t="shared" si="3"/>
        <v>4275672</v>
      </c>
      <c r="N5" s="36">
        <f t="shared" si="3"/>
        <v>2266260</v>
      </c>
      <c r="O5" s="36">
        <f t="shared" si="3"/>
        <v>1865520</v>
      </c>
      <c r="P5" s="36">
        <f t="shared" si="3"/>
        <v>2223960</v>
      </c>
      <c r="Q5" s="36">
        <f t="shared" si="3"/>
        <v>805056</v>
      </c>
      <c r="R5" s="36">
        <f t="shared" si="3"/>
        <v>1749156</v>
      </c>
      <c r="S5" s="36">
        <f t="shared" si="3"/>
        <v>792864</v>
      </c>
      <c r="T5" s="37">
        <f t="shared" si="3"/>
        <v>1266804</v>
      </c>
      <c r="U5" s="37">
        <f t="shared" si="3"/>
        <v>253188</v>
      </c>
      <c r="V5" s="36">
        <f t="shared" si="3"/>
        <v>153852</v>
      </c>
      <c r="W5" s="36">
        <f t="shared" si="2"/>
        <v>38352264</v>
      </c>
    </row>
    <row r="6" spans="1:23">
      <c r="A6" s="33" t="s">
        <v>187</v>
      </c>
      <c r="B6" s="34" t="s">
        <v>188</v>
      </c>
      <c r="C6" s="34" t="s">
        <v>189</v>
      </c>
      <c r="D6" s="35" t="s">
        <v>190</v>
      </c>
      <c r="E6" s="37">
        <v>1780548</v>
      </c>
      <c r="F6" s="37">
        <v>1740288</v>
      </c>
      <c r="G6" s="37">
        <v>1840272</v>
      </c>
      <c r="H6" s="37">
        <v>1632912</v>
      </c>
      <c r="I6" s="37">
        <v>478740</v>
      </c>
      <c r="J6" s="37">
        <v>1823340</v>
      </c>
      <c r="K6" s="37">
        <v>2122296</v>
      </c>
      <c r="L6" s="37">
        <v>1605312</v>
      </c>
      <c r="M6" s="37">
        <v>2739768</v>
      </c>
      <c r="N6" s="37">
        <v>1389072</v>
      </c>
      <c r="O6" s="37">
        <v>1103028</v>
      </c>
      <c r="P6" s="37">
        <v>1432848</v>
      </c>
      <c r="Q6" s="37">
        <v>536448</v>
      </c>
      <c r="R6" s="37">
        <v>1158696</v>
      </c>
      <c r="S6" s="37">
        <v>525492</v>
      </c>
      <c r="T6" s="37">
        <v>814944</v>
      </c>
      <c r="U6" s="37">
        <v>157884</v>
      </c>
      <c r="V6" s="37">
        <v>102300</v>
      </c>
      <c r="W6" s="36">
        <f t="shared" si="2"/>
        <v>22984188</v>
      </c>
    </row>
    <row r="7" spans="1:23">
      <c r="A7" s="33" t="s">
        <v>191</v>
      </c>
      <c r="B7" s="34" t="s">
        <v>192</v>
      </c>
      <c r="C7" s="34" t="s">
        <v>189</v>
      </c>
      <c r="D7" s="35" t="s">
        <v>190</v>
      </c>
      <c r="E7" s="37">
        <v>1388604</v>
      </c>
      <c r="F7" s="37">
        <v>1261740</v>
      </c>
      <c r="G7" s="37">
        <v>1350552</v>
      </c>
      <c r="H7" s="37">
        <v>888696</v>
      </c>
      <c r="I7" s="37">
        <v>260388</v>
      </c>
      <c r="J7" s="37">
        <v>1472424</v>
      </c>
      <c r="K7" s="37">
        <v>2006436</v>
      </c>
      <c r="L7" s="37">
        <v>1047384</v>
      </c>
      <c r="M7" s="37">
        <v>1535904</v>
      </c>
      <c r="N7" s="37">
        <v>877188</v>
      </c>
      <c r="O7" s="37">
        <v>762492</v>
      </c>
      <c r="P7" s="37">
        <v>791112</v>
      </c>
      <c r="Q7" s="37">
        <v>268608</v>
      </c>
      <c r="R7" s="37">
        <v>590460</v>
      </c>
      <c r="S7" s="37">
        <v>267372</v>
      </c>
      <c r="T7" s="37">
        <v>451860</v>
      </c>
      <c r="U7" s="37">
        <v>95304</v>
      </c>
      <c r="V7" s="37">
        <v>51552</v>
      </c>
      <c r="W7" s="36">
        <f t="shared" si="2"/>
        <v>15368076</v>
      </c>
    </row>
    <row r="8" spans="1:23">
      <c r="A8" s="33" t="s">
        <v>193</v>
      </c>
      <c r="B8" s="34" t="s">
        <v>194</v>
      </c>
      <c r="C8" s="34"/>
      <c r="D8" s="35" t="s">
        <v>183</v>
      </c>
      <c r="E8" s="36">
        <f>E9+E10</f>
        <v>363432</v>
      </c>
      <c r="F8" s="36">
        <f t="shared" ref="F8:V8" si="4">F9+F10</f>
        <v>363372</v>
      </c>
      <c r="G8" s="36">
        <f t="shared" si="4"/>
        <v>374592</v>
      </c>
      <c r="H8" s="36">
        <f t="shared" si="4"/>
        <v>356040</v>
      </c>
      <c r="I8" s="36">
        <f t="shared" si="4"/>
        <v>97464</v>
      </c>
      <c r="J8" s="36">
        <f t="shared" si="4"/>
        <v>407184</v>
      </c>
      <c r="K8" s="36">
        <f t="shared" si="4"/>
        <v>468132</v>
      </c>
      <c r="L8" s="36">
        <f t="shared" si="4"/>
        <v>362808</v>
      </c>
      <c r="M8" s="36">
        <f t="shared" si="4"/>
        <v>630744</v>
      </c>
      <c r="N8" s="36">
        <f t="shared" si="4"/>
        <v>314304</v>
      </c>
      <c r="O8" s="36">
        <f t="shared" si="4"/>
        <v>255084</v>
      </c>
      <c r="P8" s="36">
        <f t="shared" si="4"/>
        <v>324576</v>
      </c>
      <c r="Q8" s="36">
        <f t="shared" si="4"/>
        <v>134832</v>
      </c>
      <c r="R8" s="36">
        <f t="shared" si="4"/>
        <v>275616</v>
      </c>
      <c r="S8" s="36">
        <f t="shared" si="4"/>
        <v>123816</v>
      </c>
      <c r="T8" s="37">
        <f t="shared" si="4"/>
        <v>189468</v>
      </c>
      <c r="U8" s="37">
        <f t="shared" si="4"/>
        <v>37824</v>
      </c>
      <c r="V8" s="36">
        <f t="shared" si="4"/>
        <v>21696</v>
      </c>
      <c r="W8" s="36">
        <f t="shared" si="2"/>
        <v>5100984</v>
      </c>
    </row>
    <row r="9" spans="1:23">
      <c r="A9" s="33" t="s">
        <v>195</v>
      </c>
      <c r="B9" s="34" t="s">
        <v>196</v>
      </c>
      <c r="C9" s="34" t="s">
        <v>189</v>
      </c>
      <c r="D9" s="35" t="s">
        <v>190</v>
      </c>
      <c r="E9" s="37">
        <v>4848</v>
      </c>
      <c r="F9" s="37">
        <v>4788</v>
      </c>
      <c r="G9" s="37">
        <v>5304</v>
      </c>
      <c r="H9" s="37">
        <v>2808</v>
      </c>
      <c r="I9" s="37">
        <v>1128</v>
      </c>
      <c r="J9" s="37">
        <v>5784</v>
      </c>
      <c r="K9" s="37">
        <v>7860</v>
      </c>
      <c r="L9" s="37">
        <v>4224</v>
      </c>
      <c r="M9" s="37">
        <v>4560</v>
      </c>
      <c r="N9" s="37">
        <v>3888</v>
      </c>
      <c r="O9" s="37">
        <v>3540</v>
      </c>
      <c r="P9" s="37">
        <v>3456</v>
      </c>
      <c r="Q9" s="37">
        <v>1032</v>
      </c>
      <c r="R9" s="37">
        <v>2664</v>
      </c>
      <c r="S9" s="37">
        <v>720</v>
      </c>
      <c r="T9" s="37">
        <v>2148</v>
      </c>
      <c r="U9" s="37">
        <v>360</v>
      </c>
      <c r="V9" s="37">
        <v>288</v>
      </c>
      <c r="W9" s="36">
        <f t="shared" si="2"/>
        <v>59400</v>
      </c>
    </row>
    <row r="10" spans="1:23">
      <c r="A10" s="33" t="s">
        <v>197</v>
      </c>
      <c r="B10" s="34" t="s">
        <v>198</v>
      </c>
      <c r="C10" s="34"/>
      <c r="D10" s="35" t="s">
        <v>183</v>
      </c>
      <c r="E10" s="36">
        <f>E11+E12</f>
        <v>358584</v>
      </c>
      <c r="F10" s="36">
        <f t="shared" ref="F10:V10" si="5">F11+F12</f>
        <v>358584</v>
      </c>
      <c r="G10" s="36">
        <f t="shared" si="5"/>
        <v>369288</v>
      </c>
      <c r="H10" s="36">
        <f t="shared" si="5"/>
        <v>353232</v>
      </c>
      <c r="I10" s="36">
        <f t="shared" si="5"/>
        <v>96336</v>
      </c>
      <c r="J10" s="36">
        <f t="shared" si="5"/>
        <v>401400</v>
      </c>
      <c r="K10" s="36">
        <f t="shared" si="5"/>
        <v>460272</v>
      </c>
      <c r="L10" s="36">
        <f t="shared" si="5"/>
        <v>358584</v>
      </c>
      <c r="M10" s="36">
        <f t="shared" si="5"/>
        <v>626184</v>
      </c>
      <c r="N10" s="36">
        <f t="shared" si="5"/>
        <v>310416</v>
      </c>
      <c r="O10" s="36">
        <f t="shared" si="5"/>
        <v>251544</v>
      </c>
      <c r="P10" s="36">
        <f t="shared" si="5"/>
        <v>321120</v>
      </c>
      <c r="Q10" s="36">
        <f t="shared" si="5"/>
        <v>133800</v>
      </c>
      <c r="R10" s="36">
        <f t="shared" si="5"/>
        <v>272952</v>
      </c>
      <c r="S10" s="36">
        <f t="shared" si="5"/>
        <v>123096</v>
      </c>
      <c r="T10" s="37">
        <f t="shared" si="5"/>
        <v>187320</v>
      </c>
      <c r="U10" s="37">
        <f t="shared" si="5"/>
        <v>37464</v>
      </c>
      <c r="V10" s="36">
        <f t="shared" si="5"/>
        <v>21408</v>
      </c>
      <c r="W10" s="36">
        <f t="shared" si="2"/>
        <v>5041584</v>
      </c>
    </row>
    <row r="11" spans="1:23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4824</v>
      </c>
      <c r="F11" s="36">
        <f t="shared" ref="F11:V11" si="6">72*F96</f>
        <v>4824</v>
      </c>
      <c r="G11" s="36">
        <f t="shared" si="6"/>
        <v>4968</v>
      </c>
      <c r="H11" s="36">
        <f t="shared" si="6"/>
        <v>4752</v>
      </c>
      <c r="I11" s="36">
        <f t="shared" si="6"/>
        <v>1296</v>
      </c>
      <c r="J11" s="36">
        <f t="shared" si="6"/>
        <v>5400</v>
      </c>
      <c r="K11" s="36">
        <f t="shared" si="6"/>
        <v>6192</v>
      </c>
      <c r="L11" s="36">
        <f t="shared" si="6"/>
        <v>4824</v>
      </c>
      <c r="M11" s="36">
        <f t="shared" si="6"/>
        <v>8424</v>
      </c>
      <c r="N11" s="36">
        <f t="shared" si="6"/>
        <v>4176</v>
      </c>
      <c r="O11" s="36">
        <f t="shared" si="6"/>
        <v>3384</v>
      </c>
      <c r="P11" s="36">
        <f t="shared" si="6"/>
        <v>4320</v>
      </c>
      <c r="Q11" s="36">
        <f t="shared" si="6"/>
        <v>1800</v>
      </c>
      <c r="R11" s="36">
        <f t="shared" si="6"/>
        <v>3672</v>
      </c>
      <c r="S11" s="36">
        <f t="shared" si="6"/>
        <v>1656</v>
      </c>
      <c r="T11" s="37">
        <v>2520</v>
      </c>
      <c r="U11" s="37">
        <f t="shared" si="6"/>
        <v>504</v>
      </c>
      <c r="V11" s="36">
        <f t="shared" si="6"/>
        <v>288</v>
      </c>
      <c r="W11" s="36">
        <f t="shared" si="2"/>
        <v>67824</v>
      </c>
    </row>
    <row r="12" spans="1:23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353760</v>
      </c>
      <c r="F12" s="36">
        <f t="shared" ref="F12:V12" si="7">440*12*F96</f>
        <v>353760</v>
      </c>
      <c r="G12" s="36">
        <f t="shared" si="7"/>
        <v>364320</v>
      </c>
      <c r="H12" s="36">
        <f t="shared" si="7"/>
        <v>348480</v>
      </c>
      <c r="I12" s="36">
        <f t="shared" si="7"/>
        <v>95040</v>
      </c>
      <c r="J12" s="36">
        <f t="shared" si="7"/>
        <v>396000</v>
      </c>
      <c r="K12" s="36">
        <f t="shared" si="7"/>
        <v>454080</v>
      </c>
      <c r="L12" s="36">
        <f t="shared" si="7"/>
        <v>353760</v>
      </c>
      <c r="M12" s="36">
        <f t="shared" si="7"/>
        <v>617760</v>
      </c>
      <c r="N12" s="36">
        <f t="shared" si="7"/>
        <v>306240</v>
      </c>
      <c r="O12" s="36">
        <f t="shared" si="7"/>
        <v>248160</v>
      </c>
      <c r="P12" s="36">
        <f t="shared" si="7"/>
        <v>316800</v>
      </c>
      <c r="Q12" s="36">
        <f t="shared" si="7"/>
        <v>132000</v>
      </c>
      <c r="R12" s="36">
        <f t="shared" si="7"/>
        <v>269280</v>
      </c>
      <c r="S12" s="36">
        <f t="shared" si="7"/>
        <v>121440</v>
      </c>
      <c r="T12" s="37">
        <v>184800</v>
      </c>
      <c r="U12" s="37">
        <f t="shared" si="7"/>
        <v>36960</v>
      </c>
      <c r="V12" s="36">
        <f t="shared" si="7"/>
        <v>21120</v>
      </c>
      <c r="W12" s="36">
        <f t="shared" si="2"/>
        <v>4973760</v>
      </c>
    </row>
    <row r="13" spans="1:23">
      <c r="A13" s="33" t="s">
        <v>203</v>
      </c>
      <c r="B13" s="34" t="s">
        <v>204</v>
      </c>
      <c r="C13" s="34"/>
      <c r="D13" s="35" t="s">
        <v>205</v>
      </c>
      <c r="E13" s="36">
        <f>E14+E15+E16</f>
        <v>330504</v>
      </c>
      <c r="F13" s="36">
        <f t="shared" ref="F13:V13" si="8">F14+F15+F16</f>
        <v>343512</v>
      </c>
      <c r="G13" s="36">
        <f t="shared" si="8"/>
        <v>356806.2</v>
      </c>
      <c r="H13" s="36">
        <f t="shared" si="8"/>
        <v>290790</v>
      </c>
      <c r="I13" s="36">
        <f t="shared" si="8"/>
        <v>87492</v>
      </c>
      <c r="J13" s="36">
        <f t="shared" si="8"/>
        <v>360714</v>
      </c>
      <c r="K13" s="36">
        <f t="shared" si="8"/>
        <v>410736</v>
      </c>
      <c r="L13" s="36">
        <f t="shared" si="8"/>
        <v>308790</v>
      </c>
      <c r="M13" s="36">
        <f t="shared" si="8"/>
        <v>521430</v>
      </c>
      <c r="N13" s="36">
        <f t="shared" si="8"/>
        <v>254496</v>
      </c>
      <c r="O13" s="36">
        <f t="shared" si="8"/>
        <v>211614</v>
      </c>
      <c r="P13" s="36">
        <f t="shared" si="8"/>
        <v>245316</v>
      </c>
      <c r="Q13" s="36">
        <f t="shared" si="8"/>
        <v>104460</v>
      </c>
      <c r="R13" s="36">
        <f t="shared" si="8"/>
        <v>215940</v>
      </c>
      <c r="S13" s="36">
        <f t="shared" si="8"/>
        <v>95418</v>
      </c>
      <c r="T13" s="37">
        <f t="shared" si="8"/>
        <v>138894</v>
      </c>
      <c r="U13" s="37">
        <f t="shared" si="8"/>
        <v>29070</v>
      </c>
      <c r="V13" s="36">
        <f t="shared" si="8"/>
        <v>17826</v>
      </c>
      <c r="W13" s="36">
        <f t="shared" si="2"/>
        <v>4323808.2</v>
      </c>
    </row>
    <row r="14" spans="1:23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198302.40000000002</v>
      </c>
      <c r="F14" s="36">
        <f t="shared" ref="F14:V14" si="9">F16*3</f>
        <v>206107.19999999998</v>
      </c>
      <c r="G14" s="36">
        <f t="shared" si="9"/>
        <v>214083.72000000003</v>
      </c>
      <c r="H14" s="36">
        <f t="shared" si="9"/>
        <v>174474</v>
      </c>
      <c r="I14" s="36">
        <f t="shared" si="9"/>
        <v>52495.200000000004</v>
      </c>
      <c r="J14" s="36">
        <f t="shared" si="9"/>
        <v>216428.40000000002</v>
      </c>
      <c r="K14" s="36">
        <f t="shared" si="9"/>
        <v>246441.59999999998</v>
      </c>
      <c r="L14" s="36">
        <f t="shared" si="9"/>
        <v>185274</v>
      </c>
      <c r="M14" s="36">
        <f t="shared" si="9"/>
        <v>312858</v>
      </c>
      <c r="N14" s="36">
        <f t="shared" si="9"/>
        <v>152697.59999999998</v>
      </c>
      <c r="O14" s="36">
        <f t="shared" si="9"/>
        <v>126968.40000000001</v>
      </c>
      <c r="P14" s="36">
        <f t="shared" si="9"/>
        <v>147189.59999999998</v>
      </c>
      <c r="Q14" s="36">
        <f t="shared" si="9"/>
        <v>62676</v>
      </c>
      <c r="R14" s="36">
        <f t="shared" si="9"/>
        <v>129564</v>
      </c>
      <c r="S14" s="36">
        <f t="shared" si="9"/>
        <v>57250.799999999996</v>
      </c>
      <c r="T14" s="37">
        <f t="shared" si="9"/>
        <v>83336.399999999994</v>
      </c>
      <c r="U14" s="37">
        <f t="shared" si="9"/>
        <v>17442</v>
      </c>
      <c r="V14" s="36">
        <f t="shared" si="9"/>
        <v>10695.599999999999</v>
      </c>
      <c r="W14" s="36">
        <f t="shared" si="2"/>
        <v>2594284.92</v>
      </c>
    </row>
    <row r="15" spans="1:23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66100.800000000003</v>
      </c>
      <c r="F15" s="36">
        <f t="shared" ref="F15:V15" si="10">F16</f>
        <v>68702.399999999994</v>
      </c>
      <c r="G15" s="36">
        <f t="shared" si="10"/>
        <v>71361.240000000005</v>
      </c>
      <c r="H15" s="36">
        <f t="shared" si="10"/>
        <v>58158</v>
      </c>
      <c r="I15" s="36">
        <f t="shared" si="10"/>
        <v>17498.400000000001</v>
      </c>
      <c r="J15" s="36">
        <f t="shared" si="10"/>
        <v>72142.8</v>
      </c>
      <c r="K15" s="36">
        <f t="shared" si="10"/>
        <v>82147.199999999997</v>
      </c>
      <c r="L15" s="36">
        <f t="shared" si="10"/>
        <v>61758</v>
      </c>
      <c r="M15" s="36">
        <f t="shared" si="10"/>
        <v>104286</v>
      </c>
      <c r="N15" s="36">
        <f t="shared" si="10"/>
        <v>50899.199999999997</v>
      </c>
      <c r="O15" s="36">
        <f t="shared" si="10"/>
        <v>42322.8</v>
      </c>
      <c r="P15" s="36">
        <f t="shared" si="10"/>
        <v>49063.199999999997</v>
      </c>
      <c r="Q15" s="36">
        <f t="shared" si="10"/>
        <v>20892</v>
      </c>
      <c r="R15" s="36">
        <f t="shared" si="10"/>
        <v>43188</v>
      </c>
      <c r="S15" s="36">
        <f t="shared" si="10"/>
        <v>19083.599999999999</v>
      </c>
      <c r="T15" s="37">
        <f t="shared" si="10"/>
        <v>27778.799999999999</v>
      </c>
      <c r="U15" s="37">
        <f t="shared" si="10"/>
        <v>5814</v>
      </c>
      <c r="V15" s="36">
        <f t="shared" si="10"/>
        <v>3565.2</v>
      </c>
      <c r="W15" s="36">
        <f t="shared" si="2"/>
        <v>864761.64</v>
      </c>
    </row>
    <row r="16" spans="1:23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v>66100.800000000003</v>
      </c>
      <c r="F16" s="37">
        <v>68702.399999999994</v>
      </c>
      <c r="G16" s="37">
        <v>71361.240000000005</v>
      </c>
      <c r="H16" s="37">
        <v>58158</v>
      </c>
      <c r="I16" s="37">
        <v>17498.400000000001</v>
      </c>
      <c r="J16" s="37">
        <v>72142.8</v>
      </c>
      <c r="K16" s="37">
        <v>82147.199999999997</v>
      </c>
      <c r="L16" s="37">
        <v>61758</v>
      </c>
      <c r="M16" s="37">
        <v>104286</v>
      </c>
      <c r="N16" s="37">
        <v>50899.199999999997</v>
      </c>
      <c r="O16" s="37">
        <v>42322.8</v>
      </c>
      <c r="P16" s="37">
        <v>49063.199999999997</v>
      </c>
      <c r="Q16" s="37">
        <v>20892</v>
      </c>
      <c r="R16" s="37">
        <v>43188</v>
      </c>
      <c r="S16" s="37">
        <v>19083.599999999999</v>
      </c>
      <c r="T16" s="37">
        <v>27778.799999999999</v>
      </c>
      <c r="U16" s="37">
        <v>5814</v>
      </c>
      <c r="V16" s="37">
        <v>3565.2</v>
      </c>
      <c r="W16" s="36">
        <f t="shared" si="2"/>
        <v>864761.64</v>
      </c>
    </row>
    <row r="17" spans="1:23">
      <c r="A17" s="33" t="s">
        <v>213</v>
      </c>
      <c r="B17" s="34" t="s">
        <v>214</v>
      </c>
      <c r="C17" s="34"/>
      <c r="D17" s="35" t="s">
        <v>183</v>
      </c>
      <c r="E17" s="36">
        <v>10737487</v>
      </c>
      <c r="F17" s="36">
        <v>10737487</v>
      </c>
      <c r="G17" s="36">
        <v>11058009</v>
      </c>
      <c r="H17" s="36">
        <v>10577226</v>
      </c>
      <c r="I17" s="36">
        <v>2884698</v>
      </c>
      <c r="J17" s="36">
        <v>12019575</v>
      </c>
      <c r="K17" s="36">
        <v>13782446</v>
      </c>
      <c r="L17" s="36">
        <v>10737487</v>
      </c>
      <c r="M17" s="36">
        <v>18750537</v>
      </c>
      <c r="N17" s="36">
        <v>8643160</v>
      </c>
      <c r="O17" s="36">
        <v>7003940</v>
      </c>
      <c r="P17" s="36">
        <v>8941200</v>
      </c>
      <c r="Q17" s="36">
        <v>3725500</v>
      </c>
      <c r="R17" s="36">
        <v>7600020</v>
      </c>
      <c r="S17" s="36">
        <v>3427460</v>
      </c>
      <c r="T17" s="37">
        <v>5215700</v>
      </c>
      <c r="U17" s="37">
        <v>1043140</v>
      </c>
      <c r="V17" s="36">
        <v>589796</v>
      </c>
      <c r="W17" s="36">
        <f t="shared" si="2"/>
        <v>147474868</v>
      </c>
    </row>
    <row r="18" spans="1:23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10570395</v>
      </c>
      <c r="F18" s="43">
        <f t="shared" ref="F18:V18" si="11">F17-F19</f>
        <v>10399313</v>
      </c>
      <c r="G18" s="43">
        <f t="shared" si="11"/>
        <v>10888877</v>
      </c>
      <c r="H18" s="43">
        <f t="shared" si="11"/>
        <v>10415714</v>
      </c>
      <c r="I18" s="43">
        <f t="shared" si="11"/>
        <v>2884698</v>
      </c>
      <c r="J18" s="43">
        <f t="shared" si="11"/>
        <v>11787872</v>
      </c>
      <c r="K18" s="43">
        <f t="shared" si="11"/>
        <v>13599862</v>
      </c>
      <c r="L18" s="43">
        <f t="shared" si="11"/>
        <v>10554546</v>
      </c>
      <c r="M18" s="43">
        <f t="shared" si="11"/>
        <v>18453341</v>
      </c>
      <c r="N18" s="43">
        <f t="shared" si="11"/>
        <v>8467036</v>
      </c>
      <c r="O18" s="43">
        <f t="shared" si="11"/>
        <v>6830456</v>
      </c>
      <c r="P18" s="43">
        <f t="shared" si="11"/>
        <v>8749716</v>
      </c>
      <c r="Q18" s="43">
        <f t="shared" si="11"/>
        <v>3704625</v>
      </c>
      <c r="R18" s="43">
        <f t="shared" si="11"/>
        <v>7437708</v>
      </c>
      <c r="S18" s="43">
        <f t="shared" si="11"/>
        <v>3284204</v>
      </c>
      <c r="T18" s="43">
        <f t="shared" si="11"/>
        <v>5070644</v>
      </c>
      <c r="U18" s="43">
        <f t="shared" si="11"/>
        <v>993750</v>
      </c>
      <c r="V18" s="43">
        <f t="shared" si="11"/>
        <v>589796</v>
      </c>
      <c r="W18" s="36">
        <f t="shared" si="2"/>
        <v>144682553</v>
      </c>
    </row>
    <row r="19" spans="1:23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167092</v>
      </c>
      <c r="F19" s="43">
        <v>338174</v>
      </c>
      <c r="G19" s="43">
        <v>169132</v>
      </c>
      <c r="H19" s="43">
        <v>161512</v>
      </c>
      <c r="I19" s="43"/>
      <c r="J19" s="43">
        <v>231703</v>
      </c>
      <c r="K19" s="43">
        <v>182584</v>
      </c>
      <c r="L19" s="43">
        <v>182941</v>
      </c>
      <c r="M19" s="43">
        <v>297196</v>
      </c>
      <c r="N19" s="43">
        <v>176124</v>
      </c>
      <c r="O19" s="43">
        <v>173484</v>
      </c>
      <c r="P19" s="43">
        <v>191484</v>
      </c>
      <c r="Q19" s="43">
        <v>20875</v>
      </c>
      <c r="R19" s="43">
        <v>162312</v>
      </c>
      <c r="S19" s="43">
        <v>143256</v>
      </c>
      <c r="T19" s="43">
        <v>145056</v>
      </c>
      <c r="U19" s="43">
        <v>49390</v>
      </c>
      <c r="V19" s="43"/>
      <c r="W19" s="36">
        <f t="shared" si="2"/>
        <v>2792315</v>
      </c>
    </row>
    <row r="20" spans="1:23">
      <c r="A20" s="33" t="s">
        <v>221</v>
      </c>
      <c r="B20" s="34" t="s">
        <v>222</v>
      </c>
      <c r="C20" s="34"/>
      <c r="D20" s="42" t="s">
        <v>183</v>
      </c>
      <c r="E20" s="45">
        <f>E21</f>
        <v>1322016</v>
      </c>
      <c r="F20" s="45">
        <f t="shared" ref="F20:V20" si="12">F21</f>
        <v>1374048</v>
      </c>
      <c r="G20" s="45">
        <f t="shared" si="12"/>
        <v>1427224.8</v>
      </c>
      <c r="H20" s="45">
        <f t="shared" si="12"/>
        <v>1163160</v>
      </c>
      <c r="I20" s="45">
        <f t="shared" si="12"/>
        <v>349968</v>
      </c>
      <c r="J20" s="45">
        <f t="shared" si="12"/>
        <v>1442856</v>
      </c>
      <c r="K20" s="45">
        <f t="shared" si="12"/>
        <v>1642944</v>
      </c>
      <c r="L20" s="45">
        <f t="shared" si="12"/>
        <v>1235160</v>
      </c>
      <c r="M20" s="45">
        <f t="shared" si="12"/>
        <v>2085720</v>
      </c>
      <c r="N20" s="45">
        <f t="shared" si="12"/>
        <v>1017984</v>
      </c>
      <c r="O20" s="45">
        <f t="shared" si="12"/>
        <v>846456</v>
      </c>
      <c r="P20" s="45">
        <f t="shared" si="12"/>
        <v>981264</v>
      </c>
      <c r="Q20" s="45">
        <f t="shared" si="12"/>
        <v>417840</v>
      </c>
      <c r="R20" s="45">
        <f t="shared" si="12"/>
        <v>863760</v>
      </c>
      <c r="S20" s="45">
        <f t="shared" si="12"/>
        <v>381672</v>
      </c>
      <c r="T20" s="43">
        <f t="shared" si="12"/>
        <v>555576</v>
      </c>
      <c r="U20" s="43">
        <f t="shared" si="12"/>
        <v>116280</v>
      </c>
      <c r="V20" s="45">
        <f t="shared" si="12"/>
        <v>71304</v>
      </c>
      <c r="W20" s="36">
        <f t="shared" si="2"/>
        <v>17295232.800000001</v>
      </c>
    </row>
    <row r="21" spans="1:23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1322016</v>
      </c>
      <c r="F21" s="45">
        <f t="shared" ref="F21:V21" si="13">F16*20</f>
        <v>1374048</v>
      </c>
      <c r="G21" s="45">
        <f t="shared" si="13"/>
        <v>1427224.8</v>
      </c>
      <c r="H21" s="45">
        <f t="shared" si="13"/>
        <v>1163160</v>
      </c>
      <c r="I21" s="45">
        <f t="shared" si="13"/>
        <v>349968</v>
      </c>
      <c r="J21" s="45">
        <f t="shared" si="13"/>
        <v>1442856</v>
      </c>
      <c r="K21" s="45">
        <f t="shared" si="13"/>
        <v>1642944</v>
      </c>
      <c r="L21" s="45">
        <f t="shared" si="13"/>
        <v>1235160</v>
      </c>
      <c r="M21" s="45">
        <f t="shared" si="13"/>
        <v>2085720</v>
      </c>
      <c r="N21" s="45">
        <f t="shared" si="13"/>
        <v>1017984</v>
      </c>
      <c r="O21" s="45">
        <f t="shared" si="13"/>
        <v>846456</v>
      </c>
      <c r="P21" s="45">
        <f t="shared" si="13"/>
        <v>981264</v>
      </c>
      <c r="Q21" s="45">
        <f t="shared" si="13"/>
        <v>417840</v>
      </c>
      <c r="R21" s="45">
        <f t="shared" si="13"/>
        <v>863760</v>
      </c>
      <c r="S21" s="45">
        <f t="shared" si="13"/>
        <v>381672</v>
      </c>
      <c r="T21" s="43">
        <f t="shared" si="13"/>
        <v>555576</v>
      </c>
      <c r="U21" s="43">
        <f t="shared" si="13"/>
        <v>116280</v>
      </c>
      <c r="V21" s="45">
        <f t="shared" si="13"/>
        <v>71304</v>
      </c>
      <c r="W21" s="36">
        <f t="shared" si="2"/>
        <v>17295232.800000001</v>
      </c>
    </row>
    <row r="22" spans="1:23">
      <c r="A22" s="33" t="s">
        <v>226</v>
      </c>
      <c r="B22" s="34" t="s">
        <v>227</v>
      </c>
      <c r="C22" s="34"/>
      <c r="D22" s="42" t="s">
        <v>208</v>
      </c>
      <c r="E22" s="45">
        <f>E23+E24</f>
        <v>528806.40000000002</v>
      </c>
      <c r="F22" s="45">
        <f t="shared" ref="F22:V22" si="14">F23+F24</f>
        <v>549619.19999999995</v>
      </c>
      <c r="G22" s="45">
        <f t="shared" si="14"/>
        <v>570889.92000000004</v>
      </c>
      <c r="H22" s="45">
        <f t="shared" si="14"/>
        <v>465264</v>
      </c>
      <c r="I22" s="45">
        <f t="shared" si="14"/>
        <v>139987.20000000001</v>
      </c>
      <c r="J22" s="45">
        <f t="shared" si="14"/>
        <v>577142.4</v>
      </c>
      <c r="K22" s="45">
        <f t="shared" si="14"/>
        <v>657177.59999999998</v>
      </c>
      <c r="L22" s="45">
        <f t="shared" si="14"/>
        <v>494064</v>
      </c>
      <c r="M22" s="45">
        <f t="shared" si="14"/>
        <v>834288</v>
      </c>
      <c r="N22" s="45">
        <f t="shared" si="14"/>
        <v>407193.59999999998</v>
      </c>
      <c r="O22" s="45">
        <f t="shared" si="14"/>
        <v>338582.4</v>
      </c>
      <c r="P22" s="45">
        <f t="shared" si="14"/>
        <v>392505.59999999998</v>
      </c>
      <c r="Q22" s="45">
        <f t="shared" si="14"/>
        <v>167136</v>
      </c>
      <c r="R22" s="45">
        <f t="shared" si="14"/>
        <v>345504</v>
      </c>
      <c r="S22" s="45">
        <f t="shared" si="14"/>
        <v>152668.79999999999</v>
      </c>
      <c r="T22" s="43">
        <f t="shared" si="14"/>
        <v>222230.39999999999</v>
      </c>
      <c r="U22" s="43">
        <f t="shared" si="14"/>
        <v>46512</v>
      </c>
      <c r="V22" s="45">
        <f t="shared" si="14"/>
        <v>28521.599999999999</v>
      </c>
      <c r="W22" s="36">
        <f t="shared" si="2"/>
        <v>6918093.1200000001</v>
      </c>
    </row>
    <row r="23" spans="1:23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264403.20000000001</v>
      </c>
      <c r="F23" s="45">
        <f t="shared" ref="F23:V23" si="15">F16*4</f>
        <v>274809.59999999998</v>
      </c>
      <c r="G23" s="45">
        <f t="shared" si="15"/>
        <v>285444.96000000002</v>
      </c>
      <c r="H23" s="45">
        <f t="shared" si="15"/>
        <v>232632</v>
      </c>
      <c r="I23" s="45">
        <f t="shared" si="15"/>
        <v>69993.600000000006</v>
      </c>
      <c r="J23" s="45">
        <f t="shared" si="15"/>
        <v>288571.2</v>
      </c>
      <c r="K23" s="45">
        <f t="shared" si="15"/>
        <v>328588.79999999999</v>
      </c>
      <c r="L23" s="45">
        <f t="shared" si="15"/>
        <v>247032</v>
      </c>
      <c r="M23" s="45">
        <f t="shared" si="15"/>
        <v>417144</v>
      </c>
      <c r="N23" s="45">
        <f t="shared" si="15"/>
        <v>203596.79999999999</v>
      </c>
      <c r="O23" s="45">
        <f t="shared" si="15"/>
        <v>169291.2</v>
      </c>
      <c r="P23" s="45">
        <f t="shared" si="15"/>
        <v>196252.79999999999</v>
      </c>
      <c r="Q23" s="45">
        <f t="shared" si="15"/>
        <v>83568</v>
      </c>
      <c r="R23" s="45">
        <f t="shared" si="15"/>
        <v>172752</v>
      </c>
      <c r="S23" s="45">
        <f t="shared" si="15"/>
        <v>76334.399999999994</v>
      </c>
      <c r="T23" s="43">
        <f t="shared" si="15"/>
        <v>111115.2</v>
      </c>
      <c r="U23" s="43">
        <f t="shared" si="15"/>
        <v>23256</v>
      </c>
      <c r="V23" s="45">
        <f t="shared" si="15"/>
        <v>14260.8</v>
      </c>
      <c r="W23" s="36">
        <f t="shared" si="2"/>
        <v>3459046.56</v>
      </c>
    </row>
    <row r="24" spans="1:23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264403.20000000001</v>
      </c>
      <c r="F24" s="45">
        <f t="shared" ref="F24:V24" si="16">F16*4</f>
        <v>274809.59999999998</v>
      </c>
      <c r="G24" s="45">
        <f t="shared" si="16"/>
        <v>285444.96000000002</v>
      </c>
      <c r="H24" s="45">
        <f t="shared" si="16"/>
        <v>232632</v>
      </c>
      <c r="I24" s="45">
        <f t="shared" si="16"/>
        <v>69993.600000000006</v>
      </c>
      <c r="J24" s="45">
        <f t="shared" si="16"/>
        <v>288571.2</v>
      </c>
      <c r="K24" s="45">
        <f t="shared" si="16"/>
        <v>328588.79999999999</v>
      </c>
      <c r="L24" s="45">
        <f t="shared" si="16"/>
        <v>247032</v>
      </c>
      <c r="M24" s="45">
        <f t="shared" si="16"/>
        <v>417144</v>
      </c>
      <c r="N24" s="45">
        <f t="shared" si="16"/>
        <v>203596.79999999999</v>
      </c>
      <c r="O24" s="45">
        <f t="shared" si="16"/>
        <v>169291.2</v>
      </c>
      <c r="P24" s="45">
        <f t="shared" si="16"/>
        <v>196252.79999999999</v>
      </c>
      <c r="Q24" s="45">
        <f t="shared" si="16"/>
        <v>83568</v>
      </c>
      <c r="R24" s="45">
        <f t="shared" si="16"/>
        <v>172752</v>
      </c>
      <c r="S24" s="45">
        <f t="shared" si="16"/>
        <v>76334.399999999994</v>
      </c>
      <c r="T24" s="43">
        <f t="shared" si="16"/>
        <v>111115.2</v>
      </c>
      <c r="U24" s="43">
        <f t="shared" si="16"/>
        <v>23256</v>
      </c>
      <c r="V24" s="45">
        <f t="shared" si="16"/>
        <v>14260.8</v>
      </c>
      <c r="W24" s="36">
        <f t="shared" si="2"/>
        <v>3459046.56</v>
      </c>
    </row>
    <row r="25" spans="1:23">
      <c r="A25" s="33" t="s">
        <v>233</v>
      </c>
      <c r="B25" s="34" t="s">
        <v>234</v>
      </c>
      <c r="C25" s="34"/>
      <c r="D25" s="35" t="s">
        <v>183</v>
      </c>
      <c r="E25" s="36">
        <f>E26</f>
        <v>2115225.6000000001</v>
      </c>
      <c r="F25" s="36">
        <f t="shared" ref="F25:V25" si="17">F26</f>
        <v>2198476.7999999998</v>
      </c>
      <c r="G25" s="36">
        <f t="shared" si="17"/>
        <v>2283559.6800000002</v>
      </c>
      <c r="H25" s="36">
        <f t="shared" si="17"/>
        <v>1861056</v>
      </c>
      <c r="I25" s="36">
        <f t="shared" si="17"/>
        <v>559948.80000000005</v>
      </c>
      <c r="J25" s="36">
        <f t="shared" si="17"/>
        <v>2308569.6</v>
      </c>
      <c r="K25" s="36">
        <f t="shared" si="17"/>
        <v>2628710.3999999999</v>
      </c>
      <c r="L25" s="36">
        <f t="shared" si="17"/>
        <v>1976256</v>
      </c>
      <c r="M25" s="36">
        <f t="shared" si="17"/>
        <v>3337152</v>
      </c>
      <c r="N25" s="36">
        <f t="shared" si="17"/>
        <v>1628774.3999999999</v>
      </c>
      <c r="O25" s="36">
        <f t="shared" si="17"/>
        <v>1354329.6</v>
      </c>
      <c r="P25" s="36">
        <f t="shared" si="17"/>
        <v>1570022.3999999999</v>
      </c>
      <c r="Q25" s="36">
        <f t="shared" si="17"/>
        <v>668544</v>
      </c>
      <c r="R25" s="36">
        <f t="shared" si="17"/>
        <v>1382016</v>
      </c>
      <c r="S25" s="36">
        <f t="shared" si="17"/>
        <v>610675.19999999995</v>
      </c>
      <c r="T25" s="37">
        <f t="shared" si="17"/>
        <v>888921.59999999998</v>
      </c>
      <c r="U25" s="37">
        <f t="shared" si="17"/>
        <v>186048</v>
      </c>
      <c r="V25" s="36">
        <f t="shared" si="17"/>
        <v>114086.39999999999</v>
      </c>
      <c r="W25" s="36">
        <f t="shared" si="2"/>
        <v>27672372.48</v>
      </c>
    </row>
    <row r="26" spans="1:23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2115225.6000000001</v>
      </c>
      <c r="F26" s="36">
        <f t="shared" ref="F26:V26" si="18">F16*32</f>
        <v>2198476.7999999998</v>
      </c>
      <c r="G26" s="36">
        <f t="shared" si="18"/>
        <v>2283559.6800000002</v>
      </c>
      <c r="H26" s="36">
        <f t="shared" si="18"/>
        <v>1861056</v>
      </c>
      <c r="I26" s="36">
        <f t="shared" si="18"/>
        <v>559948.80000000005</v>
      </c>
      <c r="J26" s="36">
        <f t="shared" si="18"/>
        <v>2308569.6</v>
      </c>
      <c r="K26" s="36">
        <f t="shared" si="18"/>
        <v>2628710.3999999999</v>
      </c>
      <c r="L26" s="36">
        <f t="shared" si="18"/>
        <v>1976256</v>
      </c>
      <c r="M26" s="36">
        <f t="shared" si="18"/>
        <v>3337152</v>
      </c>
      <c r="N26" s="36">
        <f t="shared" si="18"/>
        <v>1628774.3999999999</v>
      </c>
      <c r="O26" s="36">
        <f t="shared" si="18"/>
        <v>1354329.6</v>
      </c>
      <c r="P26" s="36">
        <f t="shared" si="18"/>
        <v>1570022.3999999999</v>
      </c>
      <c r="Q26" s="36">
        <f t="shared" si="18"/>
        <v>668544</v>
      </c>
      <c r="R26" s="36">
        <f t="shared" si="18"/>
        <v>1382016</v>
      </c>
      <c r="S26" s="36">
        <f t="shared" si="18"/>
        <v>610675.19999999995</v>
      </c>
      <c r="T26" s="37">
        <f t="shared" si="18"/>
        <v>888921.59999999998</v>
      </c>
      <c r="U26" s="37">
        <f t="shared" si="18"/>
        <v>186048</v>
      </c>
      <c r="V26" s="36">
        <f t="shared" si="18"/>
        <v>114086.39999999999</v>
      </c>
      <c r="W26" s="36">
        <f t="shared" si="2"/>
        <v>27672372.48</v>
      </c>
    </row>
    <row r="27" spans="1:23">
      <c r="A27" s="33" t="s">
        <v>238</v>
      </c>
      <c r="B27" s="34" t="s">
        <v>239</v>
      </c>
      <c r="C27" s="34"/>
      <c r="D27" s="35" t="s">
        <v>183</v>
      </c>
      <c r="E27" s="36">
        <f>E28</f>
        <v>1057612.8</v>
      </c>
      <c r="F27" s="36">
        <f t="shared" ref="F27:V27" si="19">F28</f>
        <v>1099238.3999999999</v>
      </c>
      <c r="G27" s="36">
        <f t="shared" si="19"/>
        <v>1141779.8400000001</v>
      </c>
      <c r="H27" s="36">
        <f t="shared" si="19"/>
        <v>930528</v>
      </c>
      <c r="I27" s="36">
        <f t="shared" si="19"/>
        <v>279974.40000000002</v>
      </c>
      <c r="J27" s="36">
        <f t="shared" si="19"/>
        <v>1154284.8</v>
      </c>
      <c r="K27" s="36">
        <f t="shared" si="19"/>
        <v>1314355.2</v>
      </c>
      <c r="L27" s="36">
        <f t="shared" si="19"/>
        <v>988128</v>
      </c>
      <c r="M27" s="36">
        <f t="shared" si="19"/>
        <v>1668576</v>
      </c>
      <c r="N27" s="36">
        <f t="shared" si="19"/>
        <v>814387.19999999995</v>
      </c>
      <c r="O27" s="36">
        <f t="shared" si="19"/>
        <v>677164.8</v>
      </c>
      <c r="P27" s="36">
        <f t="shared" si="19"/>
        <v>785011.19999999995</v>
      </c>
      <c r="Q27" s="36">
        <f t="shared" si="19"/>
        <v>334272</v>
      </c>
      <c r="R27" s="36">
        <f t="shared" si="19"/>
        <v>691008</v>
      </c>
      <c r="S27" s="36">
        <f t="shared" si="19"/>
        <v>305337.59999999998</v>
      </c>
      <c r="T27" s="37">
        <f t="shared" si="19"/>
        <v>444460.79999999999</v>
      </c>
      <c r="U27" s="37">
        <f t="shared" si="19"/>
        <v>93024</v>
      </c>
      <c r="V27" s="36">
        <f t="shared" si="19"/>
        <v>57043.199999999997</v>
      </c>
      <c r="W27" s="36">
        <f t="shared" si="2"/>
        <v>13836186.24</v>
      </c>
    </row>
    <row r="28" spans="1:23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1057612.8</v>
      </c>
      <c r="F28" s="36">
        <f t="shared" ref="F28:V28" si="20">F16*16</f>
        <v>1099238.3999999999</v>
      </c>
      <c r="G28" s="36">
        <f t="shared" si="20"/>
        <v>1141779.8400000001</v>
      </c>
      <c r="H28" s="36">
        <f t="shared" si="20"/>
        <v>930528</v>
      </c>
      <c r="I28" s="36">
        <f t="shared" si="20"/>
        <v>279974.40000000002</v>
      </c>
      <c r="J28" s="36">
        <f t="shared" si="20"/>
        <v>1154284.8</v>
      </c>
      <c r="K28" s="36">
        <f t="shared" si="20"/>
        <v>1314355.2</v>
      </c>
      <c r="L28" s="36">
        <f t="shared" si="20"/>
        <v>988128</v>
      </c>
      <c r="M28" s="36">
        <f t="shared" si="20"/>
        <v>1668576</v>
      </c>
      <c r="N28" s="36">
        <f t="shared" si="20"/>
        <v>814387.19999999995</v>
      </c>
      <c r="O28" s="36">
        <f t="shared" si="20"/>
        <v>677164.8</v>
      </c>
      <c r="P28" s="36">
        <f t="shared" si="20"/>
        <v>785011.19999999995</v>
      </c>
      <c r="Q28" s="36">
        <f t="shared" si="20"/>
        <v>334272</v>
      </c>
      <c r="R28" s="36">
        <f t="shared" si="20"/>
        <v>691008</v>
      </c>
      <c r="S28" s="36">
        <f t="shared" si="20"/>
        <v>305337.59999999998</v>
      </c>
      <c r="T28" s="37">
        <f t="shared" si="20"/>
        <v>444460.79999999999</v>
      </c>
      <c r="U28" s="37">
        <f t="shared" si="20"/>
        <v>93024</v>
      </c>
      <c r="V28" s="36">
        <f t="shared" si="20"/>
        <v>57043.199999999997</v>
      </c>
      <c r="W28" s="36">
        <f t="shared" si="2"/>
        <v>13836186.24</v>
      </c>
    </row>
    <row r="29" spans="1:23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643200</v>
      </c>
      <c r="F29" s="36">
        <f t="shared" ref="F29:V29" si="21">9600*F96</f>
        <v>643200</v>
      </c>
      <c r="G29" s="36">
        <f t="shared" si="21"/>
        <v>662400</v>
      </c>
      <c r="H29" s="36">
        <f t="shared" si="21"/>
        <v>633600</v>
      </c>
      <c r="I29" s="36">
        <f t="shared" si="21"/>
        <v>172800</v>
      </c>
      <c r="J29" s="36">
        <f t="shared" si="21"/>
        <v>720000</v>
      </c>
      <c r="K29" s="36">
        <f t="shared" si="21"/>
        <v>825600</v>
      </c>
      <c r="L29" s="36">
        <f t="shared" si="21"/>
        <v>643200</v>
      </c>
      <c r="M29" s="36">
        <f t="shared" si="21"/>
        <v>1123200</v>
      </c>
      <c r="N29" s="36">
        <f t="shared" si="21"/>
        <v>556800</v>
      </c>
      <c r="O29" s="36">
        <f t="shared" si="21"/>
        <v>451200</v>
      </c>
      <c r="P29" s="36">
        <f t="shared" si="21"/>
        <v>576000</v>
      </c>
      <c r="Q29" s="36">
        <f t="shared" si="21"/>
        <v>240000</v>
      </c>
      <c r="R29" s="36">
        <f t="shared" si="21"/>
        <v>489600</v>
      </c>
      <c r="S29" s="36">
        <f t="shared" si="21"/>
        <v>220800</v>
      </c>
      <c r="T29" s="37">
        <f t="shared" si="21"/>
        <v>336000</v>
      </c>
      <c r="U29" s="37">
        <f t="shared" si="21"/>
        <v>67200</v>
      </c>
      <c r="V29" s="36">
        <f t="shared" si="21"/>
        <v>38400</v>
      </c>
      <c r="W29" s="36">
        <f t="shared" si="2"/>
        <v>9043200</v>
      </c>
    </row>
    <row r="30" spans="1:23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925411.20000000007</v>
      </c>
      <c r="F30" s="45">
        <f t="shared" ref="F30:V30" si="22">F16*14</f>
        <v>961833.59999999986</v>
      </c>
      <c r="G30" s="45">
        <f t="shared" si="22"/>
        <v>999057.3600000001</v>
      </c>
      <c r="H30" s="45">
        <f t="shared" si="22"/>
        <v>814212</v>
      </c>
      <c r="I30" s="45">
        <f t="shared" si="22"/>
        <v>244977.60000000003</v>
      </c>
      <c r="J30" s="45">
        <f t="shared" si="22"/>
        <v>1009999.2000000001</v>
      </c>
      <c r="K30" s="45">
        <f t="shared" si="22"/>
        <v>1150060.8</v>
      </c>
      <c r="L30" s="45">
        <f t="shared" si="22"/>
        <v>864612</v>
      </c>
      <c r="M30" s="45">
        <f t="shared" si="22"/>
        <v>1460004</v>
      </c>
      <c r="N30" s="45">
        <f t="shared" si="22"/>
        <v>712588.79999999993</v>
      </c>
      <c r="O30" s="45">
        <f t="shared" si="22"/>
        <v>592519.20000000007</v>
      </c>
      <c r="P30" s="45">
        <f t="shared" si="22"/>
        <v>686884.79999999993</v>
      </c>
      <c r="Q30" s="45">
        <f t="shared" si="22"/>
        <v>292488</v>
      </c>
      <c r="R30" s="45">
        <f t="shared" si="22"/>
        <v>604632</v>
      </c>
      <c r="S30" s="45">
        <f t="shared" si="22"/>
        <v>267170.39999999997</v>
      </c>
      <c r="T30" s="43">
        <f t="shared" si="22"/>
        <v>388903.2</v>
      </c>
      <c r="U30" s="43">
        <f t="shared" si="22"/>
        <v>81396</v>
      </c>
      <c r="V30" s="45">
        <f t="shared" si="22"/>
        <v>49912.799999999996</v>
      </c>
      <c r="W30" s="36">
        <f t="shared" si="2"/>
        <v>12106662.960000001</v>
      </c>
    </row>
    <row r="31" spans="1:23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8400</v>
      </c>
      <c r="F31" s="36">
        <f t="shared" ref="F31:V31" si="23">F32+F40+F42+F45+F47</f>
        <v>12240</v>
      </c>
      <c r="G31" s="36">
        <f t="shared" si="23"/>
        <v>14760</v>
      </c>
      <c r="H31" s="36">
        <f t="shared" si="23"/>
        <v>10800</v>
      </c>
      <c r="I31" s="36">
        <f t="shared" si="23"/>
        <v>5040</v>
      </c>
      <c r="J31" s="36">
        <f t="shared" si="23"/>
        <v>7200</v>
      </c>
      <c r="K31" s="36">
        <f t="shared" si="23"/>
        <v>12360</v>
      </c>
      <c r="L31" s="36">
        <f t="shared" si="23"/>
        <v>47971.199999999997</v>
      </c>
      <c r="M31" s="36">
        <f t="shared" si="23"/>
        <v>15360</v>
      </c>
      <c r="N31" s="36">
        <f t="shared" si="23"/>
        <v>12840</v>
      </c>
      <c r="O31" s="36">
        <f t="shared" si="23"/>
        <v>9600</v>
      </c>
      <c r="P31" s="36">
        <f t="shared" si="23"/>
        <v>13200</v>
      </c>
      <c r="Q31" s="36">
        <f t="shared" si="23"/>
        <v>4320</v>
      </c>
      <c r="R31" s="36">
        <f t="shared" si="23"/>
        <v>9840</v>
      </c>
      <c r="S31" s="36">
        <f t="shared" si="23"/>
        <v>5040</v>
      </c>
      <c r="T31" s="37">
        <f t="shared" si="23"/>
        <v>8280</v>
      </c>
      <c r="U31" s="37">
        <f t="shared" si="23"/>
        <v>360</v>
      </c>
      <c r="V31" s="36">
        <f t="shared" si="23"/>
        <v>1200</v>
      </c>
      <c r="W31" s="36">
        <f t="shared" si="2"/>
        <v>198811.2</v>
      </c>
    </row>
    <row r="32" spans="1:23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V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24"/>
        <v>0</v>
      </c>
      <c r="T32" s="37"/>
      <c r="U32" s="37"/>
      <c r="V32" s="36">
        <f t="shared" si="24"/>
        <v>0</v>
      </c>
      <c r="W32" s="36">
        <f t="shared" si="2"/>
        <v>0</v>
      </c>
    </row>
    <row r="33" spans="1:23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36">
        <f t="shared" si="2"/>
        <v>0</v>
      </c>
    </row>
    <row r="34" spans="1:23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36">
        <f t="shared" si="2"/>
        <v>0</v>
      </c>
    </row>
    <row r="35" spans="1:23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36">
        <f t="shared" si="2"/>
        <v>0</v>
      </c>
    </row>
    <row r="36" spans="1:23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36">
        <f t="shared" si="2"/>
        <v>0</v>
      </c>
    </row>
    <row r="37" spans="1:23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36">
        <f t="shared" si="2"/>
        <v>0</v>
      </c>
    </row>
    <row r="38" spans="1:23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36">
        <f t="shared" si="2"/>
        <v>0</v>
      </c>
    </row>
    <row r="39" spans="1:23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36">
        <f t="shared" si="2"/>
        <v>0</v>
      </c>
    </row>
    <row r="40" spans="1:23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V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25"/>
        <v>0</v>
      </c>
      <c r="T40" s="37"/>
      <c r="U40" s="37"/>
      <c r="V40" s="36">
        <f t="shared" si="25"/>
        <v>0</v>
      </c>
      <c r="W40" s="36">
        <f t="shared" si="2"/>
        <v>0</v>
      </c>
    </row>
    <row r="41" spans="1:23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36">
        <f t="shared" si="2"/>
        <v>0</v>
      </c>
    </row>
    <row r="42" spans="1:23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V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26"/>
        <v>0</v>
      </c>
      <c r="T42" s="37"/>
      <c r="U42" s="37"/>
      <c r="V42" s="36">
        <f t="shared" si="26"/>
        <v>0</v>
      </c>
      <c r="W42" s="36">
        <f t="shared" si="2"/>
        <v>0</v>
      </c>
    </row>
    <row r="43" spans="1:23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36">
        <f t="shared" si="2"/>
        <v>0</v>
      </c>
    </row>
    <row r="44" spans="1:23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36">
        <f t="shared" si="2"/>
        <v>0</v>
      </c>
    </row>
    <row r="45" spans="1:23">
      <c r="A45" s="33" t="s">
        <v>280</v>
      </c>
      <c r="B45" s="34" t="s">
        <v>281</v>
      </c>
      <c r="C45" s="34"/>
      <c r="D45" s="35" t="s">
        <v>183</v>
      </c>
      <c r="E45" s="36">
        <f>E46</f>
        <v>5400</v>
      </c>
      <c r="F45" s="36">
        <f t="shared" ref="F45:V45" si="27">F46</f>
        <v>5040</v>
      </c>
      <c r="G45" s="36">
        <f t="shared" si="27"/>
        <v>7560</v>
      </c>
      <c r="H45" s="36">
        <f t="shared" si="27"/>
        <v>5400</v>
      </c>
      <c r="I45" s="36">
        <f t="shared" si="27"/>
        <v>1440</v>
      </c>
      <c r="J45" s="36">
        <f t="shared" si="27"/>
        <v>1800</v>
      </c>
      <c r="K45" s="36">
        <f t="shared" si="27"/>
        <v>3960</v>
      </c>
      <c r="L45" s="36">
        <f t="shared" si="27"/>
        <v>2520</v>
      </c>
      <c r="M45" s="36">
        <f t="shared" si="27"/>
        <v>5760</v>
      </c>
      <c r="N45" s="36">
        <f t="shared" si="27"/>
        <v>6840</v>
      </c>
      <c r="O45" s="36">
        <f t="shared" si="27"/>
        <v>5400</v>
      </c>
      <c r="P45" s="36">
        <f t="shared" si="27"/>
        <v>5400</v>
      </c>
      <c r="Q45" s="36">
        <f t="shared" si="27"/>
        <v>2520</v>
      </c>
      <c r="R45" s="36">
        <f t="shared" si="27"/>
        <v>3240</v>
      </c>
      <c r="S45" s="36">
        <f t="shared" si="27"/>
        <v>3240</v>
      </c>
      <c r="T45" s="37">
        <f t="shared" si="27"/>
        <v>4680</v>
      </c>
      <c r="U45" s="37">
        <f t="shared" si="27"/>
        <v>360</v>
      </c>
      <c r="V45" s="36">
        <f t="shared" si="27"/>
        <v>0</v>
      </c>
      <c r="W45" s="36">
        <f t="shared" si="2"/>
        <v>70560</v>
      </c>
    </row>
    <row r="46" spans="1:23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5400</v>
      </c>
      <c r="F46" s="37">
        <v>5040</v>
      </c>
      <c r="G46" s="37">
        <v>7560</v>
      </c>
      <c r="H46" s="37">
        <v>5400</v>
      </c>
      <c r="I46" s="37">
        <v>1440</v>
      </c>
      <c r="J46" s="37">
        <v>1800</v>
      </c>
      <c r="K46" s="37">
        <v>3960</v>
      </c>
      <c r="L46" s="37">
        <v>2520</v>
      </c>
      <c r="M46" s="37">
        <v>5760</v>
      </c>
      <c r="N46" s="37">
        <v>6840</v>
      </c>
      <c r="O46" s="37">
        <v>5400</v>
      </c>
      <c r="P46" s="37">
        <v>5400</v>
      </c>
      <c r="Q46" s="37">
        <v>2520</v>
      </c>
      <c r="R46" s="37">
        <v>3240</v>
      </c>
      <c r="S46" s="37">
        <v>3240</v>
      </c>
      <c r="T46" s="37">
        <v>4680</v>
      </c>
      <c r="U46" s="37">
        <v>360</v>
      </c>
      <c r="V46" s="37"/>
      <c r="W46" s="36">
        <f t="shared" si="2"/>
        <v>70560</v>
      </c>
    </row>
    <row r="47" spans="1:23">
      <c r="A47" s="33" t="s">
        <v>284</v>
      </c>
      <c r="B47" s="34" t="s">
        <v>285</v>
      </c>
      <c r="C47" s="34"/>
      <c r="D47" s="35" t="s">
        <v>183</v>
      </c>
      <c r="E47" s="36">
        <f>SUM(E48:E51)</f>
        <v>3000</v>
      </c>
      <c r="F47" s="36">
        <f t="shared" ref="F47:V47" si="28">SUM(F48:F51)</f>
        <v>7200</v>
      </c>
      <c r="G47" s="36">
        <f t="shared" si="28"/>
        <v>7200</v>
      </c>
      <c r="H47" s="36">
        <f t="shared" si="28"/>
        <v>5400</v>
      </c>
      <c r="I47" s="36">
        <f t="shared" si="28"/>
        <v>3600</v>
      </c>
      <c r="J47" s="36">
        <f t="shared" si="28"/>
        <v>5400</v>
      </c>
      <c r="K47" s="36">
        <f t="shared" si="28"/>
        <v>8400</v>
      </c>
      <c r="L47" s="36">
        <f t="shared" si="28"/>
        <v>45451.199999999997</v>
      </c>
      <c r="M47" s="36">
        <f t="shared" si="28"/>
        <v>9600</v>
      </c>
      <c r="N47" s="36">
        <f t="shared" si="28"/>
        <v>6000</v>
      </c>
      <c r="O47" s="36">
        <f t="shared" si="28"/>
        <v>4200</v>
      </c>
      <c r="P47" s="36">
        <f t="shared" si="28"/>
        <v>7800</v>
      </c>
      <c r="Q47" s="36">
        <f t="shared" si="28"/>
        <v>1800</v>
      </c>
      <c r="R47" s="36">
        <f t="shared" si="28"/>
        <v>6600</v>
      </c>
      <c r="S47" s="36">
        <f t="shared" si="28"/>
        <v>1800</v>
      </c>
      <c r="T47" s="37">
        <f t="shared" si="28"/>
        <v>3600</v>
      </c>
      <c r="U47" s="37">
        <f t="shared" si="28"/>
        <v>0</v>
      </c>
      <c r="V47" s="36">
        <f t="shared" si="28"/>
        <v>1200</v>
      </c>
      <c r="W47" s="36">
        <f t="shared" si="2"/>
        <v>128251.2</v>
      </c>
    </row>
    <row r="48" spans="1:23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3000</v>
      </c>
      <c r="F48" s="37">
        <v>7200</v>
      </c>
      <c r="G48" s="37">
        <v>7200</v>
      </c>
      <c r="H48" s="37">
        <v>5400</v>
      </c>
      <c r="I48" s="37">
        <v>3600</v>
      </c>
      <c r="J48" s="37">
        <v>5400</v>
      </c>
      <c r="K48" s="37">
        <v>8400</v>
      </c>
      <c r="L48" s="37">
        <v>6600</v>
      </c>
      <c r="M48" s="37">
        <v>9600</v>
      </c>
      <c r="N48" s="37">
        <v>6000</v>
      </c>
      <c r="O48" s="37">
        <v>4200</v>
      </c>
      <c r="P48" s="37">
        <v>7800</v>
      </c>
      <c r="Q48" s="37">
        <v>1800</v>
      </c>
      <c r="R48" s="37">
        <v>6600</v>
      </c>
      <c r="S48" s="37">
        <v>1800</v>
      </c>
      <c r="T48" s="37">
        <v>3600</v>
      </c>
      <c r="U48" s="37"/>
      <c r="V48" s="37">
        <v>1200</v>
      </c>
      <c r="W48" s="36">
        <f t="shared" si="2"/>
        <v>89400</v>
      </c>
    </row>
    <row r="49" spans="1:23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36">
        <f t="shared" si="2"/>
        <v>0</v>
      </c>
    </row>
    <row r="50" spans="1:23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36">
        <f t="shared" si="2"/>
        <v>0</v>
      </c>
    </row>
    <row r="51" spans="1:23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43">
        <v>38851.199999999997</v>
      </c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36">
        <f t="shared" si="2"/>
        <v>38851.199999999997</v>
      </c>
    </row>
    <row r="52" spans="1:23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2850683.6500000004</v>
      </c>
      <c r="F52" s="36">
        <f t="shared" ref="F52:V52" si="29">F53+F71+F73+F75+F77+F79+F81+F83+F85+F93</f>
        <v>2867201.8000000003</v>
      </c>
      <c r="G52" s="36">
        <f t="shared" si="29"/>
        <v>2636507.96</v>
      </c>
      <c r="H52" s="36">
        <f t="shared" si="29"/>
        <v>3243435.2</v>
      </c>
      <c r="I52" s="36">
        <f t="shared" si="29"/>
        <v>2111457.6500000004</v>
      </c>
      <c r="J52" s="36">
        <f t="shared" si="29"/>
        <v>4566123.3499999996</v>
      </c>
      <c r="K52" s="36">
        <f t="shared" si="29"/>
        <v>2867368</v>
      </c>
      <c r="L52" s="36">
        <f t="shared" si="29"/>
        <v>3065513.25</v>
      </c>
      <c r="M52" s="36">
        <f t="shared" si="29"/>
        <v>5700279.7999999998</v>
      </c>
      <c r="N52" s="36">
        <f t="shared" si="29"/>
        <v>2802948.3</v>
      </c>
      <c r="O52" s="36">
        <f t="shared" si="29"/>
        <v>1975352.55</v>
      </c>
      <c r="P52" s="36">
        <f t="shared" si="29"/>
        <v>3182002.08</v>
      </c>
      <c r="Q52" s="36">
        <f t="shared" si="29"/>
        <v>1138683.2999999998</v>
      </c>
      <c r="R52" s="36">
        <f t="shared" si="29"/>
        <v>2436572.02</v>
      </c>
      <c r="S52" s="36">
        <f t="shared" si="29"/>
        <v>1125829.8499999999</v>
      </c>
      <c r="T52" s="37">
        <f t="shared" si="29"/>
        <v>1820863.9</v>
      </c>
      <c r="U52" s="37">
        <f t="shared" si="29"/>
        <v>986101.2</v>
      </c>
      <c r="V52" s="36">
        <f t="shared" si="29"/>
        <v>216740.8</v>
      </c>
      <c r="W52" s="36">
        <f t="shared" si="2"/>
        <v>45593664.659999996</v>
      </c>
    </row>
    <row r="53" spans="1:23">
      <c r="A53" s="33" t="s">
        <v>299</v>
      </c>
      <c r="B53" s="34" t="s">
        <v>300</v>
      </c>
      <c r="C53" s="34"/>
      <c r="D53" s="35" t="s">
        <v>301</v>
      </c>
      <c r="E53" s="36">
        <f>SUM(E54:E70)</f>
        <v>1714950</v>
      </c>
      <c r="F53" s="36">
        <f t="shared" ref="F53:V53" si="30">SUM(F54:F70)</f>
        <v>1856480</v>
      </c>
      <c r="G53" s="36">
        <f t="shared" si="30"/>
        <v>1700830</v>
      </c>
      <c r="H53" s="36">
        <f t="shared" si="30"/>
        <v>2337550</v>
      </c>
      <c r="I53" s="36">
        <f t="shared" si="30"/>
        <v>1614000</v>
      </c>
      <c r="J53" s="36">
        <f t="shared" si="30"/>
        <v>3239580</v>
      </c>
      <c r="K53" s="36">
        <f t="shared" si="30"/>
        <v>1614000</v>
      </c>
      <c r="L53" s="36">
        <f t="shared" si="30"/>
        <v>2185100</v>
      </c>
      <c r="M53" s="36">
        <f t="shared" si="30"/>
        <v>4167630</v>
      </c>
      <c r="N53" s="36">
        <f t="shared" si="30"/>
        <v>2000820</v>
      </c>
      <c r="O53" s="36">
        <f t="shared" si="30"/>
        <v>1415120</v>
      </c>
      <c r="P53" s="36">
        <f t="shared" si="30"/>
        <v>2425920</v>
      </c>
      <c r="Q53" s="36">
        <f t="shared" si="30"/>
        <v>798000</v>
      </c>
      <c r="R53" s="36">
        <f t="shared" si="30"/>
        <v>1779540</v>
      </c>
      <c r="S53" s="36">
        <f t="shared" si="30"/>
        <v>803820</v>
      </c>
      <c r="T53" s="37">
        <f t="shared" si="30"/>
        <v>1347460</v>
      </c>
      <c r="U53" s="37">
        <f t="shared" si="30"/>
        <v>798000</v>
      </c>
      <c r="V53" s="36">
        <f t="shared" si="30"/>
        <v>128000</v>
      </c>
      <c r="W53" s="36">
        <f t="shared" si="2"/>
        <v>31926800</v>
      </c>
    </row>
    <row r="54" spans="1:23">
      <c r="A54" s="33" t="s">
        <v>302</v>
      </c>
      <c r="B54" s="34" t="s">
        <v>303</v>
      </c>
      <c r="C54" s="34" t="s">
        <v>189</v>
      </c>
      <c r="D54" s="47"/>
      <c r="E54" s="37">
        <v>1635145.5</v>
      </c>
      <c r="F54" s="37">
        <v>1763656</v>
      </c>
      <c r="G54" s="37">
        <v>1615788.5</v>
      </c>
      <c r="H54" s="37">
        <v>2220672.5</v>
      </c>
      <c r="I54" s="37">
        <v>1597322</v>
      </c>
      <c r="J54" s="37">
        <v>3133418.5</v>
      </c>
      <c r="K54" s="37">
        <v>1540159.5</v>
      </c>
      <c r="L54" s="37">
        <v>2075845</v>
      </c>
      <c r="M54" s="37">
        <v>3959248.5</v>
      </c>
      <c r="N54" s="37">
        <v>1908094</v>
      </c>
      <c r="O54" s="37">
        <v>1344364</v>
      </c>
      <c r="P54" s="37">
        <v>2305555</v>
      </c>
      <c r="Q54" s="37">
        <v>758632</v>
      </c>
      <c r="R54" s="37">
        <v>1695617</v>
      </c>
      <c r="S54" s="37">
        <v>764161</v>
      </c>
      <c r="T54" s="37">
        <v>1299904</v>
      </c>
      <c r="U54" s="37">
        <v>784833</v>
      </c>
      <c r="V54" s="37">
        <v>121600</v>
      </c>
      <c r="W54" s="36">
        <f t="shared" si="2"/>
        <v>30524016</v>
      </c>
    </row>
    <row r="55" spans="1:23">
      <c r="A55" s="33" t="s">
        <v>304</v>
      </c>
      <c r="B55" s="34" t="s">
        <v>305</v>
      </c>
      <c r="C55" s="34" t="s">
        <v>189</v>
      </c>
      <c r="D55" s="4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6">
        <f t="shared" si="2"/>
        <v>0</v>
      </c>
    </row>
    <row r="56" spans="1:23">
      <c r="A56" s="33" t="s">
        <v>306</v>
      </c>
      <c r="B56" s="34" t="s">
        <v>307</v>
      </c>
      <c r="C56" s="34" t="s">
        <v>189</v>
      </c>
      <c r="D56" s="4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6">
        <f t="shared" si="2"/>
        <v>0</v>
      </c>
    </row>
    <row r="57" spans="1:23">
      <c r="A57" s="33" t="s">
        <v>308</v>
      </c>
      <c r="B57" s="34" t="s">
        <v>309</v>
      </c>
      <c r="C57" s="34" t="s">
        <v>189</v>
      </c>
      <c r="D57" s="4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6">
        <f t="shared" si="2"/>
        <v>0</v>
      </c>
    </row>
    <row r="58" spans="1:23">
      <c r="A58" s="33" t="s">
        <v>310</v>
      </c>
      <c r="B58" s="34" t="s">
        <v>311</v>
      </c>
      <c r="C58" s="34" t="s">
        <v>189</v>
      </c>
      <c r="D58" s="4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6">
        <f t="shared" si="2"/>
        <v>0</v>
      </c>
    </row>
    <row r="59" spans="1:23">
      <c r="A59" s="33" t="s">
        <v>312</v>
      </c>
      <c r="B59" s="34" t="s">
        <v>313</v>
      </c>
      <c r="C59" s="34" t="s">
        <v>189</v>
      </c>
      <c r="D59" s="4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6">
        <f t="shared" si="2"/>
        <v>0</v>
      </c>
    </row>
    <row r="60" spans="1:23">
      <c r="A60" s="33" t="s">
        <v>314</v>
      </c>
      <c r="B60" s="34" t="s">
        <v>315</v>
      </c>
      <c r="C60" s="34" t="s">
        <v>189</v>
      </c>
      <c r="D60" s="4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6">
        <f t="shared" si="2"/>
        <v>0</v>
      </c>
    </row>
    <row r="61" spans="1:23">
      <c r="A61" s="33" t="s">
        <v>316</v>
      </c>
      <c r="B61" s="34" t="s">
        <v>317</v>
      </c>
      <c r="C61" s="34" t="s">
        <v>189</v>
      </c>
      <c r="D61" s="4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6">
        <f t="shared" si="2"/>
        <v>0</v>
      </c>
    </row>
    <row r="62" spans="1:23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6">
        <f t="shared" si="2"/>
        <v>0</v>
      </c>
    </row>
    <row r="63" spans="1:23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79804.5</v>
      </c>
      <c r="F63" s="37">
        <v>92824</v>
      </c>
      <c r="G63" s="37">
        <v>85041.5</v>
      </c>
      <c r="H63" s="37">
        <v>116877.5</v>
      </c>
      <c r="I63" s="37">
        <v>16678</v>
      </c>
      <c r="J63" s="37">
        <v>106161.5</v>
      </c>
      <c r="K63" s="37">
        <v>73840.5</v>
      </c>
      <c r="L63" s="37">
        <v>109255</v>
      </c>
      <c r="M63" s="37">
        <v>208381.5</v>
      </c>
      <c r="N63" s="37">
        <v>92726</v>
      </c>
      <c r="O63" s="37">
        <v>70756</v>
      </c>
      <c r="P63" s="37">
        <v>120365</v>
      </c>
      <c r="Q63" s="37">
        <v>39368</v>
      </c>
      <c r="R63" s="37">
        <v>83923</v>
      </c>
      <c r="S63" s="37">
        <v>39659</v>
      </c>
      <c r="T63" s="37">
        <v>47556</v>
      </c>
      <c r="U63" s="37">
        <v>13167</v>
      </c>
      <c r="V63" s="37">
        <v>6400</v>
      </c>
      <c r="W63" s="36">
        <f t="shared" si="2"/>
        <v>1402784</v>
      </c>
    </row>
    <row r="64" spans="1:23">
      <c r="A64" s="33" t="s">
        <v>324</v>
      </c>
      <c r="B64" s="34" t="s">
        <v>325</v>
      </c>
      <c r="C64" s="34" t="s">
        <v>189</v>
      </c>
      <c r="D64" s="4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6">
        <f t="shared" si="2"/>
        <v>0</v>
      </c>
    </row>
    <row r="65" spans="1:23">
      <c r="A65" s="33" t="s">
        <v>326</v>
      </c>
      <c r="B65" s="34" t="s">
        <v>327</v>
      </c>
      <c r="C65" s="34" t="s">
        <v>189</v>
      </c>
      <c r="D65" s="4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6">
        <f t="shared" si="2"/>
        <v>0</v>
      </c>
    </row>
    <row r="66" spans="1:23">
      <c r="A66" s="33" t="s">
        <v>328</v>
      </c>
      <c r="B66" s="34" t="s">
        <v>329</v>
      </c>
      <c r="C66" s="34" t="s">
        <v>189</v>
      </c>
      <c r="D66" s="4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6">
        <f t="shared" si="2"/>
        <v>0</v>
      </c>
    </row>
    <row r="67" spans="1:23">
      <c r="A67" s="33" t="s">
        <v>330</v>
      </c>
      <c r="B67" s="34" t="s">
        <v>331</v>
      </c>
      <c r="C67" s="34" t="s">
        <v>189</v>
      </c>
      <c r="D67" s="4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6">
        <f t="shared" si="2"/>
        <v>0</v>
      </c>
    </row>
    <row r="68" spans="1:23">
      <c r="A68" s="33" t="s">
        <v>332</v>
      </c>
      <c r="B68" s="34" t="s">
        <v>333</v>
      </c>
      <c r="C68" s="34" t="s">
        <v>189</v>
      </c>
      <c r="D68" s="4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6">
        <f t="shared" ref="W68:W109" si="31">SUM(E68:V68)</f>
        <v>0</v>
      </c>
    </row>
    <row r="69" spans="1:23">
      <c r="A69" s="33" t="s">
        <v>334</v>
      </c>
      <c r="B69" s="34" t="s">
        <v>335</v>
      </c>
      <c r="C69" s="34" t="s">
        <v>189</v>
      </c>
      <c r="D69" s="4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6">
        <f t="shared" si="31"/>
        <v>0</v>
      </c>
    </row>
    <row r="70" spans="1:23">
      <c r="A70" s="33" t="s">
        <v>336</v>
      </c>
      <c r="B70" s="34" t="s">
        <v>337</v>
      </c>
      <c r="C70" s="34" t="s">
        <v>189</v>
      </c>
      <c r="D70" s="4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6">
        <f t="shared" si="31"/>
        <v>0</v>
      </c>
    </row>
    <row r="71" spans="1:23">
      <c r="A71" s="33" t="s">
        <v>338</v>
      </c>
      <c r="B71" s="34" t="s">
        <v>339</v>
      </c>
      <c r="C71" s="34"/>
      <c r="D71" s="35"/>
      <c r="E71" s="36">
        <f>E72</f>
        <v>26800</v>
      </c>
      <c r="F71" s="36">
        <f t="shared" ref="F71:V71" si="32">F72</f>
        <v>26800</v>
      </c>
      <c r="G71" s="36">
        <f t="shared" si="32"/>
        <v>27600</v>
      </c>
      <c r="H71" s="36">
        <f t="shared" si="32"/>
        <v>26400</v>
      </c>
      <c r="I71" s="36">
        <f t="shared" si="32"/>
        <v>7200</v>
      </c>
      <c r="J71" s="36">
        <f t="shared" si="32"/>
        <v>30000</v>
      </c>
      <c r="K71" s="36">
        <f t="shared" si="32"/>
        <v>34400</v>
      </c>
      <c r="L71" s="36">
        <f t="shared" si="32"/>
        <v>26800</v>
      </c>
      <c r="M71" s="36">
        <f t="shared" si="32"/>
        <v>46800</v>
      </c>
      <c r="N71" s="36">
        <f t="shared" si="32"/>
        <v>23200</v>
      </c>
      <c r="O71" s="36">
        <f t="shared" si="32"/>
        <v>18800</v>
      </c>
      <c r="P71" s="36">
        <f t="shared" si="32"/>
        <v>24000</v>
      </c>
      <c r="Q71" s="36">
        <f t="shared" si="32"/>
        <v>10000</v>
      </c>
      <c r="R71" s="36">
        <f t="shared" si="32"/>
        <v>20400</v>
      </c>
      <c r="S71" s="36">
        <f t="shared" si="32"/>
        <v>9200</v>
      </c>
      <c r="T71" s="37">
        <f t="shared" si="32"/>
        <v>14000</v>
      </c>
      <c r="U71" s="37">
        <f t="shared" si="32"/>
        <v>2800</v>
      </c>
      <c r="V71" s="36">
        <f t="shared" si="32"/>
        <v>1600</v>
      </c>
      <c r="W71" s="36">
        <f t="shared" si="31"/>
        <v>376800</v>
      </c>
    </row>
    <row r="72" spans="1:23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26800</v>
      </c>
      <c r="F72" s="36">
        <f t="shared" ref="F72:V72" si="33">F96*400</f>
        <v>26800</v>
      </c>
      <c r="G72" s="36">
        <f t="shared" si="33"/>
        <v>27600</v>
      </c>
      <c r="H72" s="36">
        <f t="shared" si="33"/>
        <v>26400</v>
      </c>
      <c r="I72" s="36">
        <f t="shared" si="33"/>
        <v>7200</v>
      </c>
      <c r="J72" s="36">
        <f t="shared" si="33"/>
        <v>30000</v>
      </c>
      <c r="K72" s="36">
        <f t="shared" si="33"/>
        <v>34400</v>
      </c>
      <c r="L72" s="36">
        <f t="shared" si="33"/>
        <v>26800</v>
      </c>
      <c r="M72" s="36">
        <f t="shared" si="33"/>
        <v>46800</v>
      </c>
      <c r="N72" s="36">
        <f t="shared" si="33"/>
        <v>23200</v>
      </c>
      <c r="O72" s="36">
        <f t="shared" si="33"/>
        <v>18800</v>
      </c>
      <c r="P72" s="36">
        <f t="shared" si="33"/>
        <v>24000</v>
      </c>
      <c r="Q72" s="36">
        <f t="shared" si="33"/>
        <v>10000</v>
      </c>
      <c r="R72" s="36">
        <f t="shared" si="33"/>
        <v>20400</v>
      </c>
      <c r="S72" s="36">
        <f t="shared" si="33"/>
        <v>9200</v>
      </c>
      <c r="T72" s="37">
        <f t="shared" si="33"/>
        <v>14000</v>
      </c>
      <c r="U72" s="37">
        <f t="shared" si="33"/>
        <v>2800</v>
      </c>
      <c r="V72" s="36">
        <f t="shared" si="33"/>
        <v>1600</v>
      </c>
      <c r="W72" s="36">
        <f t="shared" si="31"/>
        <v>376800</v>
      </c>
    </row>
    <row r="73" spans="1:23">
      <c r="A73" s="33" t="s">
        <v>343</v>
      </c>
      <c r="B73" s="34" t="s">
        <v>344</v>
      </c>
      <c r="C73" s="34"/>
      <c r="D73" s="35" t="s">
        <v>183</v>
      </c>
      <c r="E73" s="36">
        <f>E74</f>
        <v>118770.45</v>
      </c>
      <c r="F73" s="36">
        <f t="shared" ref="F73:V73" si="34">F74</f>
        <v>184792.19999999998</v>
      </c>
      <c r="G73" s="36">
        <f t="shared" si="34"/>
        <v>77265</v>
      </c>
      <c r="H73" s="36">
        <f t="shared" si="34"/>
        <v>259299.59999999998</v>
      </c>
      <c r="I73" s="36">
        <f t="shared" si="34"/>
        <v>256806.45</v>
      </c>
      <c r="J73" s="36">
        <f t="shared" si="34"/>
        <v>191508.15</v>
      </c>
      <c r="K73" s="36">
        <f t="shared" si="34"/>
        <v>164731.20000000001</v>
      </c>
      <c r="L73" s="36">
        <f t="shared" si="34"/>
        <v>98189.25</v>
      </c>
      <c r="M73" s="36">
        <f t="shared" si="34"/>
        <v>310345.80000000005</v>
      </c>
      <c r="N73" s="36">
        <f t="shared" si="34"/>
        <v>141067.5</v>
      </c>
      <c r="O73" s="36">
        <f t="shared" si="34"/>
        <v>69733.350000000006</v>
      </c>
      <c r="P73" s="36">
        <f t="shared" si="34"/>
        <v>173365.2</v>
      </c>
      <c r="Q73" s="36">
        <f t="shared" si="34"/>
        <v>88565.7</v>
      </c>
      <c r="R73" s="36">
        <f t="shared" si="34"/>
        <v>153908.1</v>
      </c>
      <c r="S73" s="36">
        <f t="shared" si="34"/>
        <v>88875.45</v>
      </c>
      <c r="T73" s="37">
        <f t="shared" si="34"/>
        <v>119667.9</v>
      </c>
      <c r="U73" s="37">
        <f t="shared" si="34"/>
        <v>84090</v>
      </c>
      <c r="V73" s="36">
        <f t="shared" si="34"/>
        <v>0</v>
      </c>
      <c r="W73" s="36">
        <f t="shared" si="31"/>
        <v>2580981.3000000003</v>
      </c>
    </row>
    <row r="74" spans="1:23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118770.45</v>
      </c>
      <c r="F74" s="36">
        <f t="shared" ref="F74:V74" si="35">F108*15</f>
        <v>184792.19999999998</v>
      </c>
      <c r="G74" s="36">
        <f t="shared" si="35"/>
        <v>77265</v>
      </c>
      <c r="H74" s="36">
        <f t="shared" si="35"/>
        <v>259299.59999999998</v>
      </c>
      <c r="I74" s="36">
        <f t="shared" si="35"/>
        <v>256806.45</v>
      </c>
      <c r="J74" s="36">
        <f t="shared" si="35"/>
        <v>191508.15</v>
      </c>
      <c r="K74" s="36">
        <f t="shared" si="35"/>
        <v>164731.20000000001</v>
      </c>
      <c r="L74" s="36">
        <f t="shared" si="35"/>
        <v>98189.25</v>
      </c>
      <c r="M74" s="36">
        <f t="shared" si="35"/>
        <v>310345.80000000005</v>
      </c>
      <c r="N74" s="36">
        <f t="shared" si="35"/>
        <v>141067.5</v>
      </c>
      <c r="O74" s="36">
        <f t="shared" si="35"/>
        <v>69733.350000000006</v>
      </c>
      <c r="P74" s="36">
        <f t="shared" si="35"/>
        <v>173365.2</v>
      </c>
      <c r="Q74" s="36">
        <f t="shared" si="35"/>
        <v>88565.7</v>
      </c>
      <c r="R74" s="36">
        <f t="shared" si="35"/>
        <v>153908.1</v>
      </c>
      <c r="S74" s="36">
        <f t="shared" si="35"/>
        <v>88875.45</v>
      </c>
      <c r="T74" s="37">
        <f t="shared" si="35"/>
        <v>119667.9</v>
      </c>
      <c r="U74" s="37">
        <f t="shared" si="35"/>
        <v>84090</v>
      </c>
      <c r="V74" s="36">
        <f t="shared" si="35"/>
        <v>0</v>
      </c>
      <c r="W74" s="36">
        <f t="shared" si="31"/>
        <v>2580981.3000000003</v>
      </c>
    </row>
    <row r="75" spans="1:23">
      <c r="A75" s="33" t="s">
        <v>348</v>
      </c>
      <c r="B75" s="34" t="s">
        <v>349</v>
      </c>
      <c r="C75" s="34"/>
      <c r="D75" s="35" t="s">
        <v>183</v>
      </c>
      <c r="E75" s="36">
        <f>E76</f>
        <v>45600</v>
      </c>
      <c r="F75" s="36">
        <f t="shared" ref="F75:V75" si="36">F76</f>
        <v>28240</v>
      </c>
      <c r="G75" s="36">
        <f t="shared" si="36"/>
        <v>31208</v>
      </c>
      <c r="H75" s="36">
        <f t="shared" si="36"/>
        <v>70433.600000000006</v>
      </c>
      <c r="I75" s="36">
        <f t="shared" si="36"/>
        <v>53697.599999999999</v>
      </c>
      <c r="J75" s="36">
        <f t="shared" si="36"/>
        <v>60304</v>
      </c>
      <c r="K75" s="36">
        <f t="shared" si="36"/>
        <v>76688</v>
      </c>
      <c r="L75" s="36">
        <f t="shared" si="36"/>
        <v>31192</v>
      </c>
      <c r="M75" s="36">
        <f t="shared" si="36"/>
        <v>97640</v>
      </c>
      <c r="N75" s="36">
        <f t="shared" si="36"/>
        <v>33144</v>
      </c>
      <c r="O75" s="36">
        <f t="shared" si="36"/>
        <v>19888</v>
      </c>
      <c r="P75" s="36">
        <f t="shared" si="36"/>
        <v>33504.080000000002</v>
      </c>
      <c r="Q75" s="36">
        <f t="shared" si="36"/>
        <v>18549.599999999999</v>
      </c>
      <c r="R75" s="36">
        <f t="shared" si="36"/>
        <v>34051.919999999998</v>
      </c>
      <c r="S75" s="36">
        <f t="shared" si="36"/>
        <v>16240</v>
      </c>
      <c r="T75" s="37">
        <f t="shared" si="36"/>
        <v>45420.800000000003</v>
      </c>
      <c r="U75" s="37">
        <f t="shared" si="36"/>
        <v>15715.2</v>
      </c>
      <c r="V75" s="36">
        <f t="shared" si="36"/>
        <v>0</v>
      </c>
      <c r="W75" s="36">
        <f t="shared" si="31"/>
        <v>711516.79999999993</v>
      </c>
    </row>
    <row r="76" spans="1:23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45600</v>
      </c>
      <c r="F76" s="36">
        <f t="shared" ref="F76:V76" si="37">F109*8</f>
        <v>28240</v>
      </c>
      <c r="G76" s="36">
        <f t="shared" si="37"/>
        <v>31208</v>
      </c>
      <c r="H76" s="36">
        <f t="shared" si="37"/>
        <v>70433.600000000006</v>
      </c>
      <c r="I76" s="36">
        <f t="shared" si="37"/>
        <v>53697.599999999999</v>
      </c>
      <c r="J76" s="36">
        <f t="shared" si="37"/>
        <v>60304</v>
      </c>
      <c r="K76" s="36">
        <f t="shared" si="37"/>
        <v>76688</v>
      </c>
      <c r="L76" s="36">
        <f t="shared" si="37"/>
        <v>31192</v>
      </c>
      <c r="M76" s="36">
        <f t="shared" si="37"/>
        <v>97640</v>
      </c>
      <c r="N76" s="36">
        <f t="shared" si="37"/>
        <v>33144</v>
      </c>
      <c r="O76" s="36">
        <f t="shared" si="37"/>
        <v>19888</v>
      </c>
      <c r="P76" s="36">
        <f t="shared" si="37"/>
        <v>33504.080000000002</v>
      </c>
      <c r="Q76" s="36">
        <f t="shared" si="37"/>
        <v>18549.599999999999</v>
      </c>
      <c r="R76" s="36">
        <f t="shared" si="37"/>
        <v>34051.919999999998</v>
      </c>
      <c r="S76" s="36">
        <f t="shared" si="37"/>
        <v>16240</v>
      </c>
      <c r="T76" s="37">
        <f t="shared" si="37"/>
        <v>45420.800000000003</v>
      </c>
      <c r="U76" s="37">
        <f t="shared" si="37"/>
        <v>15715.2</v>
      </c>
      <c r="V76" s="36">
        <f t="shared" si="37"/>
        <v>0</v>
      </c>
      <c r="W76" s="36">
        <f t="shared" si="31"/>
        <v>711516.79999999993</v>
      </c>
    </row>
    <row r="77" spans="1:23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V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8"/>
        <v>0</v>
      </c>
      <c r="T77" s="37"/>
      <c r="U77" s="37"/>
      <c r="V77" s="36">
        <f t="shared" si="38"/>
        <v>0</v>
      </c>
      <c r="W77" s="36">
        <f t="shared" si="31"/>
        <v>0</v>
      </c>
    </row>
    <row r="78" spans="1:23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36">
        <f t="shared" si="31"/>
        <v>0</v>
      </c>
    </row>
    <row r="79" spans="1:23">
      <c r="A79" s="33" t="s">
        <v>357</v>
      </c>
      <c r="B79" s="34" t="s">
        <v>358</v>
      </c>
      <c r="C79" s="34"/>
      <c r="D79" s="35" t="s">
        <v>183</v>
      </c>
      <c r="E79" s="36">
        <f>E80</f>
        <v>289440</v>
      </c>
      <c r="F79" s="36">
        <f t="shared" ref="F79:V79" si="39">F80</f>
        <v>289440</v>
      </c>
      <c r="G79" s="36">
        <f t="shared" si="39"/>
        <v>298080</v>
      </c>
      <c r="H79" s="36">
        <f t="shared" si="39"/>
        <v>285120</v>
      </c>
      <c r="I79" s="36">
        <f t="shared" si="39"/>
        <v>77760</v>
      </c>
      <c r="J79" s="36">
        <f t="shared" si="39"/>
        <v>324000</v>
      </c>
      <c r="K79" s="36">
        <f t="shared" si="39"/>
        <v>371520</v>
      </c>
      <c r="L79" s="36">
        <f t="shared" si="39"/>
        <v>289440</v>
      </c>
      <c r="M79" s="36">
        <f t="shared" si="39"/>
        <v>505440</v>
      </c>
      <c r="N79" s="36">
        <f t="shared" si="39"/>
        <v>250560</v>
      </c>
      <c r="O79" s="36">
        <f t="shared" si="39"/>
        <v>203040</v>
      </c>
      <c r="P79" s="36">
        <f t="shared" si="39"/>
        <v>259200</v>
      </c>
      <c r="Q79" s="36">
        <f t="shared" si="39"/>
        <v>108000</v>
      </c>
      <c r="R79" s="36">
        <f t="shared" si="39"/>
        <v>220320</v>
      </c>
      <c r="S79" s="36">
        <f t="shared" si="39"/>
        <v>99360</v>
      </c>
      <c r="T79" s="37">
        <f t="shared" si="39"/>
        <v>151200</v>
      </c>
      <c r="U79" s="37">
        <f t="shared" si="39"/>
        <v>30240</v>
      </c>
      <c r="V79" s="36">
        <f t="shared" si="39"/>
        <v>17280</v>
      </c>
      <c r="W79" s="36">
        <f t="shared" si="31"/>
        <v>4069440</v>
      </c>
    </row>
    <row r="80" spans="1:23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289440</v>
      </c>
      <c r="F80" s="36">
        <f t="shared" ref="F80:V80" si="40">F96*4320</f>
        <v>289440</v>
      </c>
      <c r="G80" s="36">
        <f t="shared" si="40"/>
        <v>298080</v>
      </c>
      <c r="H80" s="36">
        <f t="shared" si="40"/>
        <v>285120</v>
      </c>
      <c r="I80" s="36">
        <f t="shared" si="40"/>
        <v>77760</v>
      </c>
      <c r="J80" s="36">
        <f t="shared" si="40"/>
        <v>324000</v>
      </c>
      <c r="K80" s="36">
        <f t="shared" si="40"/>
        <v>371520</v>
      </c>
      <c r="L80" s="36">
        <f t="shared" si="40"/>
        <v>289440</v>
      </c>
      <c r="M80" s="36">
        <f t="shared" si="40"/>
        <v>505440</v>
      </c>
      <c r="N80" s="36">
        <f t="shared" si="40"/>
        <v>250560</v>
      </c>
      <c r="O80" s="36">
        <f t="shared" si="40"/>
        <v>203040</v>
      </c>
      <c r="P80" s="36">
        <f t="shared" si="40"/>
        <v>259200</v>
      </c>
      <c r="Q80" s="36">
        <f t="shared" si="40"/>
        <v>108000</v>
      </c>
      <c r="R80" s="36">
        <f t="shared" si="40"/>
        <v>220320</v>
      </c>
      <c r="S80" s="36">
        <f t="shared" si="40"/>
        <v>99360</v>
      </c>
      <c r="T80" s="37">
        <f t="shared" si="40"/>
        <v>151200</v>
      </c>
      <c r="U80" s="37">
        <f t="shared" si="40"/>
        <v>30240</v>
      </c>
      <c r="V80" s="36">
        <f t="shared" si="40"/>
        <v>17280</v>
      </c>
      <c r="W80" s="36">
        <f t="shared" si="31"/>
        <v>4069440</v>
      </c>
    </row>
    <row r="81" spans="1:23">
      <c r="A81" s="33" t="s">
        <v>362</v>
      </c>
      <c r="B81" s="34" t="s">
        <v>363</v>
      </c>
      <c r="C81" s="34"/>
      <c r="D81" s="35" t="s">
        <v>183</v>
      </c>
      <c r="E81" s="36">
        <f>E82</f>
        <v>264403.20000000001</v>
      </c>
      <c r="F81" s="36">
        <f t="shared" ref="F81:V81" si="41">F82</f>
        <v>274809.59999999998</v>
      </c>
      <c r="G81" s="36">
        <f t="shared" si="41"/>
        <v>285444.96000000002</v>
      </c>
      <c r="H81" s="36">
        <f t="shared" si="41"/>
        <v>232632</v>
      </c>
      <c r="I81" s="36">
        <f t="shared" si="41"/>
        <v>69993.600000000006</v>
      </c>
      <c r="J81" s="36">
        <f t="shared" si="41"/>
        <v>288571.2</v>
      </c>
      <c r="K81" s="36">
        <f t="shared" si="41"/>
        <v>328588.79999999999</v>
      </c>
      <c r="L81" s="36">
        <f t="shared" si="41"/>
        <v>247032</v>
      </c>
      <c r="M81" s="36">
        <f t="shared" si="41"/>
        <v>417144</v>
      </c>
      <c r="N81" s="36">
        <f t="shared" si="41"/>
        <v>203596.79999999999</v>
      </c>
      <c r="O81" s="36">
        <f t="shared" si="41"/>
        <v>169291.2</v>
      </c>
      <c r="P81" s="36">
        <f t="shared" si="41"/>
        <v>196252.79999999999</v>
      </c>
      <c r="Q81" s="36">
        <f t="shared" si="41"/>
        <v>83568</v>
      </c>
      <c r="R81" s="36">
        <f t="shared" si="41"/>
        <v>172752</v>
      </c>
      <c r="S81" s="36">
        <f t="shared" si="41"/>
        <v>76334.399999999994</v>
      </c>
      <c r="T81" s="37">
        <f t="shared" si="41"/>
        <v>111115.2</v>
      </c>
      <c r="U81" s="37">
        <f t="shared" si="41"/>
        <v>23256</v>
      </c>
      <c r="V81" s="36">
        <f t="shared" si="41"/>
        <v>14260.8</v>
      </c>
      <c r="W81" s="36">
        <f t="shared" si="31"/>
        <v>3459046.56</v>
      </c>
    </row>
    <row r="82" spans="1:23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264403.20000000001</v>
      </c>
      <c r="F82" s="36">
        <f t="shared" ref="F82:V82" si="42">F16*4</f>
        <v>274809.59999999998</v>
      </c>
      <c r="G82" s="36">
        <f t="shared" si="42"/>
        <v>285444.96000000002</v>
      </c>
      <c r="H82" s="36">
        <f t="shared" si="42"/>
        <v>232632</v>
      </c>
      <c r="I82" s="36">
        <f t="shared" si="42"/>
        <v>69993.600000000006</v>
      </c>
      <c r="J82" s="36">
        <f t="shared" si="42"/>
        <v>288571.2</v>
      </c>
      <c r="K82" s="36">
        <f t="shared" si="42"/>
        <v>328588.79999999999</v>
      </c>
      <c r="L82" s="36">
        <f t="shared" si="42"/>
        <v>247032</v>
      </c>
      <c r="M82" s="36">
        <f t="shared" si="42"/>
        <v>417144</v>
      </c>
      <c r="N82" s="36">
        <f t="shared" si="42"/>
        <v>203596.79999999999</v>
      </c>
      <c r="O82" s="36">
        <f t="shared" si="42"/>
        <v>169291.2</v>
      </c>
      <c r="P82" s="36">
        <f t="shared" si="42"/>
        <v>196252.79999999999</v>
      </c>
      <c r="Q82" s="36">
        <f t="shared" si="42"/>
        <v>83568</v>
      </c>
      <c r="R82" s="36">
        <f t="shared" si="42"/>
        <v>172752</v>
      </c>
      <c r="S82" s="36">
        <f t="shared" si="42"/>
        <v>76334.399999999994</v>
      </c>
      <c r="T82" s="37">
        <f t="shared" si="42"/>
        <v>111115.2</v>
      </c>
      <c r="U82" s="37">
        <f t="shared" si="42"/>
        <v>23256</v>
      </c>
      <c r="V82" s="36">
        <f t="shared" si="42"/>
        <v>14260.8</v>
      </c>
      <c r="W82" s="36">
        <f t="shared" si="31"/>
        <v>3459046.56</v>
      </c>
    </row>
    <row r="83" spans="1:23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V83" si="43">F84</f>
        <v>32000</v>
      </c>
      <c r="G83" s="36">
        <f t="shared" si="43"/>
        <v>32000</v>
      </c>
      <c r="H83" s="36">
        <f t="shared" si="43"/>
        <v>0</v>
      </c>
      <c r="I83" s="36">
        <f t="shared" si="43"/>
        <v>0</v>
      </c>
      <c r="J83" s="36">
        <f t="shared" si="43"/>
        <v>64000</v>
      </c>
      <c r="K83" s="36">
        <f t="shared" si="43"/>
        <v>32000</v>
      </c>
      <c r="L83" s="36">
        <f t="shared" si="43"/>
        <v>32000</v>
      </c>
      <c r="M83" s="36">
        <f t="shared" si="43"/>
        <v>32000</v>
      </c>
      <c r="N83" s="36">
        <f t="shared" si="43"/>
        <v>32000</v>
      </c>
      <c r="O83" s="36">
        <f t="shared" si="43"/>
        <v>32000</v>
      </c>
      <c r="P83" s="36">
        <f t="shared" si="43"/>
        <v>0</v>
      </c>
      <c r="Q83" s="36">
        <f t="shared" si="43"/>
        <v>0</v>
      </c>
      <c r="R83" s="36">
        <f t="shared" si="43"/>
        <v>0</v>
      </c>
      <c r="S83" s="36">
        <f t="shared" si="43"/>
        <v>0</v>
      </c>
      <c r="T83" s="37"/>
      <c r="U83" s="37"/>
      <c r="V83" s="36">
        <f t="shared" si="43"/>
        <v>0</v>
      </c>
      <c r="W83" s="36">
        <f t="shared" si="31"/>
        <v>320000</v>
      </c>
    </row>
    <row r="84" spans="1:23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>
        <v>32000</v>
      </c>
      <c r="H84" s="37"/>
      <c r="I84" s="37"/>
      <c r="J84" s="37">
        <v>64000</v>
      </c>
      <c r="K84" s="37">
        <v>32000</v>
      </c>
      <c r="L84" s="37">
        <v>32000</v>
      </c>
      <c r="M84" s="37">
        <v>32000</v>
      </c>
      <c r="N84" s="37">
        <v>32000</v>
      </c>
      <c r="O84" s="37">
        <v>32000</v>
      </c>
      <c r="P84" s="37"/>
      <c r="Q84" s="37"/>
      <c r="R84" s="37"/>
      <c r="S84" s="37"/>
      <c r="T84" s="37"/>
      <c r="U84" s="37"/>
      <c r="V84" s="37"/>
      <c r="W84" s="36">
        <f t="shared" si="31"/>
        <v>320000</v>
      </c>
    </row>
    <row r="85" spans="1:23">
      <c r="A85" s="33" t="s">
        <v>371</v>
      </c>
      <c r="B85" s="34" t="s">
        <v>372</v>
      </c>
      <c r="C85" s="34"/>
      <c r="D85" s="35" t="s">
        <v>183</v>
      </c>
      <c r="E85" s="36">
        <f>E86+E89+E92</f>
        <v>358720</v>
      </c>
      <c r="F85" s="36">
        <f t="shared" ref="F85:V85" si="44">F86+F89+F92</f>
        <v>174640</v>
      </c>
      <c r="G85" s="36">
        <f t="shared" si="44"/>
        <v>184080</v>
      </c>
      <c r="H85" s="36">
        <f t="shared" si="44"/>
        <v>0</v>
      </c>
      <c r="I85" s="36">
        <f t="shared" si="44"/>
        <v>0</v>
      </c>
      <c r="J85" s="36">
        <f t="shared" si="44"/>
        <v>368160</v>
      </c>
      <c r="K85" s="36">
        <f t="shared" si="44"/>
        <v>245440</v>
      </c>
      <c r="L85" s="36">
        <f t="shared" si="44"/>
        <v>155760</v>
      </c>
      <c r="M85" s="36">
        <f t="shared" si="44"/>
        <v>113280</v>
      </c>
      <c r="N85" s="36">
        <f t="shared" si="44"/>
        <v>108560</v>
      </c>
      <c r="O85" s="36">
        <f t="shared" si="44"/>
        <v>42480</v>
      </c>
      <c r="P85" s="36">
        <f t="shared" si="44"/>
        <v>37760</v>
      </c>
      <c r="Q85" s="36">
        <f t="shared" si="44"/>
        <v>0</v>
      </c>
      <c r="R85" s="36">
        <f t="shared" si="44"/>
        <v>23600</v>
      </c>
      <c r="S85" s="36">
        <f t="shared" si="44"/>
        <v>0</v>
      </c>
      <c r="T85" s="37"/>
      <c r="U85" s="37"/>
      <c r="V85" s="36">
        <f t="shared" si="44"/>
        <v>23600</v>
      </c>
      <c r="W85" s="36">
        <f t="shared" si="31"/>
        <v>1836080</v>
      </c>
    </row>
    <row r="86" spans="1:23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V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45"/>
        <v>0</v>
      </c>
      <c r="T86" s="37"/>
      <c r="U86" s="37"/>
      <c r="V86" s="36">
        <f t="shared" si="45"/>
        <v>0</v>
      </c>
      <c r="W86" s="36">
        <f t="shared" si="31"/>
        <v>0</v>
      </c>
    </row>
    <row r="87" spans="1:23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36">
        <f t="shared" si="31"/>
        <v>0</v>
      </c>
    </row>
    <row r="88" spans="1:23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36">
        <f t="shared" si="31"/>
        <v>0</v>
      </c>
    </row>
    <row r="89" spans="1:23">
      <c r="A89" s="33" t="s">
        <v>380</v>
      </c>
      <c r="B89" s="34" t="s">
        <v>381</v>
      </c>
      <c r="C89" s="34"/>
      <c r="D89" s="35" t="s">
        <v>183</v>
      </c>
      <c r="E89" s="36">
        <f>E90+E91</f>
        <v>358720</v>
      </c>
      <c r="F89" s="36">
        <f t="shared" ref="F89:V89" si="46">F90+F91</f>
        <v>174640</v>
      </c>
      <c r="G89" s="36">
        <f t="shared" si="46"/>
        <v>184080</v>
      </c>
      <c r="H89" s="36">
        <f t="shared" si="46"/>
        <v>0</v>
      </c>
      <c r="I89" s="36">
        <f t="shared" si="46"/>
        <v>0</v>
      </c>
      <c r="J89" s="36">
        <f t="shared" si="46"/>
        <v>368160</v>
      </c>
      <c r="K89" s="36">
        <f t="shared" si="46"/>
        <v>245440</v>
      </c>
      <c r="L89" s="36">
        <f t="shared" si="46"/>
        <v>155760</v>
      </c>
      <c r="M89" s="36">
        <f t="shared" si="46"/>
        <v>113280</v>
      </c>
      <c r="N89" s="36">
        <f t="shared" si="46"/>
        <v>108560</v>
      </c>
      <c r="O89" s="36">
        <f t="shared" si="46"/>
        <v>42480</v>
      </c>
      <c r="P89" s="36">
        <f t="shared" si="46"/>
        <v>37760</v>
      </c>
      <c r="Q89" s="36">
        <f t="shared" si="46"/>
        <v>0</v>
      </c>
      <c r="R89" s="36">
        <f t="shared" si="46"/>
        <v>23600</v>
      </c>
      <c r="S89" s="36">
        <f t="shared" si="46"/>
        <v>0</v>
      </c>
      <c r="T89" s="37">
        <f t="shared" si="46"/>
        <v>0</v>
      </c>
      <c r="U89" s="37">
        <f t="shared" si="46"/>
        <v>0</v>
      </c>
      <c r="V89" s="36">
        <f t="shared" si="46"/>
        <v>23600</v>
      </c>
      <c r="W89" s="36">
        <f t="shared" si="31"/>
        <v>1836080</v>
      </c>
    </row>
    <row r="90" spans="1:23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30400</v>
      </c>
      <c r="F90" s="36">
        <f t="shared" ref="F90:V90" si="47">F107*400</f>
        <v>14800</v>
      </c>
      <c r="G90" s="36">
        <f t="shared" si="47"/>
        <v>15600</v>
      </c>
      <c r="H90" s="36">
        <f t="shared" si="47"/>
        <v>0</v>
      </c>
      <c r="I90" s="36">
        <f t="shared" si="47"/>
        <v>0</v>
      </c>
      <c r="J90" s="36">
        <f t="shared" si="47"/>
        <v>31200</v>
      </c>
      <c r="K90" s="36">
        <f t="shared" si="47"/>
        <v>20800</v>
      </c>
      <c r="L90" s="36">
        <f t="shared" si="47"/>
        <v>13200</v>
      </c>
      <c r="M90" s="36">
        <f t="shared" si="47"/>
        <v>9600</v>
      </c>
      <c r="N90" s="36">
        <f t="shared" si="47"/>
        <v>9200</v>
      </c>
      <c r="O90" s="36">
        <f t="shared" si="47"/>
        <v>3600</v>
      </c>
      <c r="P90" s="36">
        <f t="shared" si="47"/>
        <v>3200</v>
      </c>
      <c r="Q90" s="36">
        <f t="shared" si="47"/>
        <v>0</v>
      </c>
      <c r="R90" s="36">
        <f t="shared" si="47"/>
        <v>2000</v>
      </c>
      <c r="S90" s="36">
        <f t="shared" si="47"/>
        <v>0</v>
      </c>
      <c r="T90" s="37"/>
      <c r="U90" s="37"/>
      <c r="V90" s="36">
        <f t="shared" si="47"/>
        <v>2000</v>
      </c>
      <c r="W90" s="36">
        <f t="shared" si="31"/>
        <v>155600</v>
      </c>
    </row>
    <row r="91" spans="1:23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328320</v>
      </c>
      <c r="F91" s="36">
        <f t="shared" ref="F91:V91" si="48">F107*4320</f>
        <v>159840</v>
      </c>
      <c r="G91" s="36">
        <f t="shared" si="48"/>
        <v>168480</v>
      </c>
      <c r="H91" s="36">
        <f t="shared" si="48"/>
        <v>0</v>
      </c>
      <c r="I91" s="36">
        <f t="shared" si="48"/>
        <v>0</v>
      </c>
      <c r="J91" s="36">
        <f t="shared" si="48"/>
        <v>336960</v>
      </c>
      <c r="K91" s="36">
        <f t="shared" si="48"/>
        <v>224640</v>
      </c>
      <c r="L91" s="36">
        <f t="shared" si="48"/>
        <v>142560</v>
      </c>
      <c r="M91" s="36">
        <f t="shared" si="48"/>
        <v>103680</v>
      </c>
      <c r="N91" s="36">
        <f t="shared" si="48"/>
        <v>99360</v>
      </c>
      <c r="O91" s="36">
        <f t="shared" si="48"/>
        <v>38880</v>
      </c>
      <c r="P91" s="36">
        <f t="shared" si="48"/>
        <v>34560</v>
      </c>
      <c r="Q91" s="36">
        <f t="shared" si="48"/>
        <v>0</v>
      </c>
      <c r="R91" s="36">
        <f t="shared" si="48"/>
        <v>21600</v>
      </c>
      <c r="S91" s="36">
        <f t="shared" si="48"/>
        <v>0</v>
      </c>
      <c r="T91" s="37"/>
      <c r="U91" s="37"/>
      <c r="V91" s="36">
        <f t="shared" si="48"/>
        <v>21600</v>
      </c>
      <c r="W91" s="36">
        <f t="shared" si="31"/>
        <v>1680480</v>
      </c>
    </row>
    <row r="92" spans="1:23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36">
        <f t="shared" si="31"/>
        <v>0</v>
      </c>
    </row>
    <row r="93" spans="1:23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V93" si="49">F94</f>
        <v>0</v>
      </c>
      <c r="G93" s="36">
        <f t="shared" si="49"/>
        <v>0</v>
      </c>
      <c r="H93" s="36">
        <f t="shared" si="49"/>
        <v>32000</v>
      </c>
      <c r="I93" s="36">
        <f t="shared" si="49"/>
        <v>32000</v>
      </c>
      <c r="J93" s="36">
        <f t="shared" si="49"/>
        <v>0</v>
      </c>
      <c r="K93" s="36">
        <f t="shared" si="49"/>
        <v>0</v>
      </c>
      <c r="L93" s="36">
        <f t="shared" si="49"/>
        <v>0</v>
      </c>
      <c r="M93" s="36">
        <f t="shared" si="49"/>
        <v>10000</v>
      </c>
      <c r="N93" s="36">
        <f t="shared" si="49"/>
        <v>10000</v>
      </c>
      <c r="O93" s="36">
        <f t="shared" si="49"/>
        <v>5000</v>
      </c>
      <c r="P93" s="36">
        <f t="shared" si="49"/>
        <v>32000</v>
      </c>
      <c r="Q93" s="36">
        <f t="shared" si="49"/>
        <v>32000</v>
      </c>
      <c r="R93" s="36">
        <f t="shared" si="49"/>
        <v>32000</v>
      </c>
      <c r="S93" s="36">
        <f t="shared" si="49"/>
        <v>32000</v>
      </c>
      <c r="T93" s="37">
        <f t="shared" si="49"/>
        <v>32000</v>
      </c>
      <c r="U93" s="37">
        <f t="shared" si="49"/>
        <v>32000</v>
      </c>
      <c r="V93" s="36">
        <f t="shared" si="49"/>
        <v>32000</v>
      </c>
      <c r="W93" s="36">
        <f t="shared" si="31"/>
        <v>313000</v>
      </c>
    </row>
    <row r="94" spans="1:23" ht="57" thickBot="1">
      <c r="A94" s="33" t="s">
        <v>392</v>
      </c>
      <c r="B94" s="50" t="s">
        <v>393</v>
      </c>
      <c r="C94" s="34" t="s">
        <v>189</v>
      </c>
      <c r="D94" s="51" t="s">
        <v>394</v>
      </c>
      <c r="E94" s="52"/>
      <c r="F94" s="52"/>
      <c r="G94" s="52"/>
      <c r="H94" s="52">
        <v>32000</v>
      </c>
      <c r="I94" s="52">
        <v>32000</v>
      </c>
      <c r="J94" s="52"/>
      <c r="K94" s="52"/>
      <c r="L94" s="52"/>
      <c r="M94" s="52">
        <v>10000</v>
      </c>
      <c r="N94" s="52">
        <v>10000</v>
      </c>
      <c r="O94" s="52">
        <v>5000</v>
      </c>
      <c r="P94" s="52">
        <v>32000</v>
      </c>
      <c r="Q94" s="52">
        <v>32000</v>
      </c>
      <c r="R94" s="52">
        <v>32000</v>
      </c>
      <c r="S94" s="52">
        <v>32000</v>
      </c>
      <c r="T94" s="52">
        <v>32000</v>
      </c>
      <c r="U94" s="52">
        <v>32000</v>
      </c>
      <c r="V94" s="52">
        <v>32000</v>
      </c>
      <c r="W94" s="36">
        <f t="shared" si="31"/>
        <v>313000</v>
      </c>
    </row>
    <row r="95" spans="1:23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36">
        <f t="shared" si="31"/>
        <v>0</v>
      </c>
    </row>
    <row r="96" spans="1:23" ht="22.5">
      <c r="A96" s="33" t="s">
        <v>397</v>
      </c>
      <c r="B96" s="34" t="s">
        <v>398</v>
      </c>
      <c r="C96" s="34"/>
      <c r="D96" s="35" t="s">
        <v>399</v>
      </c>
      <c r="E96" s="36">
        <f>E97+E98+E99+E100</f>
        <v>67</v>
      </c>
      <c r="F96" s="36">
        <f t="shared" ref="F96:V96" si="50">F97+F98+F99+F100</f>
        <v>67</v>
      </c>
      <c r="G96" s="36">
        <f t="shared" si="50"/>
        <v>69</v>
      </c>
      <c r="H96" s="36">
        <f t="shared" si="50"/>
        <v>66</v>
      </c>
      <c r="I96" s="36">
        <f t="shared" si="50"/>
        <v>18</v>
      </c>
      <c r="J96" s="36">
        <f t="shared" si="50"/>
        <v>75</v>
      </c>
      <c r="K96" s="36">
        <f t="shared" si="50"/>
        <v>86</v>
      </c>
      <c r="L96" s="36">
        <f t="shared" si="50"/>
        <v>67</v>
      </c>
      <c r="M96" s="36">
        <f t="shared" si="50"/>
        <v>117</v>
      </c>
      <c r="N96" s="36">
        <f t="shared" si="50"/>
        <v>58</v>
      </c>
      <c r="O96" s="36">
        <f t="shared" si="50"/>
        <v>47</v>
      </c>
      <c r="P96" s="36">
        <f t="shared" si="50"/>
        <v>60</v>
      </c>
      <c r="Q96" s="36">
        <f t="shared" si="50"/>
        <v>25</v>
      </c>
      <c r="R96" s="36">
        <f t="shared" si="50"/>
        <v>51</v>
      </c>
      <c r="S96" s="36">
        <f t="shared" si="50"/>
        <v>23</v>
      </c>
      <c r="T96" s="37">
        <f t="shared" si="50"/>
        <v>35</v>
      </c>
      <c r="U96" s="37">
        <f t="shared" si="50"/>
        <v>7</v>
      </c>
      <c r="V96" s="36">
        <f t="shared" si="50"/>
        <v>4</v>
      </c>
      <c r="W96" s="36">
        <f t="shared" si="31"/>
        <v>942</v>
      </c>
    </row>
    <row r="97" spans="1:23">
      <c r="A97" s="33" t="s">
        <v>400</v>
      </c>
      <c r="B97" s="56" t="s">
        <v>401</v>
      </c>
      <c r="C97" s="56"/>
      <c r="D97" s="42"/>
      <c r="E97" s="43">
        <v>67</v>
      </c>
      <c r="F97" s="43">
        <v>67</v>
      </c>
      <c r="G97" s="43">
        <v>69</v>
      </c>
      <c r="H97" s="43">
        <v>66</v>
      </c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36">
        <f t="shared" si="31"/>
        <v>269</v>
      </c>
    </row>
    <row r="98" spans="1:23">
      <c r="A98" s="33" t="s">
        <v>402</v>
      </c>
      <c r="B98" s="56" t="s">
        <v>403</v>
      </c>
      <c r="C98" s="56"/>
      <c r="D98" s="35"/>
      <c r="E98" s="37"/>
      <c r="F98" s="37"/>
      <c r="G98" s="37"/>
      <c r="H98" s="37"/>
      <c r="I98" s="37">
        <v>18</v>
      </c>
      <c r="J98" s="37">
        <v>75</v>
      </c>
      <c r="K98" s="37">
        <v>86</v>
      </c>
      <c r="L98" s="37">
        <v>67</v>
      </c>
      <c r="M98" s="37">
        <v>117</v>
      </c>
      <c r="N98" s="37"/>
      <c r="O98" s="37"/>
      <c r="P98" s="37"/>
      <c r="Q98" s="37"/>
      <c r="R98" s="37"/>
      <c r="S98" s="37"/>
      <c r="T98" s="37"/>
      <c r="U98" s="37"/>
      <c r="V98" s="37"/>
      <c r="W98" s="36">
        <f t="shared" si="31"/>
        <v>363</v>
      </c>
    </row>
    <row r="99" spans="1:23">
      <c r="A99" s="33" t="s">
        <v>404</v>
      </c>
      <c r="B99" s="56" t="s">
        <v>405</v>
      </c>
      <c r="C99" s="56"/>
      <c r="D99" s="42"/>
      <c r="E99" s="43"/>
      <c r="F99" s="43"/>
      <c r="G99" s="43"/>
      <c r="H99" s="43"/>
      <c r="I99" s="43"/>
      <c r="J99" s="43"/>
      <c r="K99" s="43"/>
      <c r="L99" s="43"/>
      <c r="M99" s="43"/>
      <c r="N99" s="43">
        <v>58</v>
      </c>
      <c r="O99" s="43">
        <v>47</v>
      </c>
      <c r="P99" s="43">
        <v>60</v>
      </c>
      <c r="Q99" s="43">
        <v>25</v>
      </c>
      <c r="R99" s="43">
        <v>51</v>
      </c>
      <c r="S99" s="43">
        <v>23</v>
      </c>
      <c r="T99" s="43">
        <v>35</v>
      </c>
      <c r="U99" s="43">
        <v>7</v>
      </c>
      <c r="V99" s="43"/>
      <c r="W99" s="36">
        <f t="shared" si="31"/>
        <v>306</v>
      </c>
    </row>
    <row r="100" spans="1:23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>
        <v>4</v>
      </c>
      <c r="W100" s="36">
        <f t="shared" si="31"/>
        <v>4</v>
      </c>
    </row>
    <row r="101" spans="1:23" ht="33.75">
      <c r="A101" s="33" t="s">
        <v>408</v>
      </c>
      <c r="B101" s="34" t="s">
        <v>409</v>
      </c>
      <c r="C101" s="34"/>
      <c r="D101" s="35" t="s">
        <v>410</v>
      </c>
      <c r="E101" s="36">
        <f>E102+E103+E104+E105</f>
        <v>558</v>
      </c>
      <c r="F101" s="36">
        <f t="shared" ref="F101:V101" si="51">F102+F103+F104+F105</f>
        <v>656</v>
      </c>
      <c r="G101" s="36">
        <f t="shared" si="51"/>
        <v>601</v>
      </c>
      <c r="H101" s="36">
        <f t="shared" si="51"/>
        <v>820</v>
      </c>
      <c r="I101" s="36">
        <f t="shared" si="51"/>
        <v>124</v>
      </c>
      <c r="J101" s="36">
        <f t="shared" si="51"/>
        <v>785</v>
      </c>
      <c r="K101" s="36">
        <f t="shared" si="51"/>
        <v>549</v>
      </c>
      <c r="L101" s="36">
        <f t="shared" si="51"/>
        <v>808</v>
      </c>
      <c r="M101" s="36">
        <f t="shared" si="51"/>
        <v>1545</v>
      </c>
      <c r="N101" s="36">
        <f t="shared" si="51"/>
        <v>695</v>
      </c>
      <c r="O101" s="36">
        <f t="shared" si="51"/>
        <v>532</v>
      </c>
      <c r="P101" s="36">
        <f t="shared" si="51"/>
        <v>905</v>
      </c>
      <c r="Q101" s="36">
        <f t="shared" si="51"/>
        <v>296</v>
      </c>
      <c r="R101" s="36">
        <f t="shared" si="51"/>
        <v>631</v>
      </c>
      <c r="S101" s="36">
        <f t="shared" si="51"/>
        <v>296</v>
      </c>
      <c r="T101" s="37">
        <f t="shared" si="51"/>
        <v>351</v>
      </c>
      <c r="U101" s="37">
        <f t="shared" si="51"/>
        <v>99</v>
      </c>
      <c r="V101" s="36">
        <f t="shared" si="51"/>
        <v>0</v>
      </c>
      <c r="W101" s="36">
        <f t="shared" si="31"/>
        <v>10251</v>
      </c>
    </row>
    <row r="102" spans="1:23">
      <c r="A102" s="33" t="s">
        <v>411</v>
      </c>
      <c r="B102" s="56" t="s">
        <v>401</v>
      </c>
      <c r="C102" s="56"/>
      <c r="D102" s="42"/>
      <c r="E102" s="43">
        <v>558</v>
      </c>
      <c r="F102" s="43">
        <v>656</v>
      </c>
      <c r="G102" s="43">
        <v>601</v>
      </c>
      <c r="H102" s="43">
        <v>820</v>
      </c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36">
        <f t="shared" si="31"/>
        <v>2635</v>
      </c>
    </row>
    <row r="103" spans="1:23">
      <c r="A103" s="33" t="s">
        <v>412</v>
      </c>
      <c r="B103" s="56" t="s">
        <v>403</v>
      </c>
      <c r="C103" s="56"/>
      <c r="D103" s="35"/>
      <c r="E103" s="37"/>
      <c r="F103" s="37"/>
      <c r="G103" s="37"/>
      <c r="H103" s="37"/>
      <c r="I103" s="37">
        <v>124</v>
      </c>
      <c r="J103" s="37">
        <v>785</v>
      </c>
      <c r="K103" s="37">
        <v>549</v>
      </c>
      <c r="L103" s="37">
        <v>808</v>
      </c>
      <c r="M103" s="37">
        <v>1545</v>
      </c>
      <c r="N103" s="37"/>
      <c r="O103" s="37"/>
      <c r="P103" s="37"/>
      <c r="Q103" s="37"/>
      <c r="R103" s="37"/>
      <c r="S103" s="37"/>
      <c r="T103" s="37"/>
      <c r="U103" s="37"/>
      <c r="V103" s="37"/>
      <c r="W103" s="36">
        <f t="shared" si="31"/>
        <v>3811</v>
      </c>
    </row>
    <row r="104" spans="1:23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/>
      <c r="I104" s="43"/>
      <c r="J104" s="43"/>
      <c r="K104" s="43"/>
      <c r="L104" s="43"/>
      <c r="M104" s="43"/>
      <c r="N104" s="43">
        <v>695</v>
      </c>
      <c r="O104" s="43">
        <v>532</v>
      </c>
      <c r="P104" s="43">
        <v>905</v>
      </c>
      <c r="Q104" s="43">
        <v>296</v>
      </c>
      <c r="R104" s="43">
        <v>631</v>
      </c>
      <c r="S104" s="43">
        <v>296</v>
      </c>
      <c r="T104" s="43">
        <v>351</v>
      </c>
      <c r="U104" s="43">
        <v>99</v>
      </c>
      <c r="V104" s="43"/>
      <c r="W104" s="36">
        <f t="shared" si="31"/>
        <v>3805</v>
      </c>
    </row>
    <row r="105" spans="1:23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36">
        <f t="shared" si="31"/>
        <v>0</v>
      </c>
    </row>
    <row r="106" spans="1:23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36">
        <f t="shared" si="31"/>
        <v>0</v>
      </c>
    </row>
    <row r="107" spans="1:23">
      <c r="A107" s="33" t="s">
        <v>417</v>
      </c>
      <c r="B107" s="34" t="s">
        <v>418</v>
      </c>
      <c r="C107" s="34"/>
      <c r="D107" s="35"/>
      <c r="E107" s="37">
        <v>76</v>
      </c>
      <c r="F107" s="37">
        <v>37</v>
      </c>
      <c r="G107" s="37">
        <v>39</v>
      </c>
      <c r="H107" s="37"/>
      <c r="I107" s="37"/>
      <c r="J107" s="37">
        <v>78</v>
      </c>
      <c r="K107" s="37">
        <v>52</v>
      </c>
      <c r="L107" s="37">
        <v>33</v>
      </c>
      <c r="M107" s="37">
        <v>24</v>
      </c>
      <c r="N107" s="37">
        <v>23</v>
      </c>
      <c r="O107" s="37">
        <v>9</v>
      </c>
      <c r="P107" s="37">
        <v>8</v>
      </c>
      <c r="Q107" s="37"/>
      <c r="R107" s="37">
        <v>5</v>
      </c>
      <c r="S107" s="37"/>
      <c r="T107" s="37"/>
      <c r="U107" s="37"/>
      <c r="V107" s="37">
        <v>5</v>
      </c>
      <c r="W107" s="36">
        <f t="shared" si="31"/>
        <v>389</v>
      </c>
    </row>
    <row r="108" spans="1:23">
      <c r="A108" s="33" t="s">
        <v>419</v>
      </c>
      <c r="B108" s="56" t="s">
        <v>420</v>
      </c>
      <c r="C108" s="56"/>
      <c r="D108" s="47"/>
      <c r="E108" s="37">
        <v>7918.03</v>
      </c>
      <c r="F108" s="37">
        <v>12319.48</v>
      </c>
      <c r="G108" s="37">
        <v>5151</v>
      </c>
      <c r="H108" s="37">
        <v>17286.64</v>
      </c>
      <c r="I108" s="37">
        <v>17120.43</v>
      </c>
      <c r="J108" s="37">
        <v>12767.21</v>
      </c>
      <c r="K108" s="37">
        <v>10982.08</v>
      </c>
      <c r="L108" s="37">
        <v>6545.95</v>
      </c>
      <c r="M108" s="37">
        <v>20689.72</v>
      </c>
      <c r="N108" s="37">
        <v>9404.5</v>
      </c>
      <c r="O108" s="37">
        <v>4648.8900000000003</v>
      </c>
      <c r="P108" s="37">
        <v>11557.68</v>
      </c>
      <c r="Q108" s="37">
        <v>5904.38</v>
      </c>
      <c r="R108" s="37">
        <v>10260.540000000001</v>
      </c>
      <c r="S108" s="37">
        <v>5925.03</v>
      </c>
      <c r="T108" s="37">
        <v>7977.86</v>
      </c>
      <c r="U108" s="37">
        <v>5606</v>
      </c>
      <c r="V108" s="37"/>
      <c r="W108" s="36">
        <f t="shared" si="31"/>
        <v>172065.41999999998</v>
      </c>
    </row>
    <row r="109" spans="1:23">
      <c r="A109" s="33" t="s">
        <v>421</v>
      </c>
      <c r="B109" s="56" t="s">
        <v>422</v>
      </c>
      <c r="C109" s="56"/>
      <c r="D109" s="47"/>
      <c r="E109" s="37">
        <v>5700</v>
      </c>
      <c r="F109" s="37">
        <v>3530</v>
      </c>
      <c r="G109" s="37">
        <v>3901</v>
      </c>
      <c r="H109" s="37">
        <v>8804.2000000000007</v>
      </c>
      <c r="I109" s="37">
        <v>6712.2</v>
      </c>
      <c r="J109" s="37">
        <v>7538</v>
      </c>
      <c r="K109" s="37">
        <v>9586</v>
      </c>
      <c r="L109" s="37">
        <v>3899</v>
      </c>
      <c r="M109" s="37">
        <v>12205</v>
      </c>
      <c r="N109" s="37">
        <v>4143</v>
      </c>
      <c r="O109" s="37">
        <v>2486</v>
      </c>
      <c r="P109" s="37">
        <v>4188.01</v>
      </c>
      <c r="Q109" s="37">
        <v>2318.6999999999998</v>
      </c>
      <c r="R109" s="37">
        <v>4256.49</v>
      </c>
      <c r="S109" s="37">
        <v>2030</v>
      </c>
      <c r="T109" s="37">
        <v>5677.6</v>
      </c>
      <c r="U109" s="37">
        <v>1964.4</v>
      </c>
      <c r="V109" s="37"/>
      <c r="W109" s="36">
        <f t="shared" si="31"/>
        <v>88939.599999999991</v>
      </c>
    </row>
  </sheetData>
  <protectedRanges>
    <protectedRange password="E9C1" sqref="B31:D109 A4:D12 A2:W3 B13:D28 A13:A109 W4:W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W1"/>
  </mergeCells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9"/>
  <sheetViews>
    <sheetView topLeftCell="K1" workbookViewId="0">
      <selection activeCell="Q3" sqref="Q3:Q109"/>
    </sheetView>
  </sheetViews>
  <sheetFormatPr defaultColWidth="15.625" defaultRowHeight="11.25"/>
  <cols>
    <col min="1" max="1" width="4.625" style="145" customWidth="1"/>
    <col min="2" max="2" width="29.25" style="145" customWidth="1"/>
    <col min="3" max="3" width="13" style="145" customWidth="1"/>
    <col min="4" max="4" width="20" style="175" customWidth="1"/>
    <col min="5" max="17" width="15.625" style="145"/>
    <col min="18" max="18" width="20" style="145" bestFit="1" customWidth="1"/>
    <col min="19" max="256" width="15.625" style="145"/>
    <col min="257" max="257" width="4.625" style="145" customWidth="1"/>
    <col min="258" max="258" width="29.25" style="145" customWidth="1"/>
    <col min="259" max="259" width="13" style="145" customWidth="1"/>
    <col min="260" max="260" width="20" style="145" customWidth="1"/>
    <col min="261" max="273" width="15.625" style="145"/>
    <col min="274" max="274" width="20" style="145" bestFit="1" customWidth="1"/>
    <col min="275" max="512" width="15.625" style="145"/>
    <col min="513" max="513" width="4.625" style="145" customWidth="1"/>
    <col min="514" max="514" width="29.25" style="145" customWidth="1"/>
    <col min="515" max="515" width="13" style="145" customWidth="1"/>
    <col min="516" max="516" width="20" style="145" customWidth="1"/>
    <col min="517" max="529" width="15.625" style="145"/>
    <col min="530" max="530" width="20" style="145" bestFit="1" customWidth="1"/>
    <col min="531" max="768" width="15.625" style="145"/>
    <col min="769" max="769" width="4.625" style="145" customWidth="1"/>
    <col min="770" max="770" width="29.25" style="145" customWidth="1"/>
    <col min="771" max="771" width="13" style="145" customWidth="1"/>
    <col min="772" max="772" width="20" style="145" customWidth="1"/>
    <col min="773" max="785" width="15.625" style="145"/>
    <col min="786" max="786" width="20" style="145" bestFit="1" customWidth="1"/>
    <col min="787" max="1024" width="15.625" style="145"/>
    <col min="1025" max="1025" width="4.625" style="145" customWidth="1"/>
    <col min="1026" max="1026" width="29.25" style="145" customWidth="1"/>
    <col min="1027" max="1027" width="13" style="145" customWidth="1"/>
    <col min="1028" max="1028" width="20" style="145" customWidth="1"/>
    <col min="1029" max="1041" width="15.625" style="145"/>
    <col min="1042" max="1042" width="20" style="145" bestFit="1" customWidth="1"/>
    <col min="1043" max="1280" width="15.625" style="145"/>
    <col min="1281" max="1281" width="4.625" style="145" customWidth="1"/>
    <col min="1282" max="1282" width="29.25" style="145" customWidth="1"/>
    <col min="1283" max="1283" width="13" style="145" customWidth="1"/>
    <col min="1284" max="1284" width="20" style="145" customWidth="1"/>
    <col min="1285" max="1297" width="15.625" style="145"/>
    <col min="1298" max="1298" width="20" style="145" bestFit="1" customWidth="1"/>
    <col min="1299" max="1536" width="15.625" style="145"/>
    <col min="1537" max="1537" width="4.625" style="145" customWidth="1"/>
    <col min="1538" max="1538" width="29.25" style="145" customWidth="1"/>
    <col min="1539" max="1539" width="13" style="145" customWidth="1"/>
    <col min="1540" max="1540" width="20" style="145" customWidth="1"/>
    <col min="1541" max="1553" width="15.625" style="145"/>
    <col min="1554" max="1554" width="20" style="145" bestFit="1" customWidth="1"/>
    <col min="1555" max="1792" width="15.625" style="145"/>
    <col min="1793" max="1793" width="4.625" style="145" customWidth="1"/>
    <col min="1794" max="1794" width="29.25" style="145" customWidth="1"/>
    <col min="1795" max="1795" width="13" style="145" customWidth="1"/>
    <col min="1796" max="1796" width="20" style="145" customWidth="1"/>
    <col min="1797" max="1809" width="15.625" style="145"/>
    <col min="1810" max="1810" width="20" style="145" bestFit="1" customWidth="1"/>
    <col min="1811" max="2048" width="15.625" style="145"/>
    <col min="2049" max="2049" width="4.625" style="145" customWidth="1"/>
    <col min="2050" max="2050" width="29.25" style="145" customWidth="1"/>
    <col min="2051" max="2051" width="13" style="145" customWidth="1"/>
    <col min="2052" max="2052" width="20" style="145" customWidth="1"/>
    <col min="2053" max="2065" width="15.625" style="145"/>
    <col min="2066" max="2066" width="20" style="145" bestFit="1" customWidth="1"/>
    <col min="2067" max="2304" width="15.625" style="145"/>
    <col min="2305" max="2305" width="4.625" style="145" customWidth="1"/>
    <col min="2306" max="2306" width="29.25" style="145" customWidth="1"/>
    <col min="2307" max="2307" width="13" style="145" customWidth="1"/>
    <col min="2308" max="2308" width="20" style="145" customWidth="1"/>
    <col min="2309" max="2321" width="15.625" style="145"/>
    <col min="2322" max="2322" width="20" style="145" bestFit="1" customWidth="1"/>
    <col min="2323" max="2560" width="15.625" style="145"/>
    <col min="2561" max="2561" width="4.625" style="145" customWidth="1"/>
    <col min="2562" max="2562" width="29.25" style="145" customWidth="1"/>
    <col min="2563" max="2563" width="13" style="145" customWidth="1"/>
    <col min="2564" max="2564" width="20" style="145" customWidth="1"/>
    <col min="2565" max="2577" width="15.625" style="145"/>
    <col min="2578" max="2578" width="20" style="145" bestFit="1" customWidth="1"/>
    <col min="2579" max="2816" width="15.625" style="145"/>
    <col min="2817" max="2817" width="4.625" style="145" customWidth="1"/>
    <col min="2818" max="2818" width="29.25" style="145" customWidth="1"/>
    <col min="2819" max="2819" width="13" style="145" customWidth="1"/>
    <col min="2820" max="2820" width="20" style="145" customWidth="1"/>
    <col min="2821" max="2833" width="15.625" style="145"/>
    <col min="2834" max="2834" width="20" style="145" bestFit="1" customWidth="1"/>
    <col min="2835" max="3072" width="15.625" style="145"/>
    <col min="3073" max="3073" width="4.625" style="145" customWidth="1"/>
    <col min="3074" max="3074" width="29.25" style="145" customWidth="1"/>
    <col min="3075" max="3075" width="13" style="145" customWidth="1"/>
    <col min="3076" max="3076" width="20" style="145" customWidth="1"/>
    <col min="3077" max="3089" width="15.625" style="145"/>
    <col min="3090" max="3090" width="20" style="145" bestFit="1" customWidth="1"/>
    <col min="3091" max="3328" width="15.625" style="145"/>
    <col min="3329" max="3329" width="4.625" style="145" customWidth="1"/>
    <col min="3330" max="3330" width="29.25" style="145" customWidth="1"/>
    <col min="3331" max="3331" width="13" style="145" customWidth="1"/>
    <col min="3332" max="3332" width="20" style="145" customWidth="1"/>
    <col min="3333" max="3345" width="15.625" style="145"/>
    <col min="3346" max="3346" width="20" style="145" bestFit="1" customWidth="1"/>
    <col min="3347" max="3584" width="15.625" style="145"/>
    <col min="3585" max="3585" width="4.625" style="145" customWidth="1"/>
    <col min="3586" max="3586" width="29.25" style="145" customWidth="1"/>
    <col min="3587" max="3587" width="13" style="145" customWidth="1"/>
    <col min="3588" max="3588" width="20" style="145" customWidth="1"/>
    <col min="3589" max="3601" width="15.625" style="145"/>
    <col min="3602" max="3602" width="20" style="145" bestFit="1" customWidth="1"/>
    <col min="3603" max="3840" width="15.625" style="145"/>
    <col min="3841" max="3841" width="4.625" style="145" customWidth="1"/>
    <col min="3842" max="3842" width="29.25" style="145" customWidth="1"/>
    <col min="3843" max="3843" width="13" style="145" customWidth="1"/>
    <col min="3844" max="3844" width="20" style="145" customWidth="1"/>
    <col min="3845" max="3857" width="15.625" style="145"/>
    <col min="3858" max="3858" width="20" style="145" bestFit="1" customWidth="1"/>
    <col min="3859" max="4096" width="15.625" style="145"/>
    <col min="4097" max="4097" width="4.625" style="145" customWidth="1"/>
    <col min="4098" max="4098" width="29.25" style="145" customWidth="1"/>
    <col min="4099" max="4099" width="13" style="145" customWidth="1"/>
    <col min="4100" max="4100" width="20" style="145" customWidth="1"/>
    <col min="4101" max="4113" width="15.625" style="145"/>
    <col min="4114" max="4114" width="20" style="145" bestFit="1" customWidth="1"/>
    <col min="4115" max="4352" width="15.625" style="145"/>
    <col min="4353" max="4353" width="4.625" style="145" customWidth="1"/>
    <col min="4354" max="4354" width="29.25" style="145" customWidth="1"/>
    <col min="4355" max="4355" width="13" style="145" customWidth="1"/>
    <col min="4356" max="4356" width="20" style="145" customWidth="1"/>
    <col min="4357" max="4369" width="15.625" style="145"/>
    <col min="4370" max="4370" width="20" style="145" bestFit="1" customWidth="1"/>
    <col min="4371" max="4608" width="15.625" style="145"/>
    <col min="4609" max="4609" width="4.625" style="145" customWidth="1"/>
    <col min="4610" max="4610" width="29.25" style="145" customWidth="1"/>
    <col min="4611" max="4611" width="13" style="145" customWidth="1"/>
    <col min="4612" max="4612" width="20" style="145" customWidth="1"/>
    <col min="4613" max="4625" width="15.625" style="145"/>
    <col min="4626" max="4626" width="20" style="145" bestFit="1" customWidth="1"/>
    <col min="4627" max="4864" width="15.625" style="145"/>
    <col min="4865" max="4865" width="4.625" style="145" customWidth="1"/>
    <col min="4866" max="4866" width="29.25" style="145" customWidth="1"/>
    <col min="4867" max="4867" width="13" style="145" customWidth="1"/>
    <col min="4868" max="4868" width="20" style="145" customWidth="1"/>
    <col min="4869" max="4881" width="15.625" style="145"/>
    <col min="4882" max="4882" width="20" style="145" bestFit="1" customWidth="1"/>
    <col min="4883" max="5120" width="15.625" style="145"/>
    <col min="5121" max="5121" width="4.625" style="145" customWidth="1"/>
    <col min="5122" max="5122" width="29.25" style="145" customWidth="1"/>
    <col min="5123" max="5123" width="13" style="145" customWidth="1"/>
    <col min="5124" max="5124" width="20" style="145" customWidth="1"/>
    <col min="5125" max="5137" width="15.625" style="145"/>
    <col min="5138" max="5138" width="20" style="145" bestFit="1" customWidth="1"/>
    <col min="5139" max="5376" width="15.625" style="145"/>
    <col min="5377" max="5377" width="4.625" style="145" customWidth="1"/>
    <col min="5378" max="5378" width="29.25" style="145" customWidth="1"/>
    <col min="5379" max="5379" width="13" style="145" customWidth="1"/>
    <col min="5380" max="5380" width="20" style="145" customWidth="1"/>
    <col min="5381" max="5393" width="15.625" style="145"/>
    <col min="5394" max="5394" width="20" style="145" bestFit="1" customWidth="1"/>
    <col min="5395" max="5632" width="15.625" style="145"/>
    <col min="5633" max="5633" width="4.625" style="145" customWidth="1"/>
    <col min="5634" max="5634" width="29.25" style="145" customWidth="1"/>
    <col min="5635" max="5635" width="13" style="145" customWidth="1"/>
    <col min="5636" max="5636" width="20" style="145" customWidth="1"/>
    <col min="5637" max="5649" width="15.625" style="145"/>
    <col min="5650" max="5650" width="20" style="145" bestFit="1" customWidth="1"/>
    <col min="5651" max="5888" width="15.625" style="145"/>
    <col min="5889" max="5889" width="4.625" style="145" customWidth="1"/>
    <col min="5890" max="5890" width="29.25" style="145" customWidth="1"/>
    <col min="5891" max="5891" width="13" style="145" customWidth="1"/>
    <col min="5892" max="5892" width="20" style="145" customWidth="1"/>
    <col min="5893" max="5905" width="15.625" style="145"/>
    <col min="5906" max="5906" width="20" style="145" bestFit="1" customWidth="1"/>
    <col min="5907" max="6144" width="15.625" style="145"/>
    <col min="6145" max="6145" width="4.625" style="145" customWidth="1"/>
    <col min="6146" max="6146" width="29.25" style="145" customWidth="1"/>
    <col min="6147" max="6147" width="13" style="145" customWidth="1"/>
    <col min="6148" max="6148" width="20" style="145" customWidth="1"/>
    <col min="6149" max="6161" width="15.625" style="145"/>
    <col min="6162" max="6162" width="20" style="145" bestFit="1" customWidth="1"/>
    <col min="6163" max="6400" width="15.625" style="145"/>
    <col min="6401" max="6401" width="4.625" style="145" customWidth="1"/>
    <col min="6402" max="6402" width="29.25" style="145" customWidth="1"/>
    <col min="6403" max="6403" width="13" style="145" customWidth="1"/>
    <col min="6404" max="6404" width="20" style="145" customWidth="1"/>
    <col min="6405" max="6417" width="15.625" style="145"/>
    <col min="6418" max="6418" width="20" style="145" bestFit="1" customWidth="1"/>
    <col min="6419" max="6656" width="15.625" style="145"/>
    <col min="6657" max="6657" width="4.625" style="145" customWidth="1"/>
    <col min="6658" max="6658" width="29.25" style="145" customWidth="1"/>
    <col min="6659" max="6659" width="13" style="145" customWidth="1"/>
    <col min="6660" max="6660" width="20" style="145" customWidth="1"/>
    <col min="6661" max="6673" width="15.625" style="145"/>
    <col min="6674" max="6674" width="20" style="145" bestFit="1" customWidth="1"/>
    <col min="6675" max="6912" width="15.625" style="145"/>
    <col min="6913" max="6913" width="4.625" style="145" customWidth="1"/>
    <col min="6914" max="6914" width="29.25" style="145" customWidth="1"/>
    <col min="6915" max="6915" width="13" style="145" customWidth="1"/>
    <col min="6916" max="6916" width="20" style="145" customWidth="1"/>
    <col min="6917" max="6929" width="15.625" style="145"/>
    <col min="6930" max="6930" width="20" style="145" bestFit="1" customWidth="1"/>
    <col min="6931" max="7168" width="15.625" style="145"/>
    <col min="7169" max="7169" width="4.625" style="145" customWidth="1"/>
    <col min="7170" max="7170" width="29.25" style="145" customWidth="1"/>
    <col min="7171" max="7171" width="13" style="145" customWidth="1"/>
    <col min="7172" max="7172" width="20" style="145" customWidth="1"/>
    <col min="7173" max="7185" width="15.625" style="145"/>
    <col min="7186" max="7186" width="20" style="145" bestFit="1" customWidth="1"/>
    <col min="7187" max="7424" width="15.625" style="145"/>
    <col min="7425" max="7425" width="4.625" style="145" customWidth="1"/>
    <col min="7426" max="7426" width="29.25" style="145" customWidth="1"/>
    <col min="7427" max="7427" width="13" style="145" customWidth="1"/>
    <col min="7428" max="7428" width="20" style="145" customWidth="1"/>
    <col min="7429" max="7441" width="15.625" style="145"/>
    <col min="7442" max="7442" width="20" style="145" bestFit="1" customWidth="1"/>
    <col min="7443" max="7680" width="15.625" style="145"/>
    <col min="7681" max="7681" width="4.625" style="145" customWidth="1"/>
    <col min="7682" max="7682" width="29.25" style="145" customWidth="1"/>
    <col min="7683" max="7683" width="13" style="145" customWidth="1"/>
    <col min="7684" max="7684" width="20" style="145" customWidth="1"/>
    <col min="7685" max="7697" width="15.625" style="145"/>
    <col min="7698" max="7698" width="20" style="145" bestFit="1" customWidth="1"/>
    <col min="7699" max="7936" width="15.625" style="145"/>
    <col min="7937" max="7937" width="4.625" style="145" customWidth="1"/>
    <col min="7938" max="7938" width="29.25" style="145" customWidth="1"/>
    <col min="7939" max="7939" width="13" style="145" customWidth="1"/>
    <col min="7940" max="7940" width="20" style="145" customWidth="1"/>
    <col min="7941" max="7953" width="15.625" style="145"/>
    <col min="7954" max="7954" width="20" style="145" bestFit="1" customWidth="1"/>
    <col min="7955" max="8192" width="15.625" style="145"/>
    <col min="8193" max="8193" width="4.625" style="145" customWidth="1"/>
    <col min="8194" max="8194" width="29.25" style="145" customWidth="1"/>
    <col min="8195" max="8195" width="13" style="145" customWidth="1"/>
    <col min="8196" max="8196" width="20" style="145" customWidth="1"/>
    <col min="8197" max="8209" width="15.625" style="145"/>
    <col min="8210" max="8210" width="20" style="145" bestFit="1" customWidth="1"/>
    <col min="8211" max="8448" width="15.625" style="145"/>
    <col min="8449" max="8449" width="4.625" style="145" customWidth="1"/>
    <col min="8450" max="8450" width="29.25" style="145" customWidth="1"/>
    <col min="8451" max="8451" width="13" style="145" customWidth="1"/>
    <col min="8452" max="8452" width="20" style="145" customWidth="1"/>
    <col min="8453" max="8465" width="15.625" style="145"/>
    <col min="8466" max="8466" width="20" style="145" bestFit="1" customWidth="1"/>
    <col min="8467" max="8704" width="15.625" style="145"/>
    <col min="8705" max="8705" width="4.625" style="145" customWidth="1"/>
    <col min="8706" max="8706" width="29.25" style="145" customWidth="1"/>
    <col min="8707" max="8707" width="13" style="145" customWidth="1"/>
    <col min="8708" max="8708" width="20" style="145" customWidth="1"/>
    <col min="8709" max="8721" width="15.625" style="145"/>
    <col min="8722" max="8722" width="20" style="145" bestFit="1" customWidth="1"/>
    <col min="8723" max="8960" width="15.625" style="145"/>
    <col min="8961" max="8961" width="4.625" style="145" customWidth="1"/>
    <col min="8962" max="8962" width="29.25" style="145" customWidth="1"/>
    <col min="8963" max="8963" width="13" style="145" customWidth="1"/>
    <col min="8964" max="8964" width="20" style="145" customWidth="1"/>
    <col min="8965" max="8977" width="15.625" style="145"/>
    <col min="8978" max="8978" width="20" style="145" bestFit="1" customWidth="1"/>
    <col min="8979" max="9216" width="15.625" style="145"/>
    <col min="9217" max="9217" width="4.625" style="145" customWidth="1"/>
    <col min="9218" max="9218" width="29.25" style="145" customWidth="1"/>
    <col min="9219" max="9219" width="13" style="145" customWidth="1"/>
    <col min="9220" max="9220" width="20" style="145" customWidth="1"/>
    <col min="9221" max="9233" width="15.625" style="145"/>
    <col min="9234" max="9234" width="20" style="145" bestFit="1" customWidth="1"/>
    <col min="9235" max="9472" width="15.625" style="145"/>
    <col min="9473" max="9473" width="4.625" style="145" customWidth="1"/>
    <col min="9474" max="9474" width="29.25" style="145" customWidth="1"/>
    <col min="9475" max="9475" width="13" style="145" customWidth="1"/>
    <col min="9476" max="9476" width="20" style="145" customWidth="1"/>
    <col min="9477" max="9489" width="15.625" style="145"/>
    <col min="9490" max="9490" width="20" style="145" bestFit="1" customWidth="1"/>
    <col min="9491" max="9728" width="15.625" style="145"/>
    <col min="9729" max="9729" width="4.625" style="145" customWidth="1"/>
    <col min="9730" max="9730" width="29.25" style="145" customWidth="1"/>
    <col min="9731" max="9731" width="13" style="145" customWidth="1"/>
    <col min="9732" max="9732" width="20" style="145" customWidth="1"/>
    <col min="9733" max="9745" width="15.625" style="145"/>
    <col min="9746" max="9746" width="20" style="145" bestFit="1" customWidth="1"/>
    <col min="9747" max="9984" width="15.625" style="145"/>
    <col min="9985" max="9985" width="4.625" style="145" customWidth="1"/>
    <col min="9986" max="9986" width="29.25" style="145" customWidth="1"/>
    <col min="9987" max="9987" width="13" style="145" customWidth="1"/>
    <col min="9988" max="9988" width="20" style="145" customWidth="1"/>
    <col min="9989" max="10001" width="15.625" style="145"/>
    <col min="10002" max="10002" width="20" style="145" bestFit="1" customWidth="1"/>
    <col min="10003" max="10240" width="15.625" style="145"/>
    <col min="10241" max="10241" width="4.625" style="145" customWidth="1"/>
    <col min="10242" max="10242" width="29.25" style="145" customWidth="1"/>
    <col min="10243" max="10243" width="13" style="145" customWidth="1"/>
    <col min="10244" max="10244" width="20" style="145" customWidth="1"/>
    <col min="10245" max="10257" width="15.625" style="145"/>
    <col min="10258" max="10258" width="20" style="145" bestFit="1" customWidth="1"/>
    <col min="10259" max="10496" width="15.625" style="145"/>
    <col min="10497" max="10497" width="4.625" style="145" customWidth="1"/>
    <col min="10498" max="10498" width="29.25" style="145" customWidth="1"/>
    <col min="10499" max="10499" width="13" style="145" customWidth="1"/>
    <col min="10500" max="10500" width="20" style="145" customWidth="1"/>
    <col min="10501" max="10513" width="15.625" style="145"/>
    <col min="10514" max="10514" width="20" style="145" bestFit="1" customWidth="1"/>
    <col min="10515" max="10752" width="15.625" style="145"/>
    <col min="10753" max="10753" width="4.625" style="145" customWidth="1"/>
    <col min="10754" max="10754" width="29.25" style="145" customWidth="1"/>
    <col min="10755" max="10755" width="13" style="145" customWidth="1"/>
    <col min="10756" max="10756" width="20" style="145" customWidth="1"/>
    <col min="10757" max="10769" width="15.625" style="145"/>
    <col min="10770" max="10770" width="20" style="145" bestFit="1" customWidth="1"/>
    <col min="10771" max="11008" width="15.625" style="145"/>
    <col min="11009" max="11009" width="4.625" style="145" customWidth="1"/>
    <col min="11010" max="11010" width="29.25" style="145" customWidth="1"/>
    <col min="11011" max="11011" width="13" style="145" customWidth="1"/>
    <col min="11012" max="11012" width="20" style="145" customWidth="1"/>
    <col min="11013" max="11025" width="15.625" style="145"/>
    <col min="11026" max="11026" width="20" style="145" bestFit="1" customWidth="1"/>
    <col min="11027" max="11264" width="15.625" style="145"/>
    <col min="11265" max="11265" width="4.625" style="145" customWidth="1"/>
    <col min="11266" max="11266" width="29.25" style="145" customWidth="1"/>
    <col min="11267" max="11267" width="13" style="145" customWidth="1"/>
    <col min="11268" max="11268" width="20" style="145" customWidth="1"/>
    <col min="11269" max="11281" width="15.625" style="145"/>
    <col min="11282" max="11282" width="20" style="145" bestFit="1" customWidth="1"/>
    <col min="11283" max="11520" width="15.625" style="145"/>
    <col min="11521" max="11521" width="4.625" style="145" customWidth="1"/>
    <col min="11522" max="11522" width="29.25" style="145" customWidth="1"/>
    <col min="11523" max="11523" width="13" style="145" customWidth="1"/>
    <col min="11524" max="11524" width="20" style="145" customWidth="1"/>
    <col min="11525" max="11537" width="15.625" style="145"/>
    <col min="11538" max="11538" width="20" style="145" bestFit="1" customWidth="1"/>
    <col min="11539" max="11776" width="15.625" style="145"/>
    <col min="11777" max="11777" width="4.625" style="145" customWidth="1"/>
    <col min="11778" max="11778" width="29.25" style="145" customWidth="1"/>
    <col min="11779" max="11779" width="13" style="145" customWidth="1"/>
    <col min="11780" max="11780" width="20" style="145" customWidth="1"/>
    <col min="11781" max="11793" width="15.625" style="145"/>
    <col min="11794" max="11794" width="20" style="145" bestFit="1" customWidth="1"/>
    <col min="11795" max="12032" width="15.625" style="145"/>
    <col min="12033" max="12033" width="4.625" style="145" customWidth="1"/>
    <col min="12034" max="12034" width="29.25" style="145" customWidth="1"/>
    <col min="12035" max="12035" width="13" style="145" customWidth="1"/>
    <col min="12036" max="12036" width="20" style="145" customWidth="1"/>
    <col min="12037" max="12049" width="15.625" style="145"/>
    <col min="12050" max="12050" width="20" style="145" bestFit="1" customWidth="1"/>
    <col min="12051" max="12288" width="15.625" style="145"/>
    <col min="12289" max="12289" width="4.625" style="145" customWidth="1"/>
    <col min="12290" max="12290" width="29.25" style="145" customWidth="1"/>
    <col min="12291" max="12291" width="13" style="145" customWidth="1"/>
    <col min="12292" max="12292" width="20" style="145" customWidth="1"/>
    <col min="12293" max="12305" width="15.625" style="145"/>
    <col min="12306" max="12306" width="20" style="145" bestFit="1" customWidth="1"/>
    <col min="12307" max="12544" width="15.625" style="145"/>
    <col min="12545" max="12545" width="4.625" style="145" customWidth="1"/>
    <col min="12546" max="12546" width="29.25" style="145" customWidth="1"/>
    <col min="12547" max="12547" width="13" style="145" customWidth="1"/>
    <col min="12548" max="12548" width="20" style="145" customWidth="1"/>
    <col min="12549" max="12561" width="15.625" style="145"/>
    <col min="12562" max="12562" width="20" style="145" bestFit="1" customWidth="1"/>
    <col min="12563" max="12800" width="15.625" style="145"/>
    <col min="12801" max="12801" width="4.625" style="145" customWidth="1"/>
    <col min="12802" max="12802" width="29.25" style="145" customWidth="1"/>
    <col min="12803" max="12803" width="13" style="145" customWidth="1"/>
    <col min="12804" max="12804" width="20" style="145" customWidth="1"/>
    <col min="12805" max="12817" width="15.625" style="145"/>
    <col min="12818" max="12818" width="20" style="145" bestFit="1" customWidth="1"/>
    <col min="12819" max="13056" width="15.625" style="145"/>
    <col min="13057" max="13057" width="4.625" style="145" customWidth="1"/>
    <col min="13058" max="13058" width="29.25" style="145" customWidth="1"/>
    <col min="13059" max="13059" width="13" style="145" customWidth="1"/>
    <col min="13060" max="13060" width="20" style="145" customWidth="1"/>
    <col min="13061" max="13073" width="15.625" style="145"/>
    <col min="13074" max="13074" width="20" style="145" bestFit="1" customWidth="1"/>
    <col min="13075" max="13312" width="15.625" style="145"/>
    <col min="13313" max="13313" width="4.625" style="145" customWidth="1"/>
    <col min="13314" max="13314" width="29.25" style="145" customWidth="1"/>
    <col min="13315" max="13315" width="13" style="145" customWidth="1"/>
    <col min="13316" max="13316" width="20" style="145" customWidth="1"/>
    <col min="13317" max="13329" width="15.625" style="145"/>
    <col min="13330" max="13330" width="20" style="145" bestFit="1" customWidth="1"/>
    <col min="13331" max="13568" width="15.625" style="145"/>
    <col min="13569" max="13569" width="4.625" style="145" customWidth="1"/>
    <col min="13570" max="13570" width="29.25" style="145" customWidth="1"/>
    <col min="13571" max="13571" width="13" style="145" customWidth="1"/>
    <col min="13572" max="13572" width="20" style="145" customWidth="1"/>
    <col min="13573" max="13585" width="15.625" style="145"/>
    <col min="13586" max="13586" width="20" style="145" bestFit="1" customWidth="1"/>
    <col min="13587" max="13824" width="15.625" style="145"/>
    <col min="13825" max="13825" width="4.625" style="145" customWidth="1"/>
    <col min="13826" max="13826" width="29.25" style="145" customWidth="1"/>
    <col min="13827" max="13827" width="13" style="145" customWidth="1"/>
    <col min="13828" max="13828" width="20" style="145" customWidth="1"/>
    <col min="13829" max="13841" width="15.625" style="145"/>
    <col min="13842" max="13842" width="20" style="145" bestFit="1" customWidth="1"/>
    <col min="13843" max="14080" width="15.625" style="145"/>
    <col min="14081" max="14081" width="4.625" style="145" customWidth="1"/>
    <col min="14082" max="14082" width="29.25" style="145" customWidth="1"/>
    <col min="14083" max="14083" width="13" style="145" customWidth="1"/>
    <col min="14084" max="14084" width="20" style="145" customWidth="1"/>
    <col min="14085" max="14097" width="15.625" style="145"/>
    <col min="14098" max="14098" width="20" style="145" bestFit="1" customWidth="1"/>
    <col min="14099" max="14336" width="15.625" style="145"/>
    <col min="14337" max="14337" width="4.625" style="145" customWidth="1"/>
    <col min="14338" max="14338" width="29.25" style="145" customWidth="1"/>
    <col min="14339" max="14339" width="13" style="145" customWidth="1"/>
    <col min="14340" max="14340" width="20" style="145" customWidth="1"/>
    <col min="14341" max="14353" width="15.625" style="145"/>
    <col min="14354" max="14354" width="20" style="145" bestFit="1" customWidth="1"/>
    <col min="14355" max="14592" width="15.625" style="145"/>
    <col min="14593" max="14593" width="4.625" style="145" customWidth="1"/>
    <col min="14594" max="14594" width="29.25" style="145" customWidth="1"/>
    <col min="14595" max="14595" width="13" style="145" customWidth="1"/>
    <col min="14596" max="14596" width="20" style="145" customWidth="1"/>
    <col min="14597" max="14609" width="15.625" style="145"/>
    <col min="14610" max="14610" width="20" style="145" bestFit="1" customWidth="1"/>
    <col min="14611" max="14848" width="15.625" style="145"/>
    <col min="14849" max="14849" width="4.625" style="145" customWidth="1"/>
    <col min="14850" max="14850" width="29.25" style="145" customWidth="1"/>
    <col min="14851" max="14851" width="13" style="145" customWidth="1"/>
    <col min="14852" max="14852" width="20" style="145" customWidth="1"/>
    <col min="14853" max="14865" width="15.625" style="145"/>
    <col min="14866" max="14866" width="20" style="145" bestFit="1" customWidth="1"/>
    <col min="14867" max="15104" width="15.625" style="145"/>
    <col min="15105" max="15105" width="4.625" style="145" customWidth="1"/>
    <col min="15106" max="15106" width="29.25" style="145" customWidth="1"/>
    <col min="15107" max="15107" width="13" style="145" customWidth="1"/>
    <col min="15108" max="15108" width="20" style="145" customWidth="1"/>
    <col min="15109" max="15121" width="15.625" style="145"/>
    <col min="15122" max="15122" width="20" style="145" bestFit="1" customWidth="1"/>
    <col min="15123" max="15360" width="15.625" style="145"/>
    <col min="15361" max="15361" width="4.625" style="145" customWidth="1"/>
    <col min="15362" max="15362" width="29.25" style="145" customWidth="1"/>
    <col min="15363" max="15363" width="13" style="145" customWidth="1"/>
    <col min="15364" max="15364" width="20" style="145" customWidth="1"/>
    <col min="15365" max="15377" width="15.625" style="145"/>
    <col min="15378" max="15378" width="20" style="145" bestFit="1" customWidth="1"/>
    <col min="15379" max="15616" width="15.625" style="145"/>
    <col min="15617" max="15617" width="4.625" style="145" customWidth="1"/>
    <col min="15618" max="15618" width="29.25" style="145" customWidth="1"/>
    <col min="15619" max="15619" width="13" style="145" customWidth="1"/>
    <col min="15620" max="15620" width="20" style="145" customWidth="1"/>
    <col min="15621" max="15633" width="15.625" style="145"/>
    <col min="15634" max="15634" width="20" style="145" bestFit="1" customWidth="1"/>
    <col min="15635" max="15872" width="15.625" style="145"/>
    <col min="15873" max="15873" width="4.625" style="145" customWidth="1"/>
    <col min="15874" max="15874" width="29.25" style="145" customWidth="1"/>
    <col min="15875" max="15875" width="13" style="145" customWidth="1"/>
    <col min="15876" max="15876" width="20" style="145" customWidth="1"/>
    <col min="15877" max="15889" width="15.625" style="145"/>
    <col min="15890" max="15890" width="20" style="145" bestFit="1" customWidth="1"/>
    <col min="15891" max="16128" width="15.625" style="145"/>
    <col min="16129" max="16129" width="4.625" style="145" customWidth="1"/>
    <col min="16130" max="16130" width="29.25" style="145" customWidth="1"/>
    <col min="16131" max="16131" width="13" style="145" customWidth="1"/>
    <col min="16132" max="16132" width="20" style="145" customWidth="1"/>
    <col min="16133" max="16145" width="15.625" style="145"/>
    <col min="16146" max="16146" width="20" style="145" bestFit="1" customWidth="1"/>
    <col min="16147" max="16384" width="15.625" style="145"/>
  </cols>
  <sheetData>
    <row r="1" spans="1:19" ht="25.5">
      <c r="A1" s="219" t="s">
        <v>543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</row>
    <row r="2" spans="1:19">
      <c r="A2" s="146" t="s">
        <v>0</v>
      </c>
      <c r="B2" s="146" t="s">
        <v>178</v>
      </c>
      <c r="C2" s="146" t="s">
        <v>179</v>
      </c>
      <c r="D2" s="147" t="s">
        <v>180</v>
      </c>
      <c r="E2" s="147" t="s">
        <v>544</v>
      </c>
      <c r="F2" s="147" t="s">
        <v>545</v>
      </c>
      <c r="G2" s="147" t="s">
        <v>546</v>
      </c>
      <c r="H2" s="147" t="s">
        <v>547</v>
      </c>
      <c r="I2" s="147" t="s">
        <v>548</v>
      </c>
      <c r="J2" s="147" t="s">
        <v>549</v>
      </c>
      <c r="K2" s="147" t="s">
        <v>550</v>
      </c>
      <c r="L2" s="147" t="s">
        <v>551</v>
      </c>
      <c r="M2" s="147" t="s">
        <v>552</v>
      </c>
      <c r="N2" s="147" t="s">
        <v>553</v>
      </c>
      <c r="O2" s="147" t="s">
        <v>554</v>
      </c>
      <c r="P2" s="147" t="s">
        <v>555</v>
      </c>
      <c r="Q2" s="147" t="s">
        <v>25</v>
      </c>
      <c r="R2" s="148"/>
    </row>
    <row r="3" spans="1:19">
      <c r="A3" s="149" t="s">
        <v>181</v>
      </c>
      <c r="B3" s="150" t="s">
        <v>182</v>
      </c>
      <c r="C3" s="150"/>
      <c r="D3" s="151" t="s">
        <v>183</v>
      </c>
      <c r="E3" s="152">
        <f>E4+E31+E52</f>
        <v>3306073.6</v>
      </c>
      <c r="F3" s="152">
        <f t="shared" ref="F3:P3" si="0">F4+F31+F52</f>
        <v>62927525</v>
      </c>
      <c r="G3" s="152">
        <f t="shared" si="0"/>
        <v>25426189.550000001</v>
      </c>
      <c r="H3" s="152">
        <f t="shared" si="0"/>
        <v>26410477.600000001</v>
      </c>
      <c r="I3" s="152">
        <f t="shared" si="0"/>
        <v>32511102.600000001</v>
      </c>
      <c r="J3" s="152">
        <f t="shared" si="0"/>
        <v>9822050.5999999996</v>
      </c>
      <c r="K3" s="152">
        <f t="shared" si="0"/>
        <v>7668188.7000000002</v>
      </c>
      <c r="L3" s="152">
        <f t="shared" si="0"/>
        <v>8720129</v>
      </c>
      <c r="M3" s="152">
        <f t="shared" si="0"/>
        <v>8385542.0499999998</v>
      </c>
      <c r="N3" s="152">
        <f t="shared" si="0"/>
        <v>15847271</v>
      </c>
      <c r="O3" s="152">
        <f t="shared" si="0"/>
        <v>5420378</v>
      </c>
      <c r="P3" s="152">
        <f t="shared" si="0"/>
        <v>2334319.2000000002</v>
      </c>
      <c r="Q3" s="152">
        <f t="shared" ref="Q3:Q66" si="1">SUM(E3:P3)</f>
        <v>208779246.89999998</v>
      </c>
      <c r="R3" s="148"/>
      <c r="S3" s="153"/>
    </row>
    <row r="4" spans="1:19">
      <c r="A4" s="149" t="s">
        <v>184</v>
      </c>
      <c r="B4" s="150" t="s">
        <v>128</v>
      </c>
      <c r="C4" s="150"/>
      <c r="D4" s="151" t="s">
        <v>183</v>
      </c>
      <c r="E4" s="152">
        <f t="shared" ref="E4:P4" si="2">E5+E8+E13+E17+E20+E22+E25+E27+E29+E30</f>
        <v>2831883</v>
      </c>
      <c r="F4" s="152">
        <f t="shared" si="2"/>
        <v>55983847</v>
      </c>
      <c r="G4" s="152">
        <f t="shared" si="2"/>
        <v>22168371</v>
      </c>
      <c r="H4" s="152">
        <f t="shared" si="2"/>
        <v>22597389</v>
      </c>
      <c r="I4" s="152">
        <f t="shared" si="2"/>
        <v>27433036</v>
      </c>
      <c r="J4" s="152">
        <f t="shared" si="2"/>
        <v>8533910</v>
      </c>
      <c r="K4" s="152">
        <f t="shared" si="2"/>
        <v>6544010</v>
      </c>
      <c r="L4" s="152">
        <f t="shared" si="2"/>
        <v>7507464</v>
      </c>
      <c r="M4" s="152">
        <f t="shared" si="2"/>
        <v>6793770</v>
      </c>
      <c r="N4" s="152">
        <f t="shared" si="2"/>
        <v>13345032</v>
      </c>
      <c r="O4" s="152">
        <f t="shared" si="2"/>
        <v>4322447</v>
      </c>
      <c r="P4" s="152">
        <f t="shared" si="2"/>
        <v>1327154</v>
      </c>
      <c r="Q4" s="152">
        <f t="shared" si="1"/>
        <v>179388313</v>
      </c>
    </row>
    <row r="5" spans="1:19">
      <c r="A5" s="149" t="s">
        <v>185</v>
      </c>
      <c r="B5" s="150" t="s">
        <v>186</v>
      </c>
      <c r="C5" s="150"/>
      <c r="D5" s="151" t="s">
        <v>183</v>
      </c>
      <c r="E5" s="152">
        <f>E6+E7</f>
        <v>446544</v>
      </c>
      <c r="F5" s="152">
        <f t="shared" ref="F5:P5" si="3">F6+F7</f>
        <v>8900676</v>
      </c>
      <c r="G5" s="152">
        <f t="shared" si="3"/>
        <v>2528784</v>
      </c>
      <c r="H5" s="152">
        <f t="shared" si="3"/>
        <v>2598744</v>
      </c>
      <c r="I5" s="152">
        <f t="shared" si="3"/>
        <v>3194124</v>
      </c>
      <c r="J5" s="152">
        <f t="shared" si="3"/>
        <v>1279728</v>
      </c>
      <c r="K5" s="152">
        <f t="shared" si="3"/>
        <v>854256</v>
      </c>
      <c r="L5" s="152">
        <f t="shared" si="3"/>
        <v>942006</v>
      </c>
      <c r="M5" s="152">
        <f t="shared" si="3"/>
        <v>832992</v>
      </c>
      <c r="N5" s="152">
        <f t="shared" si="3"/>
        <v>1547628</v>
      </c>
      <c r="O5" s="152">
        <f t="shared" si="3"/>
        <v>517956</v>
      </c>
      <c r="P5" s="152">
        <f t="shared" si="3"/>
        <v>164028</v>
      </c>
      <c r="Q5" s="152">
        <f t="shared" si="1"/>
        <v>23807466</v>
      </c>
    </row>
    <row r="6" spans="1:19">
      <c r="A6" s="149" t="s">
        <v>187</v>
      </c>
      <c r="B6" s="150" t="s">
        <v>188</v>
      </c>
      <c r="C6" s="150" t="s">
        <v>189</v>
      </c>
      <c r="D6" s="151" t="s">
        <v>190</v>
      </c>
      <c r="E6" s="154">
        <v>227244</v>
      </c>
      <c r="F6" s="154">
        <f>376577*12</f>
        <v>4518924</v>
      </c>
      <c r="G6" s="154">
        <v>1812216</v>
      </c>
      <c r="H6" s="154">
        <v>1727808</v>
      </c>
      <c r="I6" s="154">
        <v>2155800</v>
      </c>
      <c r="J6" s="154">
        <v>708708</v>
      </c>
      <c r="K6" s="154">
        <v>546648</v>
      </c>
      <c r="L6" s="154">
        <v>637302</v>
      </c>
      <c r="M6" s="154">
        <v>543180</v>
      </c>
      <c r="N6" s="154">
        <v>1051488</v>
      </c>
      <c r="O6" s="154">
        <v>366492</v>
      </c>
      <c r="P6" s="154">
        <v>118140</v>
      </c>
      <c r="Q6" s="152">
        <f t="shared" si="1"/>
        <v>14413950</v>
      </c>
    </row>
    <row r="7" spans="1:19">
      <c r="A7" s="149" t="s">
        <v>191</v>
      </c>
      <c r="B7" s="150" t="s">
        <v>192</v>
      </c>
      <c r="C7" s="150" t="s">
        <v>189</v>
      </c>
      <c r="D7" s="151" t="s">
        <v>190</v>
      </c>
      <c r="E7" s="154">
        <v>219300</v>
      </c>
      <c r="F7" s="154">
        <f>365146*12</f>
        <v>4381752</v>
      </c>
      <c r="G7" s="154">
        <v>716568</v>
      </c>
      <c r="H7" s="154">
        <v>870936</v>
      </c>
      <c r="I7" s="154">
        <v>1038324</v>
      </c>
      <c r="J7" s="154">
        <v>571020</v>
      </c>
      <c r="K7" s="154">
        <v>307608</v>
      </c>
      <c r="L7" s="154">
        <v>304704</v>
      </c>
      <c r="M7" s="154">
        <v>289812</v>
      </c>
      <c r="N7" s="154">
        <v>496140</v>
      </c>
      <c r="O7" s="154">
        <v>151464</v>
      </c>
      <c r="P7" s="154">
        <v>45888</v>
      </c>
      <c r="Q7" s="152">
        <f t="shared" si="1"/>
        <v>9393516</v>
      </c>
    </row>
    <row r="8" spans="1:19">
      <c r="A8" s="149" t="s">
        <v>193</v>
      </c>
      <c r="B8" s="150" t="s">
        <v>194</v>
      </c>
      <c r="C8" s="150"/>
      <c r="D8" s="151" t="s">
        <v>183</v>
      </c>
      <c r="E8" s="152">
        <f>E9+E10</f>
        <v>48840</v>
      </c>
      <c r="F8" s="152">
        <f t="shared" ref="F8:P8" si="4">F9+F10</f>
        <v>952896</v>
      </c>
      <c r="G8" s="152">
        <f t="shared" si="4"/>
        <v>403608</v>
      </c>
      <c r="H8" s="152">
        <f t="shared" si="4"/>
        <v>402996</v>
      </c>
      <c r="I8" s="152">
        <f t="shared" si="4"/>
        <v>505956</v>
      </c>
      <c r="J8" s="152">
        <f t="shared" si="4"/>
        <v>157944</v>
      </c>
      <c r="K8" s="152">
        <f t="shared" si="4"/>
        <v>124584</v>
      </c>
      <c r="L8" s="152">
        <f t="shared" si="4"/>
        <v>145788</v>
      </c>
      <c r="M8" s="152">
        <f t="shared" si="4"/>
        <v>129600</v>
      </c>
      <c r="N8" s="152">
        <f t="shared" si="4"/>
        <v>258624</v>
      </c>
      <c r="O8" s="152">
        <f t="shared" si="4"/>
        <v>86196</v>
      </c>
      <c r="P8" s="152">
        <f t="shared" si="4"/>
        <v>27000</v>
      </c>
      <c r="Q8" s="152">
        <f t="shared" si="1"/>
        <v>3244032</v>
      </c>
    </row>
    <row r="9" spans="1:19">
      <c r="A9" s="149" t="s">
        <v>195</v>
      </c>
      <c r="B9" s="150" t="s">
        <v>196</v>
      </c>
      <c r="C9" s="150" t="s">
        <v>189</v>
      </c>
      <c r="D9" s="151" t="s">
        <v>190</v>
      </c>
      <c r="E9" s="154">
        <v>672</v>
      </c>
      <c r="F9" s="154">
        <f>1358*12</f>
        <v>16296</v>
      </c>
      <c r="G9" s="154">
        <v>2208</v>
      </c>
      <c r="H9" s="154">
        <v>1596</v>
      </c>
      <c r="I9" s="154">
        <v>2868</v>
      </c>
      <c r="J9" s="154">
        <v>2736</v>
      </c>
      <c r="K9" s="154">
        <v>1488</v>
      </c>
      <c r="L9" s="154">
        <v>1284</v>
      </c>
      <c r="M9" s="154">
        <v>1152</v>
      </c>
      <c r="N9" s="154">
        <v>1728</v>
      </c>
      <c r="O9" s="154">
        <v>564</v>
      </c>
      <c r="P9" s="154">
        <v>240</v>
      </c>
      <c r="Q9" s="152">
        <f t="shared" si="1"/>
        <v>32832</v>
      </c>
    </row>
    <row r="10" spans="1:19">
      <c r="A10" s="149" t="s">
        <v>197</v>
      </c>
      <c r="B10" s="150" t="s">
        <v>198</v>
      </c>
      <c r="C10" s="150"/>
      <c r="D10" s="151" t="s">
        <v>183</v>
      </c>
      <c r="E10" s="152">
        <f>E11+E12</f>
        <v>48168</v>
      </c>
      <c r="F10" s="152">
        <f t="shared" ref="F10:P10" si="5">F11+F12</f>
        <v>936600</v>
      </c>
      <c r="G10" s="152">
        <f t="shared" si="5"/>
        <v>401400</v>
      </c>
      <c r="H10" s="152">
        <f t="shared" si="5"/>
        <v>401400</v>
      </c>
      <c r="I10" s="152">
        <f t="shared" si="5"/>
        <v>503088</v>
      </c>
      <c r="J10" s="152">
        <f t="shared" si="5"/>
        <v>155208</v>
      </c>
      <c r="K10" s="152">
        <f t="shared" si="5"/>
        <v>123096</v>
      </c>
      <c r="L10" s="152">
        <f t="shared" si="5"/>
        <v>144504</v>
      </c>
      <c r="M10" s="152">
        <f t="shared" si="5"/>
        <v>128448</v>
      </c>
      <c r="N10" s="152">
        <f t="shared" si="5"/>
        <v>256896</v>
      </c>
      <c r="O10" s="152">
        <f t="shared" si="5"/>
        <v>85632</v>
      </c>
      <c r="P10" s="152">
        <f t="shared" si="5"/>
        <v>26760</v>
      </c>
      <c r="Q10" s="152">
        <f t="shared" si="1"/>
        <v>3211200</v>
      </c>
    </row>
    <row r="11" spans="1:19" s="157" customFormat="1">
      <c r="A11" s="149" t="s">
        <v>199</v>
      </c>
      <c r="B11" s="155" t="s">
        <v>200</v>
      </c>
      <c r="C11" s="155" t="s">
        <v>189</v>
      </c>
      <c r="D11" s="156" t="s">
        <v>183</v>
      </c>
      <c r="E11" s="152">
        <f>72*E96</f>
        <v>648</v>
      </c>
      <c r="F11" s="152">
        <f t="shared" ref="F11:P11" si="6">72*F96</f>
        <v>12600</v>
      </c>
      <c r="G11" s="152">
        <f t="shared" si="6"/>
        <v>5400</v>
      </c>
      <c r="H11" s="152">
        <f t="shared" si="6"/>
        <v>5400</v>
      </c>
      <c r="I11" s="152">
        <f t="shared" si="6"/>
        <v>6768</v>
      </c>
      <c r="J11" s="152">
        <f t="shared" si="6"/>
        <v>2088</v>
      </c>
      <c r="K11" s="152">
        <f t="shared" si="6"/>
        <v>1656</v>
      </c>
      <c r="L11" s="152">
        <f t="shared" si="6"/>
        <v>1944</v>
      </c>
      <c r="M11" s="152">
        <f t="shared" si="6"/>
        <v>1728</v>
      </c>
      <c r="N11" s="152">
        <f t="shared" si="6"/>
        <v>3456</v>
      </c>
      <c r="O11" s="152">
        <f t="shared" si="6"/>
        <v>1152</v>
      </c>
      <c r="P11" s="152">
        <f t="shared" si="6"/>
        <v>360</v>
      </c>
      <c r="Q11" s="152">
        <f t="shared" si="1"/>
        <v>43200</v>
      </c>
    </row>
    <row r="12" spans="1:19" s="157" customFormat="1">
      <c r="A12" s="149" t="s">
        <v>201</v>
      </c>
      <c r="B12" s="155" t="s">
        <v>202</v>
      </c>
      <c r="C12" s="155" t="s">
        <v>189</v>
      </c>
      <c r="D12" s="156" t="s">
        <v>183</v>
      </c>
      <c r="E12" s="152">
        <f>440*12*E96</f>
        <v>47520</v>
      </c>
      <c r="F12" s="152">
        <f t="shared" ref="F12:P12" si="7">440*12*F96</f>
        <v>924000</v>
      </c>
      <c r="G12" s="152">
        <f t="shared" si="7"/>
        <v>396000</v>
      </c>
      <c r="H12" s="152">
        <f t="shared" si="7"/>
        <v>396000</v>
      </c>
      <c r="I12" s="152">
        <f t="shared" si="7"/>
        <v>496320</v>
      </c>
      <c r="J12" s="152">
        <f t="shared" si="7"/>
        <v>153120</v>
      </c>
      <c r="K12" s="152">
        <f t="shared" si="7"/>
        <v>121440</v>
      </c>
      <c r="L12" s="152">
        <f t="shared" si="7"/>
        <v>142560</v>
      </c>
      <c r="M12" s="152">
        <f t="shared" si="7"/>
        <v>126720</v>
      </c>
      <c r="N12" s="152">
        <f t="shared" si="7"/>
        <v>253440</v>
      </c>
      <c r="O12" s="152">
        <f t="shared" si="7"/>
        <v>84480</v>
      </c>
      <c r="P12" s="152">
        <f t="shared" si="7"/>
        <v>26400</v>
      </c>
      <c r="Q12" s="152">
        <f t="shared" si="1"/>
        <v>3168000</v>
      </c>
    </row>
    <row r="13" spans="1:19">
      <c r="A13" s="149" t="s">
        <v>203</v>
      </c>
      <c r="B13" s="150" t="s">
        <v>204</v>
      </c>
      <c r="C13" s="150"/>
      <c r="D13" s="151" t="s">
        <v>205</v>
      </c>
      <c r="E13" s="152">
        <f>E14+E15+E16</f>
        <v>48582</v>
      </c>
      <c r="F13" s="152">
        <f t="shared" ref="F13:P13" si="8">F14+F15+F16</f>
        <v>863400</v>
      </c>
      <c r="G13" s="152">
        <f t="shared" si="8"/>
        <v>341916</v>
      </c>
      <c r="H13" s="152">
        <f t="shared" si="8"/>
        <v>360846</v>
      </c>
      <c r="I13" s="152">
        <f t="shared" si="8"/>
        <v>408738</v>
      </c>
      <c r="J13" s="152">
        <f t="shared" si="8"/>
        <v>131382</v>
      </c>
      <c r="K13" s="152">
        <f t="shared" si="8"/>
        <v>100890</v>
      </c>
      <c r="L13" s="152">
        <f t="shared" si="8"/>
        <v>112470</v>
      </c>
      <c r="M13" s="152">
        <f t="shared" si="8"/>
        <v>106542</v>
      </c>
      <c r="N13" s="152">
        <f t="shared" si="8"/>
        <v>206580</v>
      </c>
      <c r="O13" s="152">
        <f t="shared" si="8"/>
        <v>62125</v>
      </c>
      <c r="P13" s="152">
        <f t="shared" si="8"/>
        <v>18054</v>
      </c>
      <c r="Q13" s="152">
        <f t="shared" si="1"/>
        <v>2761525</v>
      </c>
    </row>
    <row r="14" spans="1:19" s="157" customFormat="1">
      <c r="A14" s="149" t="s">
        <v>206</v>
      </c>
      <c r="B14" s="155" t="s">
        <v>556</v>
      </c>
      <c r="C14" s="155" t="s">
        <v>189</v>
      </c>
      <c r="D14" s="156" t="s">
        <v>208</v>
      </c>
      <c r="E14" s="152">
        <f>E16*3</f>
        <v>29149.199999999997</v>
      </c>
      <c r="F14" s="152">
        <f t="shared" ref="F14:P14" si="9">F16*3</f>
        <v>518040</v>
      </c>
      <c r="G14" s="152">
        <f t="shared" si="9"/>
        <v>205149.59999999998</v>
      </c>
      <c r="H14" s="152">
        <f t="shared" si="9"/>
        <v>216507.59999999998</v>
      </c>
      <c r="I14" s="152">
        <f t="shared" si="9"/>
        <v>245242.80000000002</v>
      </c>
      <c r="J14" s="152">
        <f t="shared" si="9"/>
        <v>78829.200000000012</v>
      </c>
      <c r="K14" s="152">
        <f t="shared" si="9"/>
        <v>60534</v>
      </c>
      <c r="L14" s="152">
        <f t="shared" si="9"/>
        <v>67482</v>
      </c>
      <c r="M14" s="152">
        <f t="shared" si="9"/>
        <v>63925.200000000004</v>
      </c>
      <c r="N14" s="152">
        <f t="shared" si="9"/>
        <v>123948</v>
      </c>
      <c r="O14" s="152">
        <f t="shared" si="9"/>
        <v>37275</v>
      </c>
      <c r="P14" s="152">
        <f t="shared" si="9"/>
        <v>10832.400000000001</v>
      </c>
      <c r="Q14" s="152">
        <f t="shared" si="1"/>
        <v>1656914.9999999998</v>
      </c>
    </row>
    <row r="15" spans="1:19" s="157" customFormat="1">
      <c r="A15" s="149" t="s">
        <v>209</v>
      </c>
      <c r="B15" s="155" t="s">
        <v>557</v>
      </c>
      <c r="C15" s="155" t="s">
        <v>189</v>
      </c>
      <c r="D15" s="156" t="s">
        <v>208</v>
      </c>
      <c r="E15" s="152">
        <f>E16</f>
        <v>9716.4</v>
      </c>
      <c r="F15" s="152">
        <f t="shared" ref="F15:P15" si="10">F16</f>
        <v>172680</v>
      </c>
      <c r="G15" s="152">
        <f t="shared" si="10"/>
        <v>68383.199999999997</v>
      </c>
      <c r="H15" s="152">
        <f t="shared" si="10"/>
        <v>72169.2</v>
      </c>
      <c r="I15" s="152">
        <f t="shared" si="10"/>
        <v>81747.600000000006</v>
      </c>
      <c r="J15" s="152">
        <f t="shared" si="10"/>
        <v>26276.400000000001</v>
      </c>
      <c r="K15" s="152">
        <f t="shared" si="10"/>
        <v>20178</v>
      </c>
      <c r="L15" s="152">
        <f t="shared" si="10"/>
        <v>22494</v>
      </c>
      <c r="M15" s="152">
        <f t="shared" si="10"/>
        <v>21308.400000000001</v>
      </c>
      <c r="N15" s="152">
        <f t="shared" si="10"/>
        <v>41316</v>
      </c>
      <c r="O15" s="152">
        <f t="shared" si="10"/>
        <v>12425</v>
      </c>
      <c r="P15" s="152">
        <f t="shared" si="10"/>
        <v>3610.8</v>
      </c>
      <c r="Q15" s="152">
        <f t="shared" si="1"/>
        <v>552305.00000000012</v>
      </c>
    </row>
    <row r="16" spans="1:19" s="157" customFormat="1">
      <c r="A16" s="149" t="s">
        <v>211</v>
      </c>
      <c r="B16" s="155" t="s">
        <v>558</v>
      </c>
      <c r="C16" s="155" t="s">
        <v>189</v>
      </c>
      <c r="D16" s="156" t="s">
        <v>208</v>
      </c>
      <c r="E16" s="154">
        <v>9716.4</v>
      </c>
      <c r="F16" s="154">
        <f>14390*12</f>
        <v>172680</v>
      </c>
      <c r="G16" s="154">
        <v>68383.199999999997</v>
      </c>
      <c r="H16" s="154">
        <v>72169.2</v>
      </c>
      <c r="I16" s="154">
        <v>81747.600000000006</v>
      </c>
      <c r="J16" s="154">
        <v>26276.400000000001</v>
      </c>
      <c r="K16" s="154">
        <v>20178</v>
      </c>
      <c r="L16" s="154">
        <v>22494</v>
      </c>
      <c r="M16" s="154">
        <v>21308.400000000001</v>
      </c>
      <c r="N16" s="154">
        <v>41316</v>
      </c>
      <c r="O16" s="154">
        <v>12425</v>
      </c>
      <c r="P16" s="154">
        <v>3610.8</v>
      </c>
      <c r="Q16" s="152">
        <f t="shared" si="1"/>
        <v>552305.00000000012</v>
      </c>
    </row>
    <row r="17" spans="1:17">
      <c r="A17" s="149" t="s">
        <v>213</v>
      </c>
      <c r="B17" s="150" t="s">
        <v>214</v>
      </c>
      <c r="C17" s="150"/>
      <c r="D17" s="151" t="s">
        <v>183</v>
      </c>
      <c r="E17" s="152">
        <v>1327041</v>
      </c>
      <c r="F17" s="152">
        <v>28045675</v>
      </c>
      <c r="G17" s="152">
        <v>12019575</v>
      </c>
      <c r="H17" s="152">
        <v>12019575</v>
      </c>
      <c r="I17" s="152">
        <v>15064534</v>
      </c>
      <c r="J17" s="152">
        <v>4321580</v>
      </c>
      <c r="K17" s="152">
        <v>3427460</v>
      </c>
      <c r="L17" s="152">
        <v>4023540</v>
      </c>
      <c r="M17" s="152">
        <v>3576480</v>
      </c>
      <c r="N17" s="152">
        <v>7152960</v>
      </c>
      <c r="O17" s="152">
        <v>2384320</v>
      </c>
      <c r="P17" s="152">
        <v>745100</v>
      </c>
      <c r="Q17" s="152">
        <f t="shared" si="1"/>
        <v>94107840</v>
      </c>
    </row>
    <row r="18" spans="1:17" ht="22.5">
      <c r="A18" s="149" t="s">
        <v>215</v>
      </c>
      <c r="B18" s="158" t="s">
        <v>216</v>
      </c>
      <c r="C18" s="158" t="s">
        <v>189</v>
      </c>
      <c r="D18" s="159" t="s">
        <v>217</v>
      </c>
      <c r="E18" s="160">
        <f>E17-E19</f>
        <v>1327041</v>
      </c>
      <c r="F18" s="160">
        <f t="shared" ref="F18:P18" si="11">F17-F19</f>
        <v>27858395</v>
      </c>
      <c r="G18" s="160">
        <f t="shared" si="11"/>
        <v>11859443</v>
      </c>
      <c r="H18" s="160">
        <f t="shared" si="11"/>
        <v>11849411</v>
      </c>
      <c r="I18" s="160">
        <f t="shared" si="11"/>
        <v>14878278</v>
      </c>
      <c r="J18" s="160">
        <f t="shared" si="11"/>
        <v>4173524</v>
      </c>
      <c r="K18" s="160">
        <f t="shared" si="11"/>
        <v>3268376</v>
      </c>
      <c r="L18" s="160">
        <f t="shared" si="11"/>
        <v>3869964</v>
      </c>
      <c r="M18" s="160">
        <f t="shared" si="11"/>
        <v>3448576</v>
      </c>
      <c r="N18" s="160">
        <f t="shared" si="11"/>
        <v>6989544</v>
      </c>
      <c r="O18" s="160">
        <f t="shared" si="11"/>
        <v>2237464</v>
      </c>
      <c r="P18" s="160">
        <f t="shared" si="11"/>
        <v>625324</v>
      </c>
      <c r="Q18" s="152">
        <f t="shared" si="1"/>
        <v>92385340</v>
      </c>
    </row>
    <row r="19" spans="1:17">
      <c r="A19" s="149" t="s">
        <v>218</v>
      </c>
      <c r="B19" s="158" t="s">
        <v>219</v>
      </c>
      <c r="C19" s="158" t="s">
        <v>189</v>
      </c>
      <c r="D19" s="159" t="s">
        <v>220</v>
      </c>
      <c r="E19" s="160"/>
      <c r="F19" s="161">
        <v>187280</v>
      </c>
      <c r="G19" s="160">
        <v>160132</v>
      </c>
      <c r="H19" s="160">
        <v>170164</v>
      </c>
      <c r="I19" s="160">
        <v>186256</v>
      </c>
      <c r="J19" s="160">
        <v>148056</v>
      </c>
      <c r="K19" s="160">
        <v>159084</v>
      </c>
      <c r="L19" s="160">
        <v>153576</v>
      </c>
      <c r="M19" s="160">
        <v>127904</v>
      </c>
      <c r="N19" s="160">
        <v>163416</v>
      </c>
      <c r="O19" s="160">
        <v>146856</v>
      </c>
      <c r="P19" s="160">
        <v>119776</v>
      </c>
      <c r="Q19" s="152">
        <f t="shared" si="1"/>
        <v>1722500</v>
      </c>
    </row>
    <row r="20" spans="1:17">
      <c r="A20" s="149" t="s">
        <v>221</v>
      </c>
      <c r="B20" s="150" t="s">
        <v>222</v>
      </c>
      <c r="C20" s="150"/>
      <c r="D20" s="159" t="s">
        <v>183</v>
      </c>
      <c r="E20" s="162">
        <f>E21</f>
        <v>194328</v>
      </c>
      <c r="F20" s="162">
        <f t="shared" ref="F20:P20" si="12">F21</f>
        <v>3453600</v>
      </c>
      <c r="G20" s="162">
        <f t="shared" si="12"/>
        <v>1367664</v>
      </c>
      <c r="H20" s="162">
        <f t="shared" si="12"/>
        <v>1443384</v>
      </c>
      <c r="I20" s="162">
        <f t="shared" si="12"/>
        <v>1634952</v>
      </c>
      <c r="J20" s="162">
        <f t="shared" si="12"/>
        <v>525528</v>
      </c>
      <c r="K20" s="162">
        <f t="shared" si="12"/>
        <v>403560</v>
      </c>
      <c r="L20" s="162">
        <f t="shared" si="12"/>
        <v>449880</v>
      </c>
      <c r="M20" s="162">
        <f t="shared" si="12"/>
        <v>426168</v>
      </c>
      <c r="N20" s="162">
        <f t="shared" si="12"/>
        <v>826320</v>
      </c>
      <c r="O20" s="162">
        <f t="shared" si="12"/>
        <v>248500</v>
      </c>
      <c r="P20" s="162">
        <f t="shared" si="12"/>
        <v>72216</v>
      </c>
      <c r="Q20" s="152">
        <f t="shared" si="1"/>
        <v>11046100</v>
      </c>
    </row>
    <row r="21" spans="1:17">
      <c r="A21" s="149" t="s">
        <v>223</v>
      </c>
      <c r="B21" s="150" t="s">
        <v>559</v>
      </c>
      <c r="C21" s="150" t="s">
        <v>225</v>
      </c>
      <c r="D21" s="159" t="s">
        <v>183</v>
      </c>
      <c r="E21" s="162">
        <f>E16*20</f>
        <v>194328</v>
      </c>
      <c r="F21" s="162">
        <f t="shared" ref="F21:P21" si="13">F16*20</f>
        <v>3453600</v>
      </c>
      <c r="G21" s="162">
        <f t="shared" si="13"/>
        <v>1367664</v>
      </c>
      <c r="H21" s="162">
        <f t="shared" si="13"/>
        <v>1443384</v>
      </c>
      <c r="I21" s="162">
        <f t="shared" si="13"/>
        <v>1634952</v>
      </c>
      <c r="J21" s="162">
        <f t="shared" si="13"/>
        <v>525528</v>
      </c>
      <c r="K21" s="162">
        <f t="shared" si="13"/>
        <v>403560</v>
      </c>
      <c r="L21" s="162">
        <f t="shared" si="13"/>
        <v>449880</v>
      </c>
      <c r="M21" s="162">
        <f t="shared" si="13"/>
        <v>426168</v>
      </c>
      <c r="N21" s="162">
        <f t="shared" si="13"/>
        <v>826320</v>
      </c>
      <c r="O21" s="162">
        <f t="shared" si="13"/>
        <v>248500</v>
      </c>
      <c r="P21" s="162">
        <f t="shared" si="13"/>
        <v>72216</v>
      </c>
      <c r="Q21" s="152">
        <f t="shared" si="1"/>
        <v>11046100</v>
      </c>
    </row>
    <row r="22" spans="1:17">
      <c r="A22" s="149" t="s">
        <v>226</v>
      </c>
      <c r="B22" s="150" t="s">
        <v>227</v>
      </c>
      <c r="C22" s="150"/>
      <c r="D22" s="159" t="s">
        <v>208</v>
      </c>
      <c r="E22" s="162">
        <f>E23+E24</f>
        <v>77731.199999999997</v>
      </c>
      <c r="F22" s="162">
        <f t="shared" ref="F22:P22" si="14">F23+F24</f>
        <v>1381440</v>
      </c>
      <c r="G22" s="162">
        <f t="shared" si="14"/>
        <v>547065.59999999998</v>
      </c>
      <c r="H22" s="162">
        <f t="shared" si="14"/>
        <v>577353.6</v>
      </c>
      <c r="I22" s="162">
        <f t="shared" si="14"/>
        <v>653980.80000000005</v>
      </c>
      <c r="J22" s="162">
        <f t="shared" si="14"/>
        <v>210211.20000000001</v>
      </c>
      <c r="K22" s="162">
        <f t="shared" si="14"/>
        <v>161424</v>
      </c>
      <c r="L22" s="162">
        <f t="shared" si="14"/>
        <v>179952</v>
      </c>
      <c r="M22" s="162">
        <f t="shared" si="14"/>
        <v>170467.20000000001</v>
      </c>
      <c r="N22" s="162">
        <f t="shared" si="14"/>
        <v>330528</v>
      </c>
      <c r="O22" s="162">
        <f t="shared" si="14"/>
        <v>99400</v>
      </c>
      <c r="P22" s="162">
        <f t="shared" si="14"/>
        <v>28886.400000000001</v>
      </c>
      <c r="Q22" s="152">
        <f t="shared" si="1"/>
        <v>4418440.0000000009</v>
      </c>
    </row>
    <row r="23" spans="1:17">
      <c r="A23" s="149" t="s">
        <v>228</v>
      </c>
      <c r="B23" s="150" t="s">
        <v>560</v>
      </c>
      <c r="C23" s="150" t="s">
        <v>230</v>
      </c>
      <c r="D23" s="159" t="s">
        <v>208</v>
      </c>
      <c r="E23" s="162">
        <f>E16*4</f>
        <v>38865.599999999999</v>
      </c>
      <c r="F23" s="162">
        <f t="shared" ref="F23:P23" si="15">F16*4</f>
        <v>690720</v>
      </c>
      <c r="G23" s="162">
        <f t="shared" si="15"/>
        <v>273532.79999999999</v>
      </c>
      <c r="H23" s="162">
        <f t="shared" si="15"/>
        <v>288676.8</v>
      </c>
      <c r="I23" s="162">
        <f t="shared" si="15"/>
        <v>326990.40000000002</v>
      </c>
      <c r="J23" s="162">
        <f t="shared" si="15"/>
        <v>105105.60000000001</v>
      </c>
      <c r="K23" s="162">
        <f t="shared" si="15"/>
        <v>80712</v>
      </c>
      <c r="L23" s="162">
        <f t="shared" si="15"/>
        <v>89976</v>
      </c>
      <c r="M23" s="162">
        <f t="shared" si="15"/>
        <v>85233.600000000006</v>
      </c>
      <c r="N23" s="162">
        <f t="shared" si="15"/>
        <v>165264</v>
      </c>
      <c r="O23" s="162">
        <f t="shared" si="15"/>
        <v>49700</v>
      </c>
      <c r="P23" s="162">
        <f t="shared" si="15"/>
        <v>14443.2</v>
      </c>
      <c r="Q23" s="152">
        <f t="shared" si="1"/>
        <v>2209220.0000000005</v>
      </c>
    </row>
    <row r="24" spans="1:17">
      <c r="A24" s="149" t="s">
        <v>231</v>
      </c>
      <c r="B24" s="150" t="s">
        <v>561</v>
      </c>
      <c r="C24" s="150" t="s">
        <v>230</v>
      </c>
      <c r="D24" s="159" t="s">
        <v>208</v>
      </c>
      <c r="E24" s="162">
        <f>E16*4</f>
        <v>38865.599999999999</v>
      </c>
      <c r="F24" s="162">
        <f t="shared" ref="F24:P24" si="16">F16*4</f>
        <v>690720</v>
      </c>
      <c r="G24" s="162">
        <f t="shared" si="16"/>
        <v>273532.79999999999</v>
      </c>
      <c r="H24" s="162">
        <f t="shared" si="16"/>
        <v>288676.8</v>
      </c>
      <c r="I24" s="162">
        <f t="shared" si="16"/>
        <v>326990.40000000002</v>
      </c>
      <c r="J24" s="162">
        <f t="shared" si="16"/>
        <v>105105.60000000001</v>
      </c>
      <c r="K24" s="162">
        <f t="shared" si="16"/>
        <v>80712</v>
      </c>
      <c r="L24" s="162">
        <f t="shared" si="16"/>
        <v>89976</v>
      </c>
      <c r="M24" s="162">
        <f t="shared" si="16"/>
        <v>85233.600000000006</v>
      </c>
      <c r="N24" s="162">
        <f t="shared" si="16"/>
        <v>165264</v>
      </c>
      <c r="O24" s="162">
        <f t="shared" si="16"/>
        <v>49700</v>
      </c>
      <c r="P24" s="162">
        <f t="shared" si="16"/>
        <v>14443.2</v>
      </c>
      <c r="Q24" s="152">
        <f t="shared" si="1"/>
        <v>2209220.0000000005</v>
      </c>
    </row>
    <row r="25" spans="1:17">
      <c r="A25" s="149" t="s">
        <v>233</v>
      </c>
      <c r="B25" s="150" t="s">
        <v>234</v>
      </c>
      <c r="C25" s="150"/>
      <c r="D25" s="151" t="s">
        <v>183</v>
      </c>
      <c r="E25" s="152">
        <f>E26</f>
        <v>310924.79999999999</v>
      </c>
      <c r="F25" s="152">
        <f t="shared" ref="F25:P25" si="17">F26</f>
        <v>5525760</v>
      </c>
      <c r="G25" s="152">
        <f t="shared" si="17"/>
        <v>2188262.3999999999</v>
      </c>
      <c r="H25" s="152">
        <f t="shared" si="17"/>
        <v>2309414.4</v>
      </c>
      <c r="I25" s="152">
        <f t="shared" si="17"/>
        <v>2615923.2000000002</v>
      </c>
      <c r="J25" s="152">
        <f t="shared" si="17"/>
        <v>840844.80000000005</v>
      </c>
      <c r="K25" s="152">
        <f t="shared" si="17"/>
        <v>645696</v>
      </c>
      <c r="L25" s="152">
        <f t="shared" si="17"/>
        <v>719808</v>
      </c>
      <c r="M25" s="152">
        <f t="shared" si="17"/>
        <v>681868.80000000005</v>
      </c>
      <c r="N25" s="152">
        <f t="shared" si="17"/>
        <v>1322112</v>
      </c>
      <c r="O25" s="152">
        <f t="shared" si="17"/>
        <v>397600</v>
      </c>
      <c r="P25" s="152">
        <f t="shared" si="17"/>
        <v>115545.60000000001</v>
      </c>
      <c r="Q25" s="152">
        <f t="shared" si="1"/>
        <v>17673760.000000004</v>
      </c>
    </row>
    <row r="26" spans="1:17" s="157" customFormat="1">
      <c r="A26" s="149" t="s">
        <v>235</v>
      </c>
      <c r="B26" s="155" t="s">
        <v>562</v>
      </c>
      <c r="C26" s="155" t="s">
        <v>237</v>
      </c>
      <c r="D26" s="156" t="s">
        <v>208</v>
      </c>
      <c r="E26" s="152">
        <f>E16*32</f>
        <v>310924.79999999999</v>
      </c>
      <c r="F26" s="152">
        <f t="shared" ref="F26:P26" si="18">F16*32</f>
        <v>5525760</v>
      </c>
      <c r="G26" s="152">
        <f t="shared" si="18"/>
        <v>2188262.3999999999</v>
      </c>
      <c r="H26" s="152">
        <f t="shared" si="18"/>
        <v>2309414.4</v>
      </c>
      <c r="I26" s="152">
        <f t="shared" si="18"/>
        <v>2615923.2000000002</v>
      </c>
      <c r="J26" s="152">
        <f t="shared" si="18"/>
        <v>840844.80000000005</v>
      </c>
      <c r="K26" s="152">
        <f t="shared" si="18"/>
        <v>645696</v>
      </c>
      <c r="L26" s="152">
        <f t="shared" si="18"/>
        <v>719808</v>
      </c>
      <c r="M26" s="152">
        <f t="shared" si="18"/>
        <v>681868.80000000005</v>
      </c>
      <c r="N26" s="152">
        <f t="shared" si="18"/>
        <v>1322112</v>
      </c>
      <c r="O26" s="152">
        <f t="shared" si="18"/>
        <v>397600</v>
      </c>
      <c r="P26" s="152">
        <f t="shared" si="18"/>
        <v>115545.60000000001</v>
      </c>
      <c r="Q26" s="152">
        <f t="shared" si="1"/>
        <v>17673760.000000004</v>
      </c>
    </row>
    <row r="27" spans="1:17">
      <c r="A27" s="149" t="s">
        <v>238</v>
      </c>
      <c r="B27" s="150" t="s">
        <v>239</v>
      </c>
      <c r="C27" s="150"/>
      <c r="D27" s="151" t="s">
        <v>183</v>
      </c>
      <c r="E27" s="152">
        <f>E28</f>
        <v>155462.39999999999</v>
      </c>
      <c r="F27" s="152">
        <f t="shared" ref="F27:P27" si="19">F28</f>
        <v>2762880</v>
      </c>
      <c r="G27" s="152">
        <f t="shared" si="19"/>
        <v>1094131.2</v>
      </c>
      <c r="H27" s="152">
        <f t="shared" si="19"/>
        <v>1154707.2</v>
      </c>
      <c r="I27" s="152">
        <f t="shared" si="19"/>
        <v>1307961.6000000001</v>
      </c>
      <c r="J27" s="152">
        <f t="shared" si="19"/>
        <v>420422.40000000002</v>
      </c>
      <c r="K27" s="152">
        <f t="shared" si="19"/>
        <v>322848</v>
      </c>
      <c r="L27" s="152">
        <f t="shared" si="19"/>
        <v>359904</v>
      </c>
      <c r="M27" s="152">
        <f t="shared" si="19"/>
        <v>340934.40000000002</v>
      </c>
      <c r="N27" s="152">
        <f t="shared" si="19"/>
        <v>661056</v>
      </c>
      <c r="O27" s="152">
        <f t="shared" si="19"/>
        <v>198800</v>
      </c>
      <c r="P27" s="152">
        <f t="shared" si="19"/>
        <v>57772.800000000003</v>
      </c>
      <c r="Q27" s="152">
        <f t="shared" si="1"/>
        <v>8836880.0000000019</v>
      </c>
    </row>
    <row r="28" spans="1:17" s="157" customFormat="1">
      <c r="A28" s="149" t="s">
        <v>240</v>
      </c>
      <c r="B28" s="155" t="s">
        <v>241</v>
      </c>
      <c r="C28" s="155" t="s">
        <v>242</v>
      </c>
      <c r="D28" s="156" t="s">
        <v>208</v>
      </c>
      <c r="E28" s="152">
        <f>E16*16</f>
        <v>155462.39999999999</v>
      </c>
      <c r="F28" s="152">
        <f t="shared" ref="F28:P28" si="20">F16*16</f>
        <v>2762880</v>
      </c>
      <c r="G28" s="152">
        <f t="shared" si="20"/>
        <v>1094131.2</v>
      </c>
      <c r="H28" s="152">
        <f t="shared" si="20"/>
        <v>1154707.2</v>
      </c>
      <c r="I28" s="152">
        <f t="shared" si="20"/>
        <v>1307961.6000000001</v>
      </c>
      <c r="J28" s="152">
        <f t="shared" si="20"/>
        <v>420422.40000000002</v>
      </c>
      <c r="K28" s="152">
        <f t="shared" si="20"/>
        <v>322848</v>
      </c>
      <c r="L28" s="152">
        <f t="shared" si="20"/>
        <v>359904</v>
      </c>
      <c r="M28" s="152">
        <f t="shared" si="20"/>
        <v>340934.40000000002</v>
      </c>
      <c r="N28" s="152">
        <f t="shared" si="20"/>
        <v>661056</v>
      </c>
      <c r="O28" s="152">
        <f t="shared" si="20"/>
        <v>198800</v>
      </c>
      <c r="P28" s="152">
        <f t="shared" si="20"/>
        <v>57772.800000000003</v>
      </c>
      <c r="Q28" s="152">
        <f t="shared" si="1"/>
        <v>8836880.0000000019</v>
      </c>
    </row>
    <row r="29" spans="1:17" ht="22.5">
      <c r="A29" s="149" t="s">
        <v>243</v>
      </c>
      <c r="B29" s="150" t="s">
        <v>244</v>
      </c>
      <c r="C29" s="158" t="s">
        <v>189</v>
      </c>
      <c r="D29" s="156" t="s">
        <v>245</v>
      </c>
      <c r="E29" s="152">
        <f>9600*E96</f>
        <v>86400</v>
      </c>
      <c r="F29" s="152">
        <f t="shared" ref="F29:P29" si="21">9600*F96</f>
        <v>1680000</v>
      </c>
      <c r="G29" s="152">
        <f t="shared" si="21"/>
        <v>720000</v>
      </c>
      <c r="H29" s="152">
        <f t="shared" si="21"/>
        <v>720000</v>
      </c>
      <c r="I29" s="152">
        <f t="shared" si="21"/>
        <v>902400</v>
      </c>
      <c r="J29" s="152">
        <f t="shared" si="21"/>
        <v>278400</v>
      </c>
      <c r="K29" s="152">
        <f t="shared" si="21"/>
        <v>220800</v>
      </c>
      <c r="L29" s="152">
        <f t="shared" si="21"/>
        <v>259200</v>
      </c>
      <c r="M29" s="152">
        <f t="shared" si="21"/>
        <v>230400</v>
      </c>
      <c r="N29" s="152">
        <f t="shared" si="21"/>
        <v>460800</v>
      </c>
      <c r="O29" s="152">
        <f t="shared" si="21"/>
        <v>153600</v>
      </c>
      <c r="P29" s="152">
        <f t="shared" si="21"/>
        <v>48000</v>
      </c>
      <c r="Q29" s="152">
        <f t="shared" si="1"/>
        <v>5760000</v>
      </c>
    </row>
    <row r="30" spans="1:17">
      <c r="A30" s="149" t="s">
        <v>246</v>
      </c>
      <c r="B30" s="150" t="s">
        <v>247</v>
      </c>
      <c r="C30" s="150" t="s">
        <v>247</v>
      </c>
      <c r="D30" s="156" t="s">
        <v>208</v>
      </c>
      <c r="E30" s="162">
        <f>E16*14</f>
        <v>136029.6</v>
      </c>
      <c r="F30" s="162">
        <f t="shared" ref="F30:P30" si="22">F16*14</f>
        <v>2417520</v>
      </c>
      <c r="G30" s="162">
        <f t="shared" si="22"/>
        <v>957364.79999999993</v>
      </c>
      <c r="H30" s="162">
        <f t="shared" si="22"/>
        <v>1010368.7999999999</v>
      </c>
      <c r="I30" s="162">
        <f t="shared" si="22"/>
        <v>1144466.4000000001</v>
      </c>
      <c r="J30" s="162">
        <f t="shared" si="22"/>
        <v>367869.60000000003</v>
      </c>
      <c r="K30" s="162">
        <f t="shared" si="22"/>
        <v>282492</v>
      </c>
      <c r="L30" s="162">
        <f t="shared" si="22"/>
        <v>314916</v>
      </c>
      <c r="M30" s="162">
        <f t="shared" si="22"/>
        <v>298317.60000000003</v>
      </c>
      <c r="N30" s="162">
        <f t="shared" si="22"/>
        <v>578424</v>
      </c>
      <c r="O30" s="162">
        <f t="shared" si="22"/>
        <v>173950</v>
      </c>
      <c r="P30" s="162">
        <f t="shared" si="22"/>
        <v>50551.200000000004</v>
      </c>
      <c r="Q30" s="152">
        <f t="shared" si="1"/>
        <v>7732270</v>
      </c>
    </row>
    <row r="31" spans="1:17">
      <c r="A31" s="149" t="s">
        <v>248</v>
      </c>
      <c r="B31" s="150" t="s">
        <v>249</v>
      </c>
      <c r="C31" s="150"/>
      <c r="D31" s="151" t="s">
        <v>183</v>
      </c>
      <c r="E31" s="152">
        <f>E32+E40+E42+E45+E47</f>
        <v>360</v>
      </c>
      <c r="F31" s="152">
        <f t="shared" ref="F31:P31" si="23">F32+F40+F42+F45+F47</f>
        <v>8480</v>
      </c>
      <c r="G31" s="152">
        <f t="shared" si="23"/>
        <v>4160</v>
      </c>
      <c r="H31" s="152">
        <f t="shared" si="23"/>
        <v>6120</v>
      </c>
      <c r="I31" s="152">
        <f t="shared" si="23"/>
        <v>15400</v>
      </c>
      <c r="J31" s="152">
        <f t="shared" si="23"/>
        <v>4590</v>
      </c>
      <c r="K31" s="152">
        <f t="shared" si="23"/>
        <v>5380</v>
      </c>
      <c r="L31" s="152">
        <f t="shared" si="23"/>
        <v>5960</v>
      </c>
      <c r="M31" s="152">
        <f t="shared" si="23"/>
        <v>9000</v>
      </c>
      <c r="N31" s="152">
        <f t="shared" si="23"/>
        <v>10400</v>
      </c>
      <c r="O31" s="152">
        <f t="shared" si="23"/>
        <v>6380</v>
      </c>
      <c r="P31" s="152">
        <f t="shared" si="23"/>
        <v>3080</v>
      </c>
      <c r="Q31" s="152">
        <f t="shared" si="1"/>
        <v>79310</v>
      </c>
    </row>
    <row r="32" spans="1:17">
      <c r="A32" s="149" t="s">
        <v>250</v>
      </c>
      <c r="B32" s="150" t="s">
        <v>251</v>
      </c>
      <c r="C32" s="150"/>
      <c r="D32" s="151" t="s">
        <v>183</v>
      </c>
      <c r="E32" s="152">
        <f>E33+E34+E35+E36+E37+E38+E39</f>
        <v>0</v>
      </c>
      <c r="F32" s="152">
        <f t="shared" ref="F32:P32" si="24">F33+F34+F35+F36+F37+F38+F39</f>
        <v>0</v>
      </c>
      <c r="G32" s="152">
        <f t="shared" si="24"/>
        <v>0</v>
      </c>
      <c r="H32" s="152">
        <f t="shared" si="24"/>
        <v>0</v>
      </c>
      <c r="I32" s="152">
        <f t="shared" si="24"/>
        <v>0</v>
      </c>
      <c r="J32" s="152">
        <f t="shared" si="24"/>
        <v>0</v>
      </c>
      <c r="K32" s="152">
        <f t="shared" si="24"/>
        <v>0</v>
      </c>
      <c r="L32" s="152">
        <f t="shared" si="24"/>
        <v>0</v>
      </c>
      <c r="M32" s="152">
        <f t="shared" si="24"/>
        <v>0</v>
      </c>
      <c r="N32" s="152">
        <f t="shared" si="24"/>
        <v>0</v>
      </c>
      <c r="O32" s="152">
        <f t="shared" si="24"/>
        <v>0</v>
      </c>
      <c r="P32" s="152">
        <f t="shared" si="24"/>
        <v>0</v>
      </c>
      <c r="Q32" s="152">
        <f t="shared" si="1"/>
        <v>0</v>
      </c>
    </row>
    <row r="33" spans="1:17">
      <c r="A33" s="149" t="s">
        <v>252</v>
      </c>
      <c r="B33" s="150" t="s">
        <v>253</v>
      </c>
      <c r="C33" s="150" t="s">
        <v>254</v>
      </c>
      <c r="D33" s="159" t="s">
        <v>255</v>
      </c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52">
        <f t="shared" si="1"/>
        <v>0</v>
      </c>
    </row>
    <row r="34" spans="1:17">
      <c r="A34" s="149" t="s">
        <v>256</v>
      </c>
      <c r="B34" s="150" t="s">
        <v>257</v>
      </c>
      <c r="C34" s="150" t="s">
        <v>254</v>
      </c>
      <c r="D34" s="159" t="s">
        <v>255</v>
      </c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52">
        <f t="shared" si="1"/>
        <v>0</v>
      </c>
    </row>
    <row r="35" spans="1:17">
      <c r="A35" s="149" t="s">
        <v>258</v>
      </c>
      <c r="B35" s="150" t="s">
        <v>259</v>
      </c>
      <c r="C35" s="150" t="s">
        <v>254</v>
      </c>
      <c r="D35" s="159" t="s">
        <v>260</v>
      </c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52">
        <f t="shared" si="1"/>
        <v>0</v>
      </c>
    </row>
    <row r="36" spans="1:17">
      <c r="A36" s="149" t="s">
        <v>261</v>
      </c>
      <c r="B36" s="150" t="s">
        <v>262</v>
      </c>
      <c r="C36" s="150" t="s">
        <v>254</v>
      </c>
      <c r="D36" s="159" t="s">
        <v>255</v>
      </c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52">
        <f t="shared" si="1"/>
        <v>0</v>
      </c>
    </row>
    <row r="37" spans="1:17">
      <c r="A37" s="149" t="s">
        <v>263</v>
      </c>
      <c r="B37" s="150" t="s">
        <v>264</v>
      </c>
      <c r="C37" s="150" t="s">
        <v>254</v>
      </c>
      <c r="D37" s="159" t="s">
        <v>255</v>
      </c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52">
        <f t="shared" si="1"/>
        <v>0</v>
      </c>
    </row>
    <row r="38" spans="1:17">
      <c r="A38" s="149" t="s">
        <v>265</v>
      </c>
      <c r="B38" s="150" t="s">
        <v>266</v>
      </c>
      <c r="C38" s="150" t="s">
        <v>254</v>
      </c>
      <c r="D38" s="159" t="s">
        <v>255</v>
      </c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52">
        <f t="shared" si="1"/>
        <v>0</v>
      </c>
    </row>
    <row r="39" spans="1:17">
      <c r="A39" s="149" t="s">
        <v>267</v>
      </c>
      <c r="B39" s="150" t="s">
        <v>268</v>
      </c>
      <c r="C39" s="150" t="s">
        <v>254</v>
      </c>
      <c r="D39" s="159" t="s">
        <v>255</v>
      </c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52">
        <f t="shared" si="1"/>
        <v>0</v>
      </c>
    </row>
    <row r="40" spans="1:17">
      <c r="A40" s="149" t="s">
        <v>269</v>
      </c>
      <c r="B40" s="150" t="s">
        <v>270</v>
      </c>
      <c r="C40" s="150"/>
      <c r="D40" s="151" t="s">
        <v>183</v>
      </c>
      <c r="E40" s="152">
        <f>E41</f>
        <v>0</v>
      </c>
      <c r="F40" s="152">
        <f t="shared" ref="F40:P40" si="25">F41</f>
        <v>0</v>
      </c>
      <c r="G40" s="152">
        <f t="shared" si="25"/>
        <v>0</v>
      </c>
      <c r="H40" s="152">
        <f t="shared" si="25"/>
        <v>0</v>
      </c>
      <c r="I40" s="152">
        <f t="shared" si="25"/>
        <v>0</v>
      </c>
      <c r="J40" s="152">
        <f t="shared" si="25"/>
        <v>0</v>
      </c>
      <c r="K40" s="152">
        <f t="shared" si="25"/>
        <v>0</v>
      </c>
      <c r="L40" s="152">
        <f t="shared" si="25"/>
        <v>0</v>
      </c>
      <c r="M40" s="152">
        <f t="shared" si="25"/>
        <v>0</v>
      </c>
      <c r="N40" s="152">
        <f t="shared" si="25"/>
        <v>0</v>
      </c>
      <c r="O40" s="152">
        <f t="shared" si="25"/>
        <v>0</v>
      </c>
      <c r="P40" s="152">
        <f t="shared" si="25"/>
        <v>0</v>
      </c>
      <c r="Q40" s="152">
        <f t="shared" si="1"/>
        <v>0</v>
      </c>
    </row>
    <row r="41" spans="1:17" s="157" customFormat="1">
      <c r="A41" s="149" t="s">
        <v>271</v>
      </c>
      <c r="B41" s="155" t="s">
        <v>272</v>
      </c>
      <c r="C41" s="155" t="s">
        <v>189</v>
      </c>
      <c r="D41" s="156" t="s">
        <v>273</v>
      </c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52">
        <f t="shared" si="1"/>
        <v>0</v>
      </c>
    </row>
    <row r="42" spans="1:17">
      <c r="A42" s="149" t="s">
        <v>274</v>
      </c>
      <c r="B42" s="150" t="s">
        <v>275</v>
      </c>
      <c r="C42" s="150"/>
      <c r="D42" s="151" t="s">
        <v>183</v>
      </c>
      <c r="E42" s="152">
        <f>E43+E44</f>
        <v>0</v>
      </c>
      <c r="F42" s="152">
        <f t="shared" ref="F42:P42" si="26">F43+F44</f>
        <v>0</v>
      </c>
      <c r="G42" s="152">
        <f t="shared" si="26"/>
        <v>0</v>
      </c>
      <c r="H42" s="152">
        <f t="shared" si="26"/>
        <v>0</v>
      </c>
      <c r="I42" s="152">
        <f t="shared" si="26"/>
        <v>0</v>
      </c>
      <c r="J42" s="152">
        <f t="shared" si="26"/>
        <v>0</v>
      </c>
      <c r="K42" s="152">
        <f t="shared" si="26"/>
        <v>0</v>
      </c>
      <c r="L42" s="152">
        <f t="shared" si="26"/>
        <v>0</v>
      </c>
      <c r="M42" s="152">
        <f t="shared" si="26"/>
        <v>0</v>
      </c>
      <c r="N42" s="152">
        <f t="shared" si="26"/>
        <v>0</v>
      </c>
      <c r="O42" s="152">
        <f t="shared" si="26"/>
        <v>0</v>
      </c>
      <c r="P42" s="152">
        <f t="shared" si="26"/>
        <v>0</v>
      </c>
      <c r="Q42" s="152">
        <f t="shared" si="1"/>
        <v>0</v>
      </c>
    </row>
    <row r="43" spans="1:17" s="157" customFormat="1">
      <c r="A43" s="149" t="s">
        <v>276</v>
      </c>
      <c r="B43" s="155" t="s">
        <v>277</v>
      </c>
      <c r="C43" s="155" t="s">
        <v>189</v>
      </c>
      <c r="D43" s="156" t="s">
        <v>260</v>
      </c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52">
        <f t="shared" si="1"/>
        <v>0</v>
      </c>
    </row>
    <row r="44" spans="1:17" s="157" customFormat="1">
      <c r="A44" s="149" t="s">
        <v>278</v>
      </c>
      <c r="B44" s="155" t="s">
        <v>279</v>
      </c>
      <c r="C44" s="155" t="s">
        <v>189</v>
      </c>
      <c r="D44" s="156" t="s">
        <v>260</v>
      </c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52">
        <f t="shared" si="1"/>
        <v>0</v>
      </c>
    </row>
    <row r="45" spans="1:17">
      <c r="A45" s="149" t="s">
        <v>280</v>
      </c>
      <c r="B45" s="150" t="s">
        <v>281</v>
      </c>
      <c r="C45" s="150"/>
      <c r="D45" s="151" t="s">
        <v>183</v>
      </c>
      <c r="E45" s="152">
        <f>E46</f>
        <v>360</v>
      </c>
      <c r="F45" s="152">
        <f t="shared" ref="F45:P45" si="27">F46</f>
        <v>6480</v>
      </c>
      <c r="G45" s="152">
        <f t="shared" si="27"/>
        <v>2160</v>
      </c>
      <c r="H45" s="152">
        <f t="shared" si="27"/>
        <v>720</v>
      </c>
      <c r="I45" s="152">
        <f t="shared" si="27"/>
        <v>5400</v>
      </c>
      <c r="J45" s="152">
        <f t="shared" si="27"/>
        <v>3240</v>
      </c>
      <c r="K45" s="152">
        <f t="shared" si="27"/>
        <v>2880</v>
      </c>
      <c r="L45" s="152">
        <f t="shared" si="27"/>
        <v>2160</v>
      </c>
      <c r="M45" s="152">
        <f t="shared" si="27"/>
        <v>5400</v>
      </c>
      <c r="N45" s="152">
        <f t="shared" si="27"/>
        <v>5400</v>
      </c>
      <c r="O45" s="152">
        <f t="shared" si="27"/>
        <v>2880</v>
      </c>
      <c r="P45" s="152">
        <f t="shared" si="27"/>
        <v>1080</v>
      </c>
      <c r="Q45" s="152">
        <f t="shared" si="1"/>
        <v>38160</v>
      </c>
    </row>
    <row r="46" spans="1:17">
      <c r="A46" s="149" t="s">
        <v>282</v>
      </c>
      <c r="B46" s="150" t="s">
        <v>283</v>
      </c>
      <c r="C46" s="150" t="s">
        <v>189</v>
      </c>
      <c r="D46" s="151" t="s">
        <v>190</v>
      </c>
      <c r="E46" s="154">
        <v>360</v>
      </c>
      <c r="F46" s="154">
        <f>(540+30)*12-30*12</f>
        <v>6480</v>
      </c>
      <c r="G46" s="154">
        <v>2160</v>
      </c>
      <c r="H46" s="154">
        <v>720</v>
      </c>
      <c r="I46" s="154">
        <v>5400</v>
      </c>
      <c r="J46" s="154">
        <v>3240</v>
      </c>
      <c r="K46" s="154">
        <v>2880</v>
      </c>
      <c r="L46" s="154">
        <v>2160</v>
      </c>
      <c r="M46" s="154">
        <v>5400</v>
      </c>
      <c r="N46" s="154">
        <v>5400</v>
      </c>
      <c r="O46" s="154">
        <v>2880</v>
      </c>
      <c r="P46" s="154">
        <v>1080</v>
      </c>
      <c r="Q46" s="152">
        <f t="shared" si="1"/>
        <v>38160</v>
      </c>
    </row>
    <row r="47" spans="1:17">
      <c r="A47" s="149" t="s">
        <v>284</v>
      </c>
      <c r="B47" s="150" t="s">
        <v>285</v>
      </c>
      <c r="C47" s="150"/>
      <c r="D47" s="151" t="s">
        <v>183</v>
      </c>
      <c r="E47" s="152">
        <f>SUM(E48:E51)</f>
        <v>0</v>
      </c>
      <c r="F47" s="152">
        <f t="shared" ref="F47:P47" si="28">SUM(F48:F51)</f>
        <v>2000</v>
      </c>
      <c r="G47" s="152">
        <f t="shared" si="28"/>
        <v>2000</v>
      </c>
      <c r="H47" s="152">
        <f t="shared" si="28"/>
        <v>5400</v>
      </c>
      <c r="I47" s="152">
        <f t="shared" si="28"/>
        <v>10000</v>
      </c>
      <c r="J47" s="152">
        <f t="shared" si="28"/>
        <v>1350</v>
      </c>
      <c r="K47" s="152">
        <f t="shared" si="28"/>
        <v>2500</v>
      </c>
      <c r="L47" s="152">
        <f t="shared" si="28"/>
        <v>3800</v>
      </c>
      <c r="M47" s="152">
        <f t="shared" si="28"/>
        <v>3600</v>
      </c>
      <c r="N47" s="152">
        <f t="shared" si="28"/>
        <v>5000</v>
      </c>
      <c r="O47" s="152">
        <f t="shared" si="28"/>
        <v>3500</v>
      </c>
      <c r="P47" s="152">
        <f t="shared" si="28"/>
        <v>2000</v>
      </c>
      <c r="Q47" s="152">
        <f t="shared" si="1"/>
        <v>41150</v>
      </c>
    </row>
    <row r="48" spans="1:17">
      <c r="A48" s="149" t="s">
        <v>286</v>
      </c>
      <c r="B48" s="150" t="s">
        <v>287</v>
      </c>
      <c r="C48" s="150" t="s">
        <v>189</v>
      </c>
      <c r="D48" s="151" t="s">
        <v>288</v>
      </c>
      <c r="E48" s="154">
        <v>0</v>
      </c>
      <c r="F48" s="154">
        <v>2000</v>
      </c>
      <c r="G48" s="154">
        <v>2000</v>
      </c>
      <c r="H48" s="154">
        <v>5400</v>
      </c>
      <c r="I48" s="154">
        <v>10000</v>
      </c>
      <c r="J48" s="154">
        <v>1350</v>
      </c>
      <c r="K48" s="154">
        <v>2500</v>
      </c>
      <c r="L48" s="154">
        <v>3800</v>
      </c>
      <c r="M48" s="154">
        <v>3600</v>
      </c>
      <c r="N48" s="154">
        <v>5000</v>
      </c>
      <c r="O48" s="154">
        <v>3500</v>
      </c>
      <c r="P48" s="154">
        <v>2000</v>
      </c>
      <c r="Q48" s="152">
        <f t="shared" si="1"/>
        <v>41150</v>
      </c>
    </row>
    <row r="49" spans="1:17" s="157" customFormat="1">
      <c r="A49" s="149" t="s">
        <v>289</v>
      </c>
      <c r="B49" s="155" t="s">
        <v>290</v>
      </c>
      <c r="C49" s="155" t="s">
        <v>189</v>
      </c>
      <c r="D49" s="156" t="s">
        <v>291</v>
      </c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52">
        <f t="shared" si="1"/>
        <v>0</v>
      </c>
    </row>
    <row r="50" spans="1:17" s="157" customFormat="1">
      <c r="A50" s="149" t="s">
        <v>292</v>
      </c>
      <c r="B50" s="155" t="s">
        <v>293</v>
      </c>
      <c r="C50" s="155" t="s">
        <v>189</v>
      </c>
      <c r="D50" s="156" t="s">
        <v>291</v>
      </c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3"/>
      <c r="Q50" s="152">
        <f t="shared" si="1"/>
        <v>0</v>
      </c>
    </row>
    <row r="51" spans="1:17" ht="33.75">
      <c r="A51" s="149" t="s">
        <v>294</v>
      </c>
      <c r="B51" s="150" t="s">
        <v>295</v>
      </c>
      <c r="C51" s="150" t="s">
        <v>189</v>
      </c>
      <c r="D51" s="159" t="s">
        <v>296</v>
      </c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52">
        <f t="shared" si="1"/>
        <v>0</v>
      </c>
    </row>
    <row r="52" spans="1:17">
      <c r="A52" s="149" t="s">
        <v>297</v>
      </c>
      <c r="B52" s="150" t="s">
        <v>298</v>
      </c>
      <c r="C52" s="150"/>
      <c r="D52" s="151" t="s">
        <v>183</v>
      </c>
      <c r="E52" s="152">
        <f>E53+E71+E73+E75+E77+E79+E81+E83+E85+E93</f>
        <v>473830.6</v>
      </c>
      <c r="F52" s="152">
        <f t="shared" ref="F52:P52" si="29">F53+F71+F73+F75+F77+F79+F81+F83+F85+F93</f>
        <v>6935198</v>
      </c>
      <c r="G52" s="152">
        <f t="shared" si="29"/>
        <v>3253658.55</v>
      </c>
      <c r="H52" s="152">
        <f t="shared" si="29"/>
        <v>3806968.5999999996</v>
      </c>
      <c r="I52" s="152">
        <f t="shared" si="29"/>
        <v>5062666.6000000006</v>
      </c>
      <c r="J52" s="152">
        <f t="shared" si="29"/>
        <v>1283550.6000000001</v>
      </c>
      <c r="K52" s="152">
        <f t="shared" si="29"/>
        <v>1118798.7</v>
      </c>
      <c r="L52" s="152">
        <f t="shared" si="29"/>
        <v>1206705</v>
      </c>
      <c r="M52" s="152">
        <f t="shared" si="29"/>
        <v>1582772.05</v>
      </c>
      <c r="N52" s="152">
        <f t="shared" si="29"/>
        <v>2491839</v>
      </c>
      <c r="O52" s="152">
        <f t="shared" si="29"/>
        <v>1091551</v>
      </c>
      <c r="P52" s="152">
        <f t="shared" si="29"/>
        <v>1004085.2</v>
      </c>
      <c r="Q52" s="152">
        <f t="shared" si="1"/>
        <v>29311623.899999999</v>
      </c>
    </row>
    <row r="53" spans="1:17">
      <c r="A53" s="149" t="s">
        <v>299</v>
      </c>
      <c r="B53" s="150" t="s">
        <v>300</v>
      </c>
      <c r="C53" s="150"/>
      <c r="D53" s="151" t="s">
        <v>301</v>
      </c>
      <c r="E53" s="152">
        <f>SUM(E54:E70)</f>
        <v>288000</v>
      </c>
      <c r="F53" s="152">
        <v>4124540</v>
      </c>
      <c r="G53" s="152">
        <f t="shared" ref="G53:P53" si="30">SUM(G54:G70)</f>
        <v>2227210</v>
      </c>
      <c r="H53" s="152">
        <v>2714620</v>
      </c>
      <c r="I53" s="152">
        <v>3976230</v>
      </c>
      <c r="J53" s="152">
        <f t="shared" si="30"/>
        <v>856520</v>
      </c>
      <c r="K53" s="152">
        <f t="shared" si="30"/>
        <v>798000</v>
      </c>
      <c r="L53" s="152">
        <f t="shared" si="30"/>
        <v>851200</v>
      </c>
      <c r="M53" s="152">
        <f t="shared" si="30"/>
        <v>1239560</v>
      </c>
      <c r="N53" s="152">
        <f t="shared" si="30"/>
        <v>1856680</v>
      </c>
      <c r="O53" s="152">
        <f t="shared" si="30"/>
        <v>798000</v>
      </c>
      <c r="P53" s="152">
        <f t="shared" si="30"/>
        <v>798000</v>
      </c>
      <c r="Q53" s="152">
        <f t="shared" si="1"/>
        <v>20528560</v>
      </c>
    </row>
    <row r="54" spans="1:17">
      <c r="A54" s="149" t="s">
        <v>302</v>
      </c>
      <c r="B54" s="150" t="s">
        <v>303</v>
      </c>
      <c r="C54" s="150" t="s">
        <v>189</v>
      </c>
      <c r="D54" s="164"/>
      <c r="E54" s="154">
        <f>32000*9-E63</f>
        <v>273600</v>
      </c>
      <c r="F54" s="154">
        <f>4034340-F63</f>
        <v>3828113</v>
      </c>
      <c r="G54" s="154">
        <f>2227210-G63</f>
        <v>2115849</v>
      </c>
      <c r="H54" s="154">
        <f>2603960-H63</f>
        <v>2468229</v>
      </c>
      <c r="I54" s="154">
        <f>3813980-I63</f>
        <v>3615168</v>
      </c>
      <c r="J54" s="154">
        <f>856520-J63</f>
        <v>813694</v>
      </c>
      <c r="K54" s="154">
        <f>798000-K63</f>
        <v>763952</v>
      </c>
      <c r="L54" s="154">
        <f>851200-L63</f>
        <v>808640</v>
      </c>
      <c r="M54" s="154">
        <f>1239560-M63</f>
        <v>1177582</v>
      </c>
      <c r="N54" s="154">
        <f>861840+994840-N63</f>
        <v>1763846</v>
      </c>
      <c r="O54" s="154">
        <f>798000-O63</f>
        <v>770602</v>
      </c>
      <c r="P54" s="154">
        <f>798000-P63</f>
        <v>773395</v>
      </c>
      <c r="Q54" s="152">
        <f t="shared" si="1"/>
        <v>19172670</v>
      </c>
    </row>
    <row r="55" spans="1:17">
      <c r="A55" s="149" t="s">
        <v>304</v>
      </c>
      <c r="B55" s="150" t="s">
        <v>305</v>
      </c>
      <c r="C55" s="150" t="s">
        <v>189</v>
      </c>
      <c r="D55" s="164"/>
      <c r="E55" s="154"/>
      <c r="F55" s="154"/>
      <c r="G55" s="154"/>
      <c r="H55" s="154"/>
      <c r="I55" s="154"/>
      <c r="J55" s="154"/>
      <c r="K55" s="154"/>
      <c r="L55" s="154"/>
      <c r="M55" s="154"/>
      <c r="N55" s="154"/>
      <c r="O55" s="154"/>
      <c r="P55" s="154"/>
      <c r="Q55" s="152">
        <f t="shared" si="1"/>
        <v>0</v>
      </c>
    </row>
    <row r="56" spans="1:17">
      <c r="A56" s="149" t="s">
        <v>306</v>
      </c>
      <c r="B56" s="150" t="s">
        <v>307</v>
      </c>
      <c r="C56" s="150" t="s">
        <v>189</v>
      </c>
      <c r="D56" s="164"/>
      <c r="E56" s="154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P56" s="154"/>
      <c r="Q56" s="152">
        <f t="shared" si="1"/>
        <v>0</v>
      </c>
    </row>
    <row r="57" spans="1:17">
      <c r="A57" s="149" t="s">
        <v>308</v>
      </c>
      <c r="B57" s="150" t="s">
        <v>309</v>
      </c>
      <c r="C57" s="150" t="s">
        <v>189</v>
      </c>
      <c r="D57" s="164"/>
      <c r="E57" s="154"/>
      <c r="F57" s="154"/>
      <c r="G57" s="154"/>
      <c r="H57" s="154"/>
      <c r="I57" s="154"/>
      <c r="J57" s="154"/>
      <c r="K57" s="154"/>
      <c r="L57" s="154"/>
      <c r="M57" s="154"/>
      <c r="N57" s="154"/>
      <c r="O57" s="154"/>
      <c r="P57" s="154"/>
      <c r="Q57" s="152">
        <f t="shared" si="1"/>
        <v>0</v>
      </c>
    </row>
    <row r="58" spans="1:17">
      <c r="A58" s="149" t="s">
        <v>310</v>
      </c>
      <c r="B58" s="150" t="s">
        <v>311</v>
      </c>
      <c r="C58" s="150" t="s">
        <v>189</v>
      </c>
      <c r="D58" s="16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154"/>
      <c r="Q58" s="152">
        <f t="shared" si="1"/>
        <v>0</v>
      </c>
    </row>
    <row r="59" spans="1:17">
      <c r="A59" s="149" t="s">
        <v>312</v>
      </c>
      <c r="B59" s="150" t="s">
        <v>313</v>
      </c>
      <c r="C59" s="150" t="s">
        <v>189</v>
      </c>
      <c r="D59" s="164"/>
      <c r="E59" s="154"/>
      <c r="F59" s="154"/>
      <c r="G59" s="154"/>
      <c r="H59" s="154"/>
      <c r="I59" s="154"/>
      <c r="J59" s="154"/>
      <c r="K59" s="154"/>
      <c r="L59" s="154"/>
      <c r="M59" s="154"/>
      <c r="N59" s="154"/>
      <c r="O59" s="154"/>
      <c r="P59" s="154"/>
      <c r="Q59" s="152">
        <f t="shared" si="1"/>
        <v>0</v>
      </c>
    </row>
    <row r="60" spans="1:17">
      <c r="A60" s="149" t="s">
        <v>314</v>
      </c>
      <c r="B60" s="150" t="s">
        <v>315</v>
      </c>
      <c r="C60" s="150" t="s">
        <v>189</v>
      </c>
      <c r="D60" s="164"/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P60" s="154"/>
      <c r="Q60" s="152">
        <f t="shared" si="1"/>
        <v>0</v>
      </c>
    </row>
    <row r="61" spans="1:17">
      <c r="A61" s="149" t="s">
        <v>316</v>
      </c>
      <c r="B61" s="150" t="s">
        <v>317</v>
      </c>
      <c r="C61" s="150" t="s">
        <v>189</v>
      </c>
      <c r="D61" s="164"/>
      <c r="E61" s="154"/>
      <c r="F61" s="154"/>
      <c r="G61" s="154"/>
      <c r="H61" s="154"/>
      <c r="I61" s="154"/>
      <c r="J61" s="154"/>
      <c r="K61" s="154"/>
      <c r="L61" s="154"/>
      <c r="M61" s="154"/>
      <c r="N61" s="154"/>
      <c r="O61" s="154"/>
      <c r="P61" s="154"/>
      <c r="Q61" s="152">
        <f t="shared" si="1"/>
        <v>0</v>
      </c>
    </row>
    <row r="62" spans="1:17">
      <c r="A62" s="149" t="s">
        <v>318</v>
      </c>
      <c r="B62" s="150" t="s">
        <v>319</v>
      </c>
      <c r="C62" s="150" t="s">
        <v>189</v>
      </c>
      <c r="D62" s="164"/>
      <c r="E62" s="154"/>
      <c r="F62" s="154"/>
      <c r="G62" s="154"/>
      <c r="H62" s="154"/>
      <c r="I62" s="154"/>
      <c r="J62" s="154"/>
      <c r="K62" s="154"/>
      <c r="L62" s="154"/>
      <c r="M62" s="154"/>
      <c r="N62" s="154"/>
      <c r="O62" s="154"/>
      <c r="P62" s="154"/>
      <c r="Q62" s="152">
        <f t="shared" si="1"/>
        <v>0</v>
      </c>
    </row>
    <row r="63" spans="1:17">
      <c r="A63" s="149" t="s">
        <v>320</v>
      </c>
      <c r="B63" s="150" t="s">
        <v>563</v>
      </c>
      <c r="C63" s="150" t="s">
        <v>564</v>
      </c>
      <c r="D63" s="164" t="s">
        <v>565</v>
      </c>
      <c r="E63" s="154">
        <f>32000*9*0.05</f>
        <v>14400</v>
      </c>
      <c r="F63" s="154">
        <v>206227</v>
      </c>
      <c r="G63" s="154">
        <v>111361</v>
      </c>
      <c r="H63" s="154">
        <v>135731</v>
      </c>
      <c r="I63" s="154">
        <v>198812</v>
      </c>
      <c r="J63" s="154">
        <v>42826</v>
      </c>
      <c r="K63" s="154">
        <v>34048</v>
      </c>
      <c r="L63" s="154">
        <v>42560</v>
      </c>
      <c r="M63" s="154">
        <v>61978</v>
      </c>
      <c r="N63" s="154">
        <f>43092+49742</f>
        <v>92834</v>
      </c>
      <c r="O63" s="154">
        <v>27398</v>
      </c>
      <c r="P63" s="154">
        <v>24605</v>
      </c>
      <c r="Q63" s="152">
        <f t="shared" si="1"/>
        <v>992780</v>
      </c>
    </row>
    <row r="64" spans="1:17">
      <c r="A64" s="149" t="s">
        <v>324</v>
      </c>
      <c r="B64" s="150" t="s">
        <v>325</v>
      </c>
      <c r="C64" s="150" t="s">
        <v>189</v>
      </c>
      <c r="D64" s="164"/>
      <c r="E64" s="154"/>
      <c r="F64" s="154"/>
      <c r="G64" s="154"/>
      <c r="H64" s="154"/>
      <c r="I64" s="154"/>
      <c r="J64" s="154"/>
      <c r="K64" s="154"/>
      <c r="L64" s="154"/>
      <c r="M64" s="154"/>
      <c r="N64" s="154"/>
      <c r="O64" s="154"/>
      <c r="P64" s="154"/>
      <c r="Q64" s="152">
        <f t="shared" si="1"/>
        <v>0</v>
      </c>
    </row>
    <row r="65" spans="1:17">
      <c r="A65" s="149" t="s">
        <v>326</v>
      </c>
      <c r="B65" s="150" t="s">
        <v>327</v>
      </c>
      <c r="C65" s="150" t="s">
        <v>189</v>
      </c>
      <c r="D65" s="164"/>
      <c r="E65" s="154"/>
      <c r="F65" s="154"/>
      <c r="G65" s="154"/>
      <c r="H65" s="154"/>
      <c r="I65" s="154"/>
      <c r="J65" s="154"/>
      <c r="K65" s="154"/>
      <c r="L65" s="154"/>
      <c r="M65" s="154"/>
      <c r="N65" s="154"/>
      <c r="O65" s="154"/>
      <c r="P65" s="154"/>
      <c r="Q65" s="152">
        <f t="shared" si="1"/>
        <v>0</v>
      </c>
    </row>
    <row r="66" spans="1:17">
      <c r="A66" s="149" t="s">
        <v>328</v>
      </c>
      <c r="B66" s="150" t="s">
        <v>329</v>
      </c>
      <c r="C66" s="150" t="s">
        <v>189</v>
      </c>
      <c r="D66" s="164"/>
      <c r="E66" s="154"/>
      <c r="F66" s="154"/>
      <c r="G66" s="154"/>
      <c r="H66" s="154"/>
      <c r="I66" s="154"/>
      <c r="J66" s="154"/>
      <c r="K66" s="154"/>
      <c r="L66" s="154"/>
      <c r="M66" s="154"/>
      <c r="N66" s="154"/>
      <c r="O66" s="154"/>
      <c r="P66" s="154"/>
      <c r="Q66" s="152">
        <f t="shared" si="1"/>
        <v>0</v>
      </c>
    </row>
    <row r="67" spans="1:17">
      <c r="A67" s="149" t="s">
        <v>330</v>
      </c>
      <c r="B67" s="150" t="s">
        <v>331</v>
      </c>
      <c r="C67" s="150" t="s">
        <v>189</v>
      </c>
      <c r="D67" s="164"/>
      <c r="E67" s="154"/>
      <c r="F67" s="154"/>
      <c r="G67" s="154"/>
      <c r="H67" s="154"/>
      <c r="I67" s="154"/>
      <c r="J67" s="154"/>
      <c r="K67" s="154"/>
      <c r="L67" s="154"/>
      <c r="M67" s="154"/>
      <c r="N67" s="154"/>
      <c r="O67" s="154"/>
      <c r="P67" s="154"/>
      <c r="Q67" s="152">
        <f t="shared" ref="Q67:Q109" si="31">SUM(E67:P67)</f>
        <v>0</v>
      </c>
    </row>
    <row r="68" spans="1:17">
      <c r="A68" s="149" t="s">
        <v>332</v>
      </c>
      <c r="B68" s="150" t="s">
        <v>333</v>
      </c>
      <c r="C68" s="150" t="s">
        <v>189</v>
      </c>
      <c r="D68" s="164"/>
      <c r="E68" s="154"/>
      <c r="F68" s="154"/>
      <c r="G68" s="154"/>
      <c r="H68" s="154"/>
      <c r="I68" s="154"/>
      <c r="J68" s="154"/>
      <c r="K68" s="154"/>
      <c r="L68" s="154"/>
      <c r="M68" s="154"/>
      <c r="N68" s="154"/>
      <c r="O68" s="154"/>
      <c r="P68" s="154"/>
      <c r="Q68" s="152">
        <f t="shared" si="31"/>
        <v>0</v>
      </c>
    </row>
    <row r="69" spans="1:17">
      <c r="A69" s="149" t="s">
        <v>334</v>
      </c>
      <c r="B69" s="150" t="s">
        <v>335</v>
      </c>
      <c r="C69" s="150" t="s">
        <v>189</v>
      </c>
      <c r="D69" s="164"/>
      <c r="E69" s="154"/>
      <c r="F69" s="154"/>
      <c r="G69" s="154"/>
      <c r="H69" s="154"/>
      <c r="I69" s="154"/>
      <c r="J69" s="154"/>
      <c r="K69" s="154"/>
      <c r="L69" s="154"/>
      <c r="M69" s="154"/>
      <c r="N69" s="154"/>
      <c r="O69" s="154"/>
      <c r="P69" s="154"/>
      <c r="Q69" s="152">
        <f t="shared" si="31"/>
        <v>0</v>
      </c>
    </row>
    <row r="70" spans="1:17">
      <c r="A70" s="149" t="s">
        <v>336</v>
      </c>
      <c r="B70" s="150" t="s">
        <v>337</v>
      </c>
      <c r="C70" s="150" t="s">
        <v>189</v>
      </c>
      <c r="D70" s="164"/>
      <c r="E70" s="154"/>
      <c r="F70" s="154"/>
      <c r="G70" s="154"/>
      <c r="H70" s="154"/>
      <c r="I70" s="154"/>
      <c r="J70" s="154"/>
      <c r="K70" s="154"/>
      <c r="L70" s="154"/>
      <c r="M70" s="154"/>
      <c r="N70" s="154"/>
      <c r="O70" s="154"/>
      <c r="P70" s="154"/>
      <c r="Q70" s="152">
        <f t="shared" si="31"/>
        <v>0</v>
      </c>
    </row>
    <row r="71" spans="1:17">
      <c r="A71" s="149" t="s">
        <v>338</v>
      </c>
      <c r="B71" s="150" t="s">
        <v>339</v>
      </c>
      <c r="C71" s="150"/>
      <c r="D71" s="151"/>
      <c r="E71" s="152">
        <f>E72</f>
        <v>3600</v>
      </c>
      <c r="F71" s="152">
        <f t="shared" ref="F71:P71" si="32">F72</f>
        <v>70000</v>
      </c>
      <c r="G71" s="152">
        <f t="shared" si="32"/>
        <v>30000</v>
      </c>
      <c r="H71" s="152">
        <f t="shared" si="32"/>
        <v>30000</v>
      </c>
      <c r="I71" s="152">
        <f t="shared" si="32"/>
        <v>37600</v>
      </c>
      <c r="J71" s="152">
        <f t="shared" si="32"/>
        <v>11600</v>
      </c>
      <c r="K71" s="152">
        <f t="shared" si="32"/>
        <v>9200</v>
      </c>
      <c r="L71" s="152">
        <f t="shared" si="32"/>
        <v>10800</v>
      </c>
      <c r="M71" s="152">
        <f t="shared" si="32"/>
        <v>9600</v>
      </c>
      <c r="N71" s="152">
        <f t="shared" si="32"/>
        <v>19200</v>
      </c>
      <c r="O71" s="152">
        <f t="shared" si="32"/>
        <v>6400</v>
      </c>
      <c r="P71" s="152">
        <f t="shared" si="32"/>
        <v>2000</v>
      </c>
      <c r="Q71" s="152">
        <f t="shared" si="31"/>
        <v>240000</v>
      </c>
    </row>
    <row r="72" spans="1:17" s="157" customFormat="1" ht="22.5">
      <c r="A72" s="149" t="s">
        <v>340</v>
      </c>
      <c r="B72" s="155" t="s">
        <v>341</v>
      </c>
      <c r="C72" s="155" t="s">
        <v>189</v>
      </c>
      <c r="D72" s="165" t="s">
        <v>342</v>
      </c>
      <c r="E72" s="152">
        <f>E96*400</f>
        <v>3600</v>
      </c>
      <c r="F72" s="152">
        <f t="shared" ref="F72:P72" si="33">F96*400</f>
        <v>70000</v>
      </c>
      <c r="G72" s="152">
        <f t="shared" si="33"/>
        <v>30000</v>
      </c>
      <c r="H72" s="152">
        <f t="shared" si="33"/>
        <v>30000</v>
      </c>
      <c r="I72" s="152">
        <f t="shared" si="33"/>
        <v>37600</v>
      </c>
      <c r="J72" s="152">
        <f t="shared" si="33"/>
        <v>11600</v>
      </c>
      <c r="K72" s="152">
        <f t="shared" si="33"/>
        <v>9200</v>
      </c>
      <c r="L72" s="152">
        <f t="shared" si="33"/>
        <v>10800</v>
      </c>
      <c r="M72" s="152">
        <f t="shared" si="33"/>
        <v>9600</v>
      </c>
      <c r="N72" s="152">
        <f t="shared" si="33"/>
        <v>19200</v>
      </c>
      <c r="O72" s="152">
        <f t="shared" si="33"/>
        <v>6400</v>
      </c>
      <c r="P72" s="152">
        <f t="shared" si="33"/>
        <v>2000</v>
      </c>
      <c r="Q72" s="152">
        <f t="shared" si="31"/>
        <v>240000</v>
      </c>
    </row>
    <row r="73" spans="1:17">
      <c r="A73" s="149" t="s">
        <v>343</v>
      </c>
      <c r="B73" s="150" t="s">
        <v>344</v>
      </c>
      <c r="C73" s="150"/>
      <c r="D73" s="151" t="s">
        <v>183</v>
      </c>
      <c r="E73" s="152">
        <f>E74</f>
        <v>20325</v>
      </c>
      <c r="F73" s="152">
        <f t="shared" ref="F73:P73" si="34">F74</f>
        <v>297282</v>
      </c>
      <c r="G73" s="152">
        <f t="shared" si="34"/>
        <v>278907.75</v>
      </c>
      <c r="H73" s="152">
        <f t="shared" si="34"/>
        <v>300871.8</v>
      </c>
      <c r="I73" s="152">
        <f t="shared" si="34"/>
        <v>218115</v>
      </c>
      <c r="J73" s="152">
        <f t="shared" si="34"/>
        <v>71205</v>
      </c>
      <c r="K73" s="152">
        <f t="shared" si="34"/>
        <v>74342.700000000012</v>
      </c>
      <c r="L73" s="152">
        <f t="shared" si="34"/>
        <v>85185</v>
      </c>
      <c r="M73" s="152">
        <f t="shared" si="34"/>
        <v>92082.45</v>
      </c>
      <c r="N73" s="152">
        <f t="shared" si="34"/>
        <v>173535</v>
      </c>
      <c r="O73" s="152">
        <f t="shared" si="34"/>
        <v>110475</v>
      </c>
      <c r="P73" s="152">
        <f t="shared" si="34"/>
        <v>110250</v>
      </c>
      <c r="Q73" s="152">
        <f t="shared" si="31"/>
        <v>1832576.7</v>
      </c>
    </row>
    <row r="74" spans="1:17" s="157" customFormat="1">
      <c r="A74" s="149" t="s">
        <v>345</v>
      </c>
      <c r="B74" s="155" t="s">
        <v>346</v>
      </c>
      <c r="C74" s="155" t="s">
        <v>189</v>
      </c>
      <c r="D74" s="165" t="s">
        <v>347</v>
      </c>
      <c r="E74" s="152">
        <f>E108*15</f>
        <v>20325</v>
      </c>
      <c r="F74" s="152">
        <f t="shared" ref="F74:P74" si="35">F108*15</f>
        <v>297282</v>
      </c>
      <c r="G74" s="152">
        <f t="shared" si="35"/>
        <v>278907.75</v>
      </c>
      <c r="H74" s="152">
        <f t="shared" si="35"/>
        <v>300871.8</v>
      </c>
      <c r="I74" s="152">
        <f t="shared" si="35"/>
        <v>218115</v>
      </c>
      <c r="J74" s="152">
        <f t="shared" si="35"/>
        <v>71205</v>
      </c>
      <c r="K74" s="152">
        <f t="shared" si="35"/>
        <v>74342.700000000012</v>
      </c>
      <c r="L74" s="152">
        <f t="shared" si="35"/>
        <v>85185</v>
      </c>
      <c r="M74" s="152">
        <f t="shared" si="35"/>
        <v>92082.45</v>
      </c>
      <c r="N74" s="152">
        <f t="shared" si="35"/>
        <v>173535</v>
      </c>
      <c r="O74" s="152">
        <f t="shared" si="35"/>
        <v>110475</v>
      </c>
      <c r="P74" s="152">
        <f t="shared" si="35"/>
        <v>110250</v>
      </c>
      <c r="Q74" s="152">
        <f t="shared" si="31"/>
        <v>1832576.7</v>
      </c>
    </row>
    <row r="75" spans="1:17">
      <c r="A75" s="149" t="s">
        <v>348</v>
      </c>
      <c r="B75" s="150" t="s">
        <v>349</v>
      </c>
      <c r="C75" s="150"/>
      <c r="D75" s="151" t="s">
        <v>183</v>
      </c>
      <c r="E75" s="152">
        <f>E76</f>
        <v>14400</v>
      </c>
      <c r="F75" s="152">
        <f t="shared" ref="F75:P75" si="36">F76</f>
        <v>97216</v>
      </c>
      <c r="G75" s="152">
        <f t="shared" si="36"/>
        <v>78568</v>
      </c>
      <c r="H75" s="152">
        <f t="shared" si="36"/>
        <v>112080</v>
      </c>
      <c r="I75" s="152">
        <f t="shared" si="36"/>
        <v>65651.199999999997</v>
      </c>
      <c r="J75" s="152">
        <f t="shared" si="36"/>
        <v>20480</v>
      </c>
      <c r="K75" s="152">
        <f t="shared" si="36"/>
        <v>15744</v>
      </c>
      <c r="L75" s="152">
        <f t="shared" si="36"/>
        <v>20904</v>
      </c>
      <c r="M75" s="152">
        <f t="shared" si="36"/>
        <v>20616</v>
      </c>
      <c r="N75" s="152">
        <f t="shared" si="36"/>
        <v>37800</v>
      </c>
      <c r="O75" s="152">
        <f t="shared" si="36"/>
        <v>25856</v>
      </c>
      <c r="P75" s="152">
        <f t="shared" si="36"/>
        <v>25792</v>
      </c>
      <c r="Q75" s="152">
        <f t="shared" si="31"/>
        <v>535107.19999999995</v>
      </c>
    </row>
    <row r="76" spans="1:17" s="157" customFormat="1">
      <c r="A76" s="149" t="s">
        <v>350</v>
      </c>
      <c r="B76" s="155" t="s">
        <v>351</v>
      </c>
      <c r="C76" s="155" t="s">
        <v>189</v>
      </c>
      <c r="D76" s="165" t="s">
        <v>352</v>
      </c>
      <c r="E76" s="152">
        <f>E109*8</f>
        <v>14400</v>
      </c>
      <c r="F76" s="152">
        <f t="shared" ref="F76:P76" si="37">F109*8</f>
        <v>97216</v>
      </c>
      <c r="G76" s="152">
        <f t="shared" si="37"/>
        <v>78568</v>
      </c>
      <c r="H76" s="152">
        <f t="shared" si="37"/>
        <v>112080</v>
      </c>
      <c r="I76" s="152">
        <f t="shared" si="37"/>
        <v>65651.199999999997</v>
      </c>
      <c r="J76" s="152">
        <f t="shared" si="37"/>
        <v>20480</v>
      </c>
      <c r="K76" s="152">
        <f t="shared" si="37"/>
        <v>15744</v>
      </c>
      <c r="L76" s="152">
        <f t="shared" si="37"/>
        <v>20904</v>
      </c>
      <c r="M76" s="152">
        <f t="shared" si="37"/>
        <v>20616</v>
      </c>
      <c r="N76" s="152">
        <f t="shared" si="37"/>
        <v>37800</v>
      </c>
      <c r="O76" s="152">
        <f t="shared" si="37"/>
        <v>25856</v>
      </c>
      <c r="P76" s="152">
        <f t="shared" si="37"/>
        <v>25792</v>
      </c>
      <c r="Q76" s="152">
        <f t="shared" si="31"/>
        <v>535107.19999999995</v>
      </c>
    </row>
    <row r="77" spans="1:17">
      <c r="A77" s="149" t="s">
        <v>353</v>
      </c>
      <c r="B77" s="150" t="s">
        <v>354</v>
      </c>
      <c r="C77" s="150"/>
      <c r="D77" s="151" t="s">
        <v>183</v>
      </c>
      <c r="E77" s="152">
        <f>E78</f>
        <v>0</v>
      </c>
      <c r="F77" s="152">
        <f t="shared" ref="F77:P77" si="38">F78</f>
        <v>0</v>
      </c>
      <c r="G77" s="152">
        <f t="shared" si="38"/>
        <v>0</v>
      </c>
      <c r="H77" s="152">
        <f t="shared" si="38"/>
        <v>0</v>
      </c>
      <c r="I77" s="152">
        <f t="shared" si="38"/>
        <v>0</v>
      </c>
      <c r="J77" s="152">
        <f t="shared" si="38"/>
        <v>0</v>
      </c>
      <c r="K77" s="152">
        <f t="shared" si="38"/>
        <v>0</v>
      </c>
      <c r="L77" s="152">
        <f t="shared" si="38"/>
        <v>0</v>
      </c>
      <c r="M77" s="152">
        <f t="shared" si="38"/>
        <v>0</v>
      </c>
      <c r="N77" s="152">
        <f t="shared" si="38"/>
        <v>0</v>
      </c>
      <c r="O77" s="152">
        <f t="shared" si="38"/>
        <v>0</v>
      </c>
      <c r="P77" s="152">
        <f t="shared" si="38"/>
        <v>0</v>
      </c>
      <c r="Q77" s="152">
        <f t="shared" si="31"/>
        <v>0</v>
      </c>
    </row>
    <row r="78" spans="1:17" s="157" customFormat="1">
      <c r="A78" s="149" t="s">
        <v>355</v>
      </c>
      <c r="B78" s="155" t="s">
        <v>356</v>
      </c>
      <c r="C78" s="155" t="s">
        <v>189</v>
      </c>
      <c r="D78" s="165" t="s">
        <v>291</v>
      </c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52">
        <f t="shared" si="31"/>
        <v>0</v>
      </c>
    </row>
    <row r="79" spans="1:17">
      <c r="A79" s="149" t="s">
        <v>357</v>
      </c>
      <c r="B79" s="150" t="s">
        <v>358</v>
      </c>
      <c r="C79" s="150"/>
      <c r="D79" s="151" t="s">
        <v>183</v>
      </c>
      <c r="E79" s="152">
        <f>E80</f>
        <v>38880</v>
      </c>
      <c r="F79" s="152">
        <f t="shared" ref="F79:P79" si="39">F80</f>
        <v>756000</v>
      </c>
      <c r="G79" s="152">
        <f t="shared" si="39"/>
        <v>324000</v>
      </c>
      <c r="H79" s="152">
        <f t="shared" si="39"/>
        <v>324000</v>
      </c>
      <c r="I79" s="152">
        <f t="shared" si="39"/>
        <v>406080</v>
      </c>
      <c r="J79" s="152">
        <f t="shared" si="39"/>
        <v>125280</v>
      </c>
      <c r="K79" s="152">
        <f t="shared" si="39"/>
        <v>99360</v>
      </c>
      <c r="L79" s="152">
        <f t="shared" si="39"/>
        <v>116640</v>
      </c>
      <c r="M79" s="152">
        <f t="shared" si="39"/>
        <v>103680</v>
      </c>
      <c r="N79" s="152">
        <f t="shared" si="39"/>
        <v>207360</v>
      </c>
      <c r="O79" s="152">
        <f t="shared" si="39"/>
        <v>69120</v>
      </c>
      <c r="P79" s="152">
        <f t="shared" si="39"/>
        <v>21600</v>
      </c>
      <c r="Q79" s="152">
        <f t="shared" si="31"/>
        <v>2592000</v>
      </c>
    </row>
    <row r="80" spans="1:17" s="157" customFormat="1" ht="22.5">
      <c r="A80" s="149" t="s">
        <v>359</v>
      </c>
      <c r="B80" s="155" t="s">
        <v>360</v>
      </c>
      <c r="C80" s="155" t="s">
        <v>189</v>
      </c>
      <c r="D80" s="165" t="s">
        <v>361</v>
      </c>
      <c r="E80" s="152">
        <f>E96*4320</f>
        <v>38880</v>
      </c>
      <c r="F80" s="152">
        <f t="shared" ref="F80:P80" si="40">F96*4320</f>
        <v>756000</v>
      </c>
      <c r="G80" s="152">
        <f t="shared" si="40"/>
        <v>324000</v>
      </c>
      <c r="H80" s="152">
        <f t="shared" si="40"/>
        <v>324000</v>
      </c>
      <c r="I80" s="152">
        <f t="shared" si="40"/>
        <v>406080</v>
      </c>
      <c r="J80" s="152">
        <f t="shared" si="40"/>
        <v>125280</v>
      </c>
      <c r="K80" s="152">
        <f t="shared" si="40"/>
        <v>99360</v>
      </c>
      <c r="L80" s="152">
        <f t="shared" si="40"/>
        <v>116640</v>
      </c>
      <c r="M80" s="152">
        <f t="shared" si="40"/>
        <v>103680</v>
      </c>
      <c r="N80" s="152">
        <f t="shared" si="40"/>
        <v>207360</v>
      </c>
      <c r="O80" s="152">
        <f t="shared" si="40"/>
        <v>69120</v>
      </c>
      <c r="P80" s="152">
        <f t="shared" si="40"/>
        <v>21600</v>
      </c>
      <c r="Q80" s="152">
        <f t="shared" si="31"/>
        <v>2592000</v>
      </c>
    </row>
    <row r="81" spans="1:17">
      <c r="A81" s="149" t="s">
        <v>362</v>
      </c>
      <c r="B81" s="150" t="s">
        <v>363</v>
      </c>
      <c r="C81" s="150"/>
      <c r="D81" s="151" t="s">
        <v>183</v>
      </c>
      <c r="E81" s="152">
        <f>E82</f>
        <v>38865.599999999999</v>
      </c>
      <c r="F81" s="152">
        <f t="shared" ref="F81:P81" si="41">F82</f>
        <v>690720</v>
      </c>
      <c r="G81" s="152">
        <f t="shared" si="41"/>
        <v>273532.79999999999</v>
      </c>
      <c r="H81" s="152">
        <f t="shared" si="41"/>
        <v>288676.8</v>
      </c>
      <c r="I81" s="152">
        <f t="shared" si="41"/>
        <v>326990.40000000002</v>
      </c>
      <c r="J81" s="152">
        <f t="shared" si="41"/>
        <v>105105.60000000001</v>
      </c>
      <c r="K81" s="152">
        <f t="shared" si="41"/>
        <v>80712</v>
      </c>
      <c r="L81" s="152">
        <f t="shared" si="41"/>
        <v>89976</v>
      </c>
      <c r="M81" s="152">
        <f t="shared" si="41"/>
        <v>85233.600000000006</v>
      </c>
      <c r="N81" s="152">
        <f t="shared" si="41"/>
        <v>165264</v>
      </c>
      <c r="O81" s="152">
        <f t="shared" si="41"/>
        <v>49700</v>
      </c>
      <c r="P81" s="152">
        <f t="shared" si="41"/>
        <v>14443.2</v>
      </c>
      <c r="Q81" s="152">
        <f t="shared" si="31"/>
        <v>2209220.0000000005</v>
      </c>
    </row>
    <row r="82" spans="1:17" s="157" customFormat="1">
      <c r="A82" s="149" t="s">
        <v>364</v>
      </c>
      <c r="B82" s="155" t="s">
        <v>365</v>
      </c>
      <c r="C82" s="155" t="s">
        <v>189</v>
      </c>
      <c r="D82" s="156" t="s">
        <v>208</v>
      </c>
      <c r="E82" s="152">
        <f>E16*4</f>
        <v>38865.599999999999</v>
      </c>
      <c r="F82" s="152">
        <f t="shared" ref="F82:P82" si="42">F16*4</f>
        <v>690720</v>
      </c>
      <c r="G82" s="152">
        <f t="shared" si="42"/>
        <v>273532.79999999999</v>
      </c>
      <c r="H82" s="152">
        <f t="shared" si="42"/>
        <v>288676.8</v>
      </c>
      <c r="I82" s="152">
        <f t="shared" si="42"/>
        <v>326990.40000000002</v>
      </c>
      <c r="J82" s="152">
        <f t="shared" si="42"/>
        <v>105105.60000000001</v>
      </c>
      <c r="K82" s="152">
        <f t="shared" si="42"/>
        <v>80712</v>
      </c>
      <c r="L82" s="152">
        <f t="shared" si="42"/>
        <v>89976</v>
      </c>
      <c r="M82" s="152">
        <f t="shared" si="42"/>
        <v>85233.600000000006</v>
      </c>
      <c r="N82" s="152">
        <f t="shared" si="42"/>
        <v>165264</v>
      </c>
      <c r="O82" s="152">
        <f t="shared" si="42"/>
        <v>49700</v>
      </c>
      <c r="P82" s="152">
        <f t="shared" si="42"/>
        <v>14443.2</v>
      </c>
      <c r="Q82" s="152">
        <f t="shared" si="31"/>
        <v>2209220.0000000005</v>
      </c>
    </row>
    <row r="83" spans="1:17">
      <c r="A83" s="149" t="s">
        <v>366</v>
      </c>
      <c r="B83" s="150" t="s">
        <v>367</v>
      </c>
      <c r="C83" s="150"/>
      <c r="D83" s="151" t="s">
        <v>183</v>
      </c>
      <c r="E83" s="152">
        <f>E84</f>
        <v>0</v>
      </c>
      <c r="F83" s="152">
        <f t="shared" ref="F83:P83" si="43">F84</f>
        <v>64000</v>
      </c>
      <c r="G83" s="152">
        <f t="shared" si="43"/>
        <v>0</v>
      </c>
      <c r="H83" s="152">
        <f t="shared" si="43"/>
        <v>0</v>
      </c>
      <c r="I83" s="152">
        <f t="shared" si="43"/>
        <v>0</v>
      </c>
      <c r="J83" s="152">
        <f t="shared" si="43"/>
        <v>0</v>
      </c>
      <c r="K83" s="152">
        <f t="shared" si="43"/>
        <v>0</v>
      </c>
      <c r="L83" s="152">
        <f t="shared" si="43"/>
        <v>0</v>
      </c>
      <c r="M83" s="152">
        <f t="shared" si="43"/>
        <v>0</v>
      </c>
      <c r="N83" s="152">
        <f t="shared" si="43"/>
        <v>0</v>
      </c>
      <c r="O83" s="152">
        <f t="shared" si="43"/>
        <v>0</v>
      </c>
      <c r="P83" s="152">
        <f t="shared" si="43"/>
        <v>0</v>
      </c>
      <c r="Q83" s="152">
        <f t="shared" si="31"/>
        <v>64000</v>
      </c>
    </row>
    <row r="84" spans="1:17" ht="33.75">
      <c r="A84" s="149" t="s">
        <v>368</v>
      </c>
      <c r="B84" s="150" t="s">
        <v>369</v>
      </c>
      <c r="C84" s="150" t="s">
        <v>189</v>
      </c>
      <c r="D84" s="164" t="s">
        <v>370</v>
      </c>
      <c r="E84" s="154"/>
      <c r="F84" s="154">
        <v>64000</v>
      </c>
      <c r="G84" s="154"/>
      <c r="H84" s="154"/>
      <c r="I84" s="154"/>
      <c r="J84" s="154"/>
      <c r="K84" s="154"/>
      <c r="L84" s="154"/>
      <c r="M84" s="154"/>
      <c r="N84" s="154"/>
      <c r="O84" s="154"/>
      <c r="P84" s="154"/>
      <c r="Q84" s="152">
        <f t="shared" si="31"/>
        <v>64000</v>
      </c>
    </row>
    <row r="85" spans="1:17">
      <c r="A85" s="149" t="s">
        <v>371</v>
      </c>
      <c r="B85" s="150" t="s">
        <v>372</v>
      </c>
      <c r="C85" s="150"/>
      <c r="D85" s="151" t="s">
        <v>183</v>
      </c>
      <c r="E85" s="152">
        <f>E86+E89+E92</f>
        <v>37760</v>
      </c>
      <c r="F85" s="152">
        <f t="shared" ref="F85:P85" si="44">F86+F89+F92</f>
        <v>835440</v>
      </c>
      <c r="G85" s="152">
        <f t="shared" si="44"/>
        <v>9440</v>
      </c>
      <c r="H85" s="152">
        <f t="shared" si="44"/>
        <v>4720</v>
      </c>
      <c r="I85" s="152">
        <f t="shared" si="44"/>
        <v>0</v>
      </c>
      <c r="J85" s="152">
        <f t="shared" si="44"/>
        <v>61360</v>
      </c>
      <c r="K85" s="152">
        <f t="shared" si="44"/>
        <v>9440</v>
      </c>
      <c r="L85" s="152">
        <f t="shared" si="44"/>
        <v>0</v>
      </c>
      <c r="M85" s="152">
        <f t="shared" si="44"/>
        <v>0</v>
      </c>
      <c r="N85" s="152">
        <f t="shared" si="44"/>
        <v>0</v>
      </c>
      <c r="O85" s="152">
        <f t="shared" si="44"/>
        <v>0</v>
      </c>
      <c r="P85" s="152">
        <f t="shared" si="44"/>
        <v>0</v>
      </c>
      <c r="Q85" s="152">
        <f t="shared" si="31"/>
        <v>958160</v>
      </c>
    </row>
    <row r="86" spans="1:17">
      <c r="A86" s="149" t="s">
        <v>373</v>
      </c>
      <c r="B86" s="150" t="s">
        <v>374</v>
      </c>
      <c r="C86" s="150"/>
      <c r="D86" s="151" t="s">
        <v>183</v>
      </c>
      <c r="E86" s="152">
        <f>E87+E88</f>
        <v>0</v>
      </c>
      <c r="F86" s="152">
        <f t="shared" ref="F86:P86" si="45">F87+F88</f>
        <v>0</v>
      </c>
      <c r="G86" s="152">
        <f t="shared" si="45"/>
        <v>0</v>
      </c>
      <c r="H86" s="152">
        <f t="shared" si="45"/>
        <v>0</v>
      </c>
      <c r="I86" s="152">
        <f t="shared" si="45"/>
        <v>0</v>
      </c>
      <c r="J86" s="152">
        <f t="shared" si="45"/>
        <v>0</v>
      </c>
      <c r="K86" s="152">
        <f t="shared" si="45"/>
        <v>0</v>
      </c>
      <c r="L86" s="152">
        <f t="shared" si="45"/>
        <v>0</v>
      </c>
      <c r="M86" s="152">
        <f t="shared" si="45"/>
        <v>0</v>
      </c>
      <c r="N86" s="152">
        <f t="shared" si="45"/>
        <v>0</v>
      </c>
      <c r="O86" s="152">
        <f t="shared" si="45"/>
        <v>0</v>
      </c>
      <c r="P86" s="152">
        <f t="shared" si="45"/>
        <v>0</v>
      </c>
      <c r="Q86" s="152">
        <f t="shared" si="31"/>
        <v>0</v>
      </c>
    </row>
    <row r="87" spans="1:17">
      <c r="A87" s="149" t="s">
        <v>375</v>
      </c>
      <c r="B87" s="150" t="s">
        <v>376</v>
      </c>
      <c r="C87" s="150" t="s">
        <v>189</v>
      </c>
      <c r="D87" s="164" t="s">
        <v>291</v>
      </c>
      <c r="E87" s="160"/>
      <c r="F87" s="160"/>
      <c r="G87" s="160"/>
      <c r="H87" s="160"/>
      <c r="I87" s="160"/>
      <c r="J87" s="160"/>
      <c r="K87" s="160"/>
      <c r="L87" s="160"/>
      <c r="M87" s="160"/>
      <c r="N87" s="160"/>
      <c r="O87" s="160"/>
      <c r="P87" s="160"/>
      <c r="Q87" s="152">
        <f t="shared" si="31"/>
        <v>0</v>
      </c>
    </row>
    <row r="88" spans="1:17">
      <c r="A88" s="149" t="s">
        <v>377</v>
      </c>
      <c r="B88" s="150" t="s">
        <v>378</v>
      </c>
      <c r="C88" s="150" t="s">
        <v>189</v>
      </c>
      <c r="D88" s="151" t="s">
        <v>379</v>
      </c>
      <c r="E88" s="160"/>
      <c r="F88" s="160"/>
      <c r="G88" s="160"/>
      <c r="H88" s="160"/>
      <c r="I88" s="160"/>
      <c r="J88" s="160"/>
      <c r="K88" s="160"/>
      <c r="L88" s="160"/>
      <c r="M88" s="160"/>
      <c r="N88" s="160"/>
      <c r="O88" s="160"/>
      <c r="P88" s="160"/>
      <c r="Q88" s="152">
        <f t="shared" si="31"/>
        <v>0</v>
      </c>
    </row>
    <row r="89" spans="1:17">
      <c r="A89" s="149" t="s">
        <v>380</v>
      </c>
      <c r="B89" s="150" t="s">
        <v>381</v>
      </c>
      <c r="C89" s="150"/>
      <c r="D89" s="151" t="s">
        <v>183</v>
      </c>
      <c r="E89" s="152">
        <f>E90+E91</f>
        <v>37760</v>
      </c>
      <c r="F89" s="152">
        <f t="shared" ref="F89:P89" si="46">F90+F91</f>
        <v>835440</v>
      </c>
      <c r="G89" s="152">
        <f t="shared" si="46"/>
        <v>9440</v>
      </c>
      <c r="H89" s="152">
        <f t="shared" si="46"/>
        <v>4720</v>
      </c>
      <c r="I89" s="152">
        <f t="shared" si="46"/>
        <v>0</v>
      </c>
      <c r="J89" s="152">
        <f t="shared" si="46"/>
        <v>61360</v>
      </c>
      <c r="K89" s="152">
        <f t="shared" si="46"/>
        <v>9440</v>
      </c>
      <c r="L89" s="152">
        <f t="shared" si="46"/>
        <v>0</v>
      </c>
      <c r="M89" s="152">
        <f t="shared" si="46"/>
        <v>0</v>
      </c>
      <c r="N89" s="152">
        <f t="shared" si="46"/>
        <v>0</v>
      </c>
      <c r="O89" s="152">
        <f t="shared" si="46"/>
        <v>0</v>
      </c>
      <c r="P89" s="152">
        <f t="shared" si="46"/>
        <v>0</v>
      </c>
      <c r="Q89" s="152">
        <f t="shared" si="31"/>
        <v>958160</v>
      </c>
    </row>
    <row r="90" spans="1:17" s="157" customFormat="1" ht="22.5">
      <c r="A90" s="149" t="s">
        <v>382</v>
      </c>
      <c r="B90" s="155" t="s">
        <v>383</v>
      </c>
      <c r="C90" s="155" t="s">
        <v>189</v>
      </c>
      <c r="D90" s="165" t="s">
        <v>384</v>
      </c>
      <c r="E90" s="152">
        <f>E107*400</f>
        <v>3200</v>
      </c>
      <c r="F90" s="152">
        <f t="shared" ref="F90:P90" si="47">F107*400</f>
        <v>70800</v>
      </c>
      <c r="G90" s="152">
        <f t="shared" si="47"/>
        <v>800</v>
      </c>
      <c r="H90" s="152">
        <f t="shared" si="47"/>
        <v>400</v>
      </c>
      <c r="I90" s="152">
        <f t="shared" si="47"/>
        <v>0</v>
      </c>
      <c r="J90" s="152">
        <f t="shared" si="47"/>
        <v>5200</v>
      </c>
      <c r="K90" s="152">
        <f t="shared" si="47"/>
        <v>800</v>
      </c>
      <c r="L90" s="152">
        <f t="shared" si="47"/>
        <v>0</v>
      </c>
      <c r="M90" s="152">
        <f t="shared" si="47"/>
        <v>0</v>
      </c>
      <c r="N90" s="152">
        <f t="shared" si="47"/>
        <v>0</v>
      </c>
      <c r="O90" s="152">
        <f t="shared" si="47"/>
        <v>0</v>
      </c>
      <c r="P90" s="152">
        <f t="shared" si="47"/>
        <v>0</v>
      </c>
      <c r="Q90" s="152">
        <f t="shared" si="31"/>
        <v>81200</v>
      </c>
    </row>
    <row r="91" spans="1:17" s="157" customFormat="1" ht="22.5">
      <c r="A91" s="149" t="s">
        <v>385</v>
      </c>
      <c r="B91" s="155" t="s">
        <v>386</v>
      </c>
      <c r="C91" s="155" t="s">
        <v>189</v>
      </c>
      <c r="D91" s="165" t="s">
        <v>387</v>
      </c>
      <c r="E91" s="152">
        <f>E107*4320</f>
        <v>34560</v>
      </c>
      <c r="F91" s="152">
        <f t="shared" ref="F91:P91" si="48">F107*4320</f>
        <v>764640</v>
      </c>
      <c r="G91" s="152">
        <f t="shared" si="48"/>
        <v>8640</v>
      </c>
      <c r="H91" s="152">
        <f t="shared" si="48"/>
        <v>4320</v>
      </c>
      <c r="I91" s="152">
        <f t="shared" si="48"/>
        <v>0</v>
      </c>
      <c r="J91" s="152">
        <f t="shared" si="48"/>
        <v>56160</v>
      </c>
      <c r="K91" s="152">
        <f t="shared" si="48"/>
        <v>8640</v>
      </c>
      <c r="L91" s="152">
        <f t="shared" si="48"/>
        <v>0</v>
      </c>
      <c r="M91" s="152">
        <f t="shared" si="48"/>
        <v>0</v>
      </c>
      <c r="N91" s="152">
        <f t="shared" si="48"/>
        <v>0</v>
      </c>
      <c r="O91" s="152">
        <f t="shared" si="48"/>
        <v>0</v>
      </c>
      <c r="P91" s="152">
        <f t="shared" si="48"/>
        <v>0</v>
      </c>
      <c r="Q91" s="152">
        <f t="shared" si="31"/>
        <v>876960</v>
      </c>
    </row>
    <row r="92" spans="1:17">
      <c r="A92" s="149" t="s">
        <v>388</v>
      </c>
      <c r="B92" s="150" t="s">
        <v>389</v>
      </c>
      <c r="C92" s="150" t="s">
        <v>189</v>
      </c>
      <c r="D92" s="164" t="s">
        <v>291</v>
      </c>
      <c r="E92" s="166"/>
      <c r="F92" s="166"/>
      <c r="G92" s="166"/>
      <c r="H92" s="166"/>
      <c r="I92" s="166"/>
      <c r="J92" s="166"/>
      <c r="K92" s="166"/>
      <c r="L92" s="166"/>
      <c r="M92" s="166"/>
      <c r="N92" s="166"/>
      <c r="O92" s="166"/>
      <c r="P92" s="166"/>
      <c r="Q92" s="152">
        <f t="shared" si="31"/>
        <v>0</v>
      </c>
    </row>
    <row r="93" spans="1:17">
      <c r="A93" s="149" t="s">
        <v>390</v>
      </c>
      <c r="B93" s="150" t="s">
        <v>391</v>
      </c>
      <c r="C93" s="150"/>
      <c r="D93" s="151" t="s">
        <v>183</v>
      </c>
      <c r="E93" s="152">
        <f>E94</f>
        <v>32000</v>
      </c>
      <c r="F93" s="152">
        <f t="shared" ref="F93:P93" si="49">F94</f>
        <v>0</v>
      </c>
      <c r="G93" s="152">
        <f t="shared" si="49"/>
        <v>32000</v>
      </c>
      <c r="H93" s="152">
        <f t="shared" si="49"/>
        <v>32000</v>
      </c>
      <c r="I93" s="152">
        <f t="shared" si="49"/>
        <v>32000</v>
      </c>
      <c r="J93" s="152">
        <f t="shared" si="49"/>
        <v>32000</v>
      </c>
      <c r="K93" s="152">
        <f t="shared" si="49"/>
        <v>32000</v>
      </c>
      <c r="L93" s="152">
        <f t="shared" si="49"/>
        <v>32000</v>
      </c>
      <c r="M93" s="152">
        <f t="shared" si="49"/>
        <v>32000</v>
      </c>
      <c r="N93" s="152">
        <f t="shared" si="49"/>
        <v>32000</v>
      </c>
      <c r="O93" s="152">
        <f t="shared" si="49"/>
        <v>32000</v>
      </c>
      <c r="P93" s="152">
        <f t="shared" si="49"/>
        <v>32000</v>
      </c>
      <c r="Q93" s="152">
        <f t="shared" si="31"/>
        <v>352000</v>
      </c>
    </row>
    <row r="94" spans="1:17" ht="57" thickBot="1">
      <c r="A94" s="149" t="s">
        <v>392</v>
      </c>
      <c r="B94" s="167" t="s">
        <v>393</v>
      </c>
      <c r="C94" s="150" t="s">
        <v>189</v>
      </c>
      <c r="D94" s="168" t="s">
        <v>566</v>
      </c>
      <c r="E94" s="169">
        <v>32000</v>
      </c>
      <c r="F94" s="169"/>
      <c r="G94" s="169">
        <v>32000</v>
      </c>
      <c r="H94" s="169">
        <v>32000</v>
      </c>
      <c r="I94" s="169">
        <v>32000</v>
      </c>
      <c r="J94" s="169">
        <v>32000</v>
      </c>
      <c r="K94" s="169">
        <v>32000</v>
      </c>
      <c r="L94" s="169">
        <v>32000</v>
      </c>
      <c r="M94" s="169">
        <v>32000</v>
      </c>
      <c r="N94" s="169">
        <v>32000</v>
      </c>
      <c r="O94" s="169">
        <v>32000</v>
      </c>
      <c r="P94" s="169">
        <v>32000</v>
      </c>
      <c r="Q94" s="152">
        <f t="shared" si="31"/>
        <v>352000</v>
      </c>
    </row>
    <row r="95" spans="1:17" ht="12" thickTop="1">
      <c r="A95" s="149" t="s">
        <v>395</v>
      </c>
      <c r="B95" s="170" t="s">
        <v>396</v>
      </c>
      <c r="C95" s="170"/>
      <c r="D95" s="171"/>
      <c r="E95" s="172"/>
      <c r="F95" s="172"/>
      <c r="G95" s="172"/>
      <c r="H95" s="172"/>
      <c r="I95" s="172"/>
      <c r="J95" s="172"/>
      <c r="K95" s="172"/>
      <c r="L95" s="172"/>
      <c r="M95" s="172"/>
      <c r="N95" s="172"/>
      <c r="O95" s="172"/>
      <c r="P95" s="172"/>
      <c r="Q95" s="152">
        <f t="shared" si="31"/>
        <v>0</v>
      </c>
    </row>
    <row r="96" spans="1:17" ht="22.5">
      <c r="A96" s="149" t="s">
        <v>397</v>
      </c>
      <c r="B96" s="150" t="s">
        <v>398</v>
      </c>
      <c r="C96" s="150"/>
      <c r="D96" s="151" t="s">
        <v>567</v>
      </c>
      <c r="E96" s="152">
        <f>E97+E98+E99+E100</f>
        <v>9</v>
      </c>
      <c r="F96" s="152">
        <f t="shared" ref="F96:P96" si="50">F97+F98+F99+F100</f>
        <v>175</v>
      </c>
      <c r="G96" s="152">
        <f t="shared" si="50"/>
        <v>75</v>
      </c>
      <c r="H96" s="152">
        <f t="shared" si="50"/>
        <v>75</v>
      </c>
      <c r="I96" s="152">
        <f t="shared" si="50"/>
        <v>94</v>
      </c>
      <c r="J96" s="152">
        <f t="shared" si="50"/>
        <v>29</v>
      </c>
      <c r="K96" s="152">
        <f t="shared" si="50"/>
        <v>23</v>
      </c>
      <c r="L96" s="152">
        <f t="shared" si="50"/>
        <v>27</v>
      </c>
      <c r="M96" s="152">
        <f t="shared" si="50"/>
        <v>24</v>
      </c>
      <c r="N96" s="152">
        <f t="shared" si="50"/>
        <v>48</v>
      </c>
      <c r="O96" s="152">
        <f t="shared" si="50"/>
        <v>16</v>
      </c>
      <c r="P96" s="152">
        <f t="shared" si="50"/>
        <v>5</v>
      </c>
      <c r="Q96" s="152">
        <f t="shared" si="31"/>
        <v>600</v>
      </c>
    </row>
    <row r="97" spans="1:17">
      <c r="A97" s="149" t="s">
        <v>400</v>
      </c>
      <c r="B97" s="173" t="s">
        <v>401</v>
      </c>
      <c r="C97" s="173"/>
      <c r="D97" s="159"/>
      <c r="E97" s="160"/>
      <c r="F97" s="160">
        <v>90</v>
      </c>
      <c r="G97" s="160">
        <v>75</v>
      </c>
      <c r="H97" s="160"/>
      <c r="I97" s="160"/>
      <c r="J97" s="160"/>
      <c r="K97" s="160"/>
      <c r="L97" s="160"/>
      <c r="M97" s="160"/>
      <c r="N97" s="160"/>
      <c r="O97" s="160"/>
      <c r="P97" s="160"/>
      <c r="Q97" s="152">
        <f t="shared" si="31"/>
        <v>165</v>
      </c>
    </row>
    <row r="98" spans="1:17">
      <c r="A98" s="149" t="s">
        <v>402</v>
      </c>
      <c r="B98" s="173" t="s">
        <v>403</v>
      </c>
      <c r="C98" s="173"/>
      <c r="D98" s="151"/>
      <c r="E98" s="154"/>
      <c r="F98" s="154">
        <v>85</v>
      </c>
      <c r="G98" s="154"/>
      <c r="H98" s="154">
        <v>75</v>
      </c>
      <c r="I98" s="154">
        <v>94</v>
      </c>
      <c r="J98" s="154"/>
      <c r="K98" s="154"/>
      <c r="L98" s="154"/>
      <c r="M98" s="154"/>
      <c r="N98" s="154"/>
      <c r="O98" s="154"/>
      <c r="P98" s="154"/>
      <c r="Q98" s="152">
        <f t="shared" si="31"/>
        <v>254</v>
      </c>
    </row>
    <row r="99" spans="1:17">
      <c r="A99" s="149" t="s">
        <v>404</v>
      </c>
      <c r="B99" s="173" t="s">
        <v>405</v>
      </c>
      <c r="C99" s="173"/>
      <c r="D99" s="159"/>
      <c r="E99" s="160"/>
      <c r="F99" s="160"/>
      <c r="G99" s="160"/>
      <c r="H99" s="160"/>
      <c r="I99" s="160"/>
      <c r="J99" s="160">
        <v>29</v>
      </c>
      <c r="K99" s="160">
        <v>23</v>
      </c>
      <c r="L99" s="160">
        <v>27</v>
      </c>
      <c r="M99" s="160">
        <v>24</v>
      </c>
      <c r="N99" s="160">
        <v>48</v>
      </c>
      <c r="O99" s="160">
        <v>16</v>
      </c>
      <c r="P99" s="160">
        <v>5</v>
      </c>
      <c r="Q99" s="152">
        <f t="shared" si="31"/>
        <v>172</v>
      </c>
    </row>
    <row r="100" spans="1:17">
      <c r="A100" s="149" t="s">
        <v>406</v>
      </c>
      <c r="B100" s="173" t="s">
        <v>407</v>
      </c>
      <c r="C100" s="173"/>
      <c r="D100" s="159"/>
      <c r="E100" s="160">
        <v>9</v>
      </c>
      <c r="F100" s="160"/>
      <c r="G100" s="160"/>
      <c r="H100" s="160"/>
      <c r="I100" s="160"/>
      <c r="J100" s="160"/>
      <c r="K100" s="160"/>
      <c r="L100" s="160"/>
      <c r="M100" s="160"/>
      <c r="N100" s="160"/>
      <c r="O100" s="160"/>
      <c r="P100" s="160"/>
      <c r="Q100" s="152">
        <f t="shared" si="31"/>
        <v>9</v>
      </c>
    </row>
    <row r="101" spans="1:17" ht="33.75">
      <c r="A101" s="149" t="s">
        <v>408</v>
      </c>
      <c r="B101" s="150" t="s">
        <v>409</v>
      </c>
      <c r="C101" s="150"/>
      <c r="D101" s="151" t="s">
        <v>568</v>
      </c>
      <c r="E101" s="152">
        <f>E102+E103+E104+E105</f>
        <v>0</v>
      </c>
      <c r="F101" s="152">
        <f t="shared" ref="F101:P101" si="51">F102+F103+F104+F105</f>
        <v>1498</v>
      </c>
      <c r="G101" s="152">
        <f t="shared" si="51"/>
        <v>787</v>
      </c>
      <c r="H101" s="152">
        <f t="shared" si="51"/>
        <v>1007</v>
      </c>
      <c r="I101" s="152">
        <f t="shared" si="51"/>
        <v>1476</v>
      </c>
      <c r="J101" s="152">
        <f t="shared" si="51"/>
        <v>322</v>
      </c>
      <c r="K101" s="152">
        <f t="shared" si="51"/>
        <v>256</v>
      </c>
      <c r="L101" s="152">
        <f t="shared" si="51"/>
        <v>320</v>
      </c>
      <c r="M101" s="152">
        <f t="shared" si="51"/>
        <v>466</v>
      </c>
      <c r="N101" s="152">
        <f t="shared" si="51"/>
        <v>698</v>
      </c>
      <c r="O101" s="152">
        <f t="shared" si="51"/>
        <v>206</v>
      </c>
      <c r="P101" s="152">
        <f t="shared" si="51"/>
        <v>185</v>
      </c>
      <c r="Q101" s="152">
        <f t="shared" si="31"/>
        <v>7221</v>
      </c>
    </row>
    <row r="102" spans="1:17">
      <c r="A102" s="149" t="s">
        <v>411</v>
      </c>
      <c r="B102" s="173" t="s">
        <v>401</v>
      </c>
      <c r="C102" s="173"/>
      <c r="D102" s="159"/>
      <c r="E102" s="160"/>
      <c r="F102" s="160">
        <v>678</v>
      </c>
      <c r="G102" s="160">
        <v>787</v>
      </c>
      <c r="H102" s="160"/>
      <c r="I102" s="160"/>
      <c r="J102" s="160"/>
      <c r="K102" s="160"/>
      <c r="L102" s="160"/>
      <c r="M102" s="160"/>
      <c r="N102" s="160"/>
      <c r="O102" s="160"/>
      <c r="P102" s="160"/>
      <c r="Q102" s="152">
        <f t="shared" si="31"/>
        <v>1465</v>
      </c>
    </row>
    <row r="103" spans="1:17">
      <c r="A103" s="149" t="s">
        <v>412</v>
      </c>
      <c r="B103" s="173" t="s">
        <v>403</v>
      </c>
      <c r="C103" s="173"/>
      <c r="D103" s="151"/>
      <c r="E103" s="154"/>
      <c r="F103" s="154">
        <v>820</v>
      </c>
      <c r="G103" s="154"/>
      <c r="H103" s="154">
        <v>1007</v>
      </c>
      <c r="I103" s="154">
        <v>1476</v>
      </c>
      <c r="J103" s="154"/>
      <c r="K103" s="154"/>
      <c r="L103" s="154"/>
      <c r="M103" s="154"/>
      <c r="N103" s="154"/>
      <c r="O103" s="154"/>
      <c r="P103" s="154"/>
      <c r="Q103" s="152">
        <f t="shared" si="31"/>
        <v>3303</v>
      </c>
    </row>
    <row r="104" spans="1:17">
      <c r="A104" s="149" t="s">
        <v>413</v>
      </c>
      <c r="B104" s="173" t="s">
        <v>405</v>
      </c>
      <c r="C104" s="173"/>
      <c r="D104" s="159"/>
      <c r="E104" s="160"/>
      <c r="F104" s="160"/>
      <c r="G104" s="160"/>
      <c r="H104" s="160"/>
      <c r="I104" s="160"/>
      <c r="J104" s="160">
        <v>322</v>
      </c>
      <c r="K104" s="160">
        <v>256</v>
      </c>
      <c r="L104" s="160">
        <v>320</v>
      </c>
      <c r="M104" s="160">
        <v>466</v>
      </c>
      <c r="N104" s="160">
        <f>324+374</f>
        <v>698</v>
      </c>
      <c r="O104" s="160">
        <v>206</v>
      </c>
      <c r="P104" s="160">
        <v>185</v>
      </c>
      <c r="Q104" s="152">
        <f t="shared" si="31"/>
        <v>2453</v>
      </c>
    </row>
    <row r="105" spans="1:17">
      <c r="A105" s="149" t="s">
        <v>414</v>
      </c>
      <c r="B105" s="173" t="s">
        <v>407</v>
      </c>
      <c r="C105" s="173"/>
      <c r="D105" s="159"/>
      <c r="E105" s="160"/>
      <c r="F105" s="160"/>
      <c r="G105" s="160"/>
      <c r="H105" s="160"/>
      <c r="I105" s="160"/>
      <c r="J105" s="160"/>
      <c r="K105" s="160"/>
      <c r="L105" s="160"/>
      <c r="M105" s="160"/>
      <c r="N105" s="160"/>
      <c r="O105" s="160"/>
      <c r="P105" s="160"/>
      <c r="Q105" s="152">
        <f t="shared" si="31"/>
        <v>0</v>
      </c>
    </row>
    <row r="106" spans="1:17">
      <c r="A106" s="149" t="s">
        <v>415</v>
      </c>
      <c r="B106" s="150" t="s">
        <v>416</v>
      </c>
      <c r="C106" s="150"/>
      <c r="D106" s="164"/>
      <c r="E106" s="174"/>
      <c r="F106" s="174"/>
      <c r="G106" s="174"/>
      <c r="H106" s="174"/>
      <c r="I106" s="174"/>
      <c r="J106" s="174"/>
      <c r="K106" s="174"/>
      <c r="L106" s="174"/>
      <c r="M106" s="174"/>
      <c r="N106" s="174"/>
      <c r="O106" s="174"/>
      <c r="P106" s="174"/>
      <c r="Q106" s="152">
        <f t="shared" si="31"/>
        <v>0</v>
      </c>
    </row>
    <row r="107" spans="1:17">
      <c r="A107" s="149" t="s">
        <v>417</v>
      </c>
      <c r="B107" s="150" t="s">
        <v>418</v>
      </c>
      <c r="C107" s="150"/>
      <c r="D107" s="151"/>
      <c r="E107" s="154">
        <v>8</v>
      </c>
      <c r="F107" s="154">
        <v>177</v>
      </c>
      <c r="G107" s="154">
        <v>2</v>
      </c>
      <c r="H107" s="154">
        <v>1</v>
      </c>
      <c r="I107" s="154"/>
      <c r="J107" s="154">
        <v>13</v>
      </c>
      <c r="K107" s="154">
        <v>2</v>
      </c>
      <c r="L107" s="154"/>
      <c r="M107" s="154"/>
      <c r="N107" s="154"/>
      <c r="O107" s="154"/>
      <c r="P107" s="154"/>
      <c r="Q107" s="152">
        <f t="shared" si="31"/>
        <v>203</v>
      </c>
    </row>
    <row r="108" spans="1:17">
      <c r="A108" s="149" t="s">
        <v>419</v>
      </c>
      <c r="B108" s="173" t="s">
        <v>420</v>
      </c>
      <c r="C108" s="173"/>
      <c r="D108" s="164"/>
      <c r="E108" s="154">
        <v>1355</v>
      </c>
      <c r="F108" s="154">
        <v>19818.8</v>
      </c>
      <c r="G108" s="154">
        <v>18593.849999999999</v>
      </c>
      <c r="H108" s="154">
        <v>20058.12</v>
      </c>
      <c r="I108" s="154">
        <v>14541</v>
      </c>
      <c r="J108" s="154">
        <v>4747</v>
      </c>
      <c r="K108" s="154">
        <v>4956.18</v>
      </c>
      <c r="L108" s="154">
        <v>5679</v>
      </c>
      <c r="M108" s="154">
        <v>6138.83</v>
      </c>
      <c r="N108" s="154">
        <v>11569</v>
      </c>
      <c r="O108" s="154">
        <v>7365</v>
      </c>
      <c r="P108" s="154">
        <v>7350</v>
      </c>
      <c r="Q108" s="152">
        <f t="shared" si="31"/>
        <v>122171.77999999998</v>
      </c>
    </row>
    <row r="109" spans="1:17">
      <c r="A109" s="149" t="s">
        <v>421</v>
      </c>
      <c r="B109" s="173" t="s">
        <v>422</v>
      </c>
      <c r="C109" s="173"/>
      <c r="D109" s="164"/>
      <c r="E109" s="154">
        <v>1800</v>
      </c>
      <c r="F109" s="154">
        <v>12152</v>
      </c>
      <c r="G109" s="154">
        <v>9821</v>
      </c>
      <c r="H109" s="154">
        <v>14010</v>
      </c>
      <c r="I109" s="154">
        <v>8206.4</v>
      </c>
      <c r="J109" s="154">
        <v>2560</v>
      </c>
      <c r="K109" s="154">
        <v>1968</v>
      </c>
      <c r="L109" s="154">
        <v>2613</v>
      </c>
      <c r="M109" s="154">
        <v>2577</v>
      </c>
      <c r="N109" s="154">
        <v>4725</v>
      </c>
      <c r="O109" s="154">
        <v>3232</v>
      </c>
      <c r="P109" s="154">
        <v>3224</v>
      </c>
      <c r="Q109" s="152">
        <f t="shared" si="31"/>
        <v>66888.399999999994</v>
      </c>
    </row>
  </sheetData>
  <protectedRanges>
    <protectedRange password="E9C1" sqref="B31:D109 A4:D12 A2:Q3 B13:D28 A13:A109 Q4:Q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Q1"/>
  </mergeCells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9"/>
  <sheetViews>
    <sheetView workbookViewId="0">
      <selection activeCell="M3" sqref="M3:M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13" ht="25.5">
      <c r="A1" s="219" t="s">
        <v>177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</row>
    <row r="2" spans="1:13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533</v>
      </c>
      <c r="F2" s="32" t="s">
        <v>534</v>
      </c>
      <c r="G2" s="32" t="s">
        <v>535</v>
      </c>
      <c r="H2" s="32" t="s">
        <v>536</v>
      </c>
      <c r="I2" s="32" t="s">
        <v>537</v>
      </c>
      <c r="J2" s="32" t="s">
        <v>538</v>
      </c>
      <c r="K2" s="32" t="s">
        <v>539</v>
      </c>
      <c r="L2" s="32" t="s">
        <v>540</v>
      </c>
      <c r="M2" s="32" t="s">
        <v>25</v>
      </c>
    </row>
    <row r="3" spans="1:13">
      <c r="A3" s="33" t="s">
        <v>181</v>
      </c>
      <c r="B3" s="34" t="s">
        <v>182</v>
      </c>
      <c r="C3" s="34"/>
      <c r="D3" s="35" t="s">
        <v>183</v>
      </c>
      <c r="E3" s="36">
        <f>E4+E31+E52</f>
        <v>9649060</v>
      </c>
      <c r="F3" s="36">
        <f t="shared" ref="F3:L3" si="0">F4+F31+F52</f>
        <v>55404432.049999997</v>
      </c>
      <c r="G3" s="36">
        <f t="shared" si="0"/>
        <v>18890112.300000001</v>
      </c>
      <c r="H3" s="36">
        <f t="shared" si="0"/>
        <v>43636211</v>
      </c>
      <c r="I3" s="36">
        <f t="shared" si="0"/>
        <v>53867325.799999997</v>
      </c>
      <c r="J3" s="36">
        <f t="shared" si="0"/>
        <v>14435861.340000002</v>
      </c>
      <c r="K3" s="36">
        <f t="shared" si="0"/>
        <v>13389011.050000001</v>
      </c>
      <c r="L3" s="36">
        <f t="shared" si="0"/>
        <v>2584158</v>
      </c>
      <c r="M3" s="36">
        <f t="shared" ref="M3:M66" si="1">SUM(E3:L3)</f>
        <v>211856171.53999999</v>
      </c>
    </row>
    <row r="4" spans="1:13">
      <c r="A4" s="33" t="s">
        <v>184</v>
      </c>
      <c r="B4" s="34" t="s">
        <v>128</v>
      </c>
      <c r="C4" s="34"/>
      <c r="D4" s="35" t="s">
        <v>183</v>
      </c>
      <c r="E4" s="36">
        <f t="shared" ref="E4:L4" si="2">E5+E8+E13+E17+E20+E22+E25+E27+E29+E30</f>
        <v>8443425</v>
      </c>
      <c r="F4" s="36">
        <f t="shared" si="2"/>
        <v>47638358</v>
      </c>
      <c r="G4" s="36">
        <f t="shared" si="2"/>
        <v>16201346</v>
      </c>
      <c r="H4" s="36">
        <f t="shared" si="2"/>
        <v>38489626</v>
      </c>
      <c r="I4" s="36">
        <f t="shared" si="2"/>
        <v>46218899</v>
      </c>
      <c r="J4" s="36">
        <f t="shared" si="2"/>
        <v>12209162.200000001</v>
      </c>
      <c r="K4" s="36">
        <f t="shared" si="2"/>
        <v>11570419</v>
      </c>
      <c r="L4" s="36">
        <f t="shared" si="2"/>
        <v>2159018</v>
      </c>
      <c r="M4" s="36">
        <f t="shared" si="1"/>
        <v>182930253.19999999</v>
      </c>
    </row>
    <row r="5" spans="1:13">
      <c r="A5" s="33" t="s">
        <v>185</v>
      </c>
      <c r="B5" s="34" t="s">
        <v>186</v>
      </c>
      <c r="C5" s="34"/>
      <c r="D5" s="35" t="s">
        <v>183</v>
      </c>
      <c r="E5" s="36">
        <f>E6+E7</f>
        <v>1218756</v>
      </c>
      <c r="F5" s="36">
        <f t="shared" ref="F5:L5" si="3">F6+F7</f>
        <v>7112496</v>
      </c>
      <c r="G5" s="36">
        <f t="shared" si="3"/>
        <v>2136708</v>
      </c>
      <c r="H5" s="36">
        <f t="shared" si="3"/>
        <v>5676036</v>
      </c>
      <c r="I5" s="36">
        <f t="shared" si="3"/>
        <v>6531264</v>
      </c>
      <c r="J5" s="36">
        <f t="shared" si="3"/>
        <v>1607232</v>
      </c>
      <c r="K5" s="36">
        <f t="shared" si="3"/>
        <v>1461636</v>
      </c>
      <c r="L5" s="36">
        <f t="shared" si="3"/>
        <v>352656</v>
      </c>
      <c r="M5" s="36">
        <f t="shared" si="1"/>
        <v>26096784</v>
      </c>
    </row>
    <row r="6" spans="1:13">
      <c r="A6" s="33" t="s">
        <v>187</v>
      </c>
      <c r="B6" s="34" t="s">
        <v>188</v>
      </c>
      <c r="C6" s="34" t="s">
        <v>189</v>
      </c>
      <c r="D6" s="35" t="s">
        <v>190</v>
      </c>
      <c r="E6" s="37">
        <f>59344*12</f>
        <v>712128</v>
      </c>
      <c r="F6" s="37">
        <v>3883176</v>
      </c>
      <c r="G6" s="37">
        <v>1336536</v>
      </c>
      <c r="H6" s="37">
        <f>256179*12</f>
        <v>3074148</v>
      </c>
      <c r="I6" s="37">
        <v>3699000</v>
      </c>
      <c r="J6" s="37">
        <v>1017636</v>
      </c>
      <c r="K6" s="37">
        <v>940800</v>
      </c>
      <c r="L6" s="37">
        <v>171504</v>
      </c>
      <c r="M6" s="36">
        <f t="shared" si="1"/>
        <v>14834928</v>
      </c>
    </row>
    <row r="7" spans="1:13">
      <c r="A7" s="33" t="s">
        <v>191</v>
      </c>
      <c r="B7" s="34" t="s">
        <v>192</v>
      </c>
      <c r="C7" s="34" t="s">
        <v>189</v>
      </c>
      <c r="D7" s="35" t="s">
        <v>190</v>
      </c>
      <c r="E7" s="37">
        <f>42219*12</f>
        <v>506628</v>
      </c>
      <c r="F7" s="37">
        <v>3229320</v>
      </c>
      <c r="G7" s="37">
        <f>66681*12</f>
        <v>800172</v>
      </c>
      <c r="H7" s="37">
        <f>216824*12</f>
        <v>2601888</v>
      </c>
      <c r="I7" s="37">
        <v>2832264</v>
      </c>
      <c r="J7" s="37">
        <v>589596</v>
      </c>
      <c r="K7" s="37">
        <v>520836</v>
      </c>
      <c r="L7" s="37">
        <v>181152</v>
      </c>
      <c r="M7" s="36">
        <f t="shared" si="1"/>
        <v>11261856</v>
      </c>
    </row>
    <row r="8" spans="1:13">
      <c r="A8" s="33" t="s">
        <v>193</v>
      </c>
      <c r="B8" s="34" t="s">
        <v>194</v>
      </c>
      <c r="C8" s="34"/>
      <c r="D8" s="35" t="s">
        <v>183</v>
      </c>
      <c r="E8" s="36">
        <f>E9+E10</f>
        <v>157824</v>
      </c>
      <c r="F8" s="36">
        <f t="shared" ref="F8:L8" si="4">F9+F10</f>
        <v>815712</v>
      </c>
      <c r="G8" s="36">
        <f t="shared" si="4"/>
        <v>308448</v>
      </c>
      <c r="H8" s="36">
        <f t="shared" si="4"/>
        <v>663948</v>
      </c>
      <c r="I8" s="36">
        <f t="shared" si="4"/>
        <v>808812</v>
      </c>
      <c r="J8" s="36">
        <f t="shared" si="4"/>
        <v>241308</v>
      </c>
      <c r="K8" s="36">
        <f t="shared" si="4"/>
        <v>221748</v>
      </c>
      <c r="L8" s="36">
        <f t="shared" si="4"/>
        <v>38124</v>
      </c>
      <c r="M8" s="36">
        <f t="shared" si="1"/>
        <v>3255924</v>
      </c>
    </row>
    <row r="9" spans="1:13">
      <c r="A9" s="33" t="s">
        <v>195</v>
      </c>
      <c r="B9" s="34" t="s">
        <v>196</v>
      </c>
      <c r="C9" s="34" t="s">
        <v>189</v>
      </c>
      <c r="D9" s="35" t="s">
        <v>190</v>
      </c>
      <c r="E9" s="37">
        <f>218*12</f>
        <v>2616</v>
      </c>
      <c r="F9" s="37">
        <v>12912</v>
      </c>
      <c r="G9" s="37">
        <v>3384</v>
      </c>
      <c r="H9" s="37">
        <v>11004</v>
      </c>
      <c r="I9" s="37">
        <v>11364</v>
      </c>
      <c r="J9" s="37">
        <v>11172</v>
      </c>
      <c r="K9" s="37">
        <v>2316</v>
      </c>
      <c r="L9" s="37">
        <v>660</v>
      </c>
      <c r="M9" s="36">
        <f t="shared" si="1"/>
        <v>55428</v>
      </c>
    </row>
    <row r="10" spans="1:13">
      <c r="A10" s="33" t="s">
        <v>197</v>
      </c>
      <c r="B10" s="34" t="s">
        <v>198</v>
      </c>
      <c r="C10" s="34"/>
      <c r="D10" s="35" t="s">
        <v>183</v>
      </c>
      <c r="E10" s="36">
        <f>E11+E12</f>
        <v>155208</v>
      </c>
      <c r="F10" s="36">
        <f t="shared" ref="F10:L10" si="5">F11+F12</f>
        <v>802800</v>
      </c>
      <c r="G10" s="36">
        <f t="shared" si="5"/>
        <v>305064</v>
      </c>
      <c r="H10" s="36">
        <f t="shared" si="5"/>
        <v>652944</v>
      </c>
      <c r="I10" s="36">
        <f t="shared" si="5"/>
        <v>797448</v>
      </c>
      <c r="J10" s="36">
        <f t="shared" si="5"/>
        <v>230136</v>
      </c>
      <c r="K10" s="36">
        <f t="shared" si="5"/>
        <v>219432</v>
      </c>
      <c r="L10" s="36">
        <f t="shared" si="5"/>
        <v>37464</v>
      </c>
      <c r="M10" s="36">
        <f t="shared" si="1"/>
        <v>3200496</v>
      </c>
    </row>
    <row r="11" spans="1:13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2088</v>
      </c>
      <c r="F11" s="36">
        <f t="shared" ref="F11:L11" si="6">72*F96</f>
        <v>10800</v>
      </c>
      <c r="G11" s="36">
        <f t="shared" si="6"/>
        <v>4104</v>
      </c>
      <c r="H11" s="36">
        <f t="shared" si="6"/>
        <v>8784</v>
      </c>
      <c r="I11" s="36">
        <f t="shared" si="6"/>
        <v>10728</v>
      </c>
      <c r="J11" s="36">
        <f t="shared" si="6"/>
        <v>3096</v>
      </c>
      <c r="K11" s="36">
        <f t="shared" si="6"/>
        <v>2952</v>
      </c>
      <c r="L11" s="36">
        <f t="shared" si="6"/>
        <v>504</v>
      </c>
      <c r="M11" s="36">
        <f t="shared" si="1"/>
        <v>43056</v>
      </c>
    </row>
    <row r="12" spans="1:13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153120</v>
      </c>
      <c r="F12" s="36">
        <f t="shared" ref="F12:L12" si="7">440*12*F96</f>
        <v>792000</v>
      </c>
      <c r="G12" s="36">
        <f t="shared" si="7"/>
        <v>300960</v>
      </c>
      <c r="H12" s="36">
        <f t="shared" si="7"/>
        <v>644160</v>
      </c>
      <c r="I12" s="36">
        <f t="shared" si="7"/>
        <v>786720</v>
      </c>
      <c r="J12" s="36">
        <f t="shared" si="7"/>
        <v>227040</v>
      </c>
      <c r="K12" s="36">
        <f t="shared" si="7"/>
        <v>216480</v>
      </c>
      <c r="L12" s="36">
        <f t="shared" si="7"/>
        <v>36960</v>
      </c>
      <c r="M12" s="36">
        <f t="shared" si="1"/>
        <v>3157440</v>
      </c>
    </row>
    <row r="13" spans="1:13">
      <c r="A13" s="33" t="s">
        <v>203</v>
      </c>
      <c r="B13" s="34" t="s">
        <v>204</v>
      </c>
      <c r="C13" s="34"/>
      <c r="D13" s="35" t="s">
        <v>205</v>
      </c>
      <c r="E13" s="36">
        <f>E14+E15+E16</f>
        <v>129835</v>
      </c>
      <c r="F13" s="36">
        <f t="shared" ref="F13:L13" si="8">F14+F15+F16</f>
        <v>749000</v>
      </c>
      <c r="G13" s="36">
        <f t="shared" si="8"/>
        <v>248150</v>
      </c>
      <c r="H13" s="36">
        <f t="shared" si="8"/>
        <v>601400</v>
      </c>
      <c r="I13" s="36">
        <f t="shared" si="8"/>
        <v>714186</v>
      </c>
      <c r="J13" s="36">
        <f t="shared" si="8"/>
        <v>186313.80000000002</v>
      </c>
      <c r="K13" s="36">
        <f t="shared" si="8"/>
        <v>178085</v>
      </c>
      <c r="L13" s="36">
        <f t="shared" si="8"/>
        <v>35205</v>
      </c>
      <c r="M13" s="36">
        <f t="shared" si="1"/>
        <v>2842174.8</v>
      </c>
    </row>
    <row r="14" spans="1:13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77901</v>
      </c>
      <c r="F14" s="36">
        <f t="shared" ref="F14:L14" si="9">F16*3</f>
        <v>449400</v>
      </c>
      <c r="G14" s="36">
        <f t="shared" si="9"/>
        <v>148890</v>
      </c>
      <c r="H14" s="36">
        <f t="shared" si="9"/>
        <v>360840</v>
      </c>
      <c r="I14" s="36">
        <f t="shared" si="9"/>
        <v>428511.60000000003</v>
      </c>
      <c r="J14" s="36">
        <f t="shared" si="9"/>
        <v>111788.28</v>
      </c>
      <c r="K14" s="36">
        <f t="shared" si="9"/>
        <v>106851</v>
      </c>
      <c r="L14" s="36">
        <f t="shared" si="9"/>
        <v>21123</v>
      </c>
      <c r="M14" s="36">
        <f t="shared" si="1"/>
        <v>1705304.8800000001</v>
      </c>
    </row>
    <row r="15" spans="1:13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25967</v>
      </c>
      <c r="F15" s="36">
        <f t="shared" ref="F15:L15" si="10">F16</f>
        <v>149800</v>
      </c>
      <c r="G15" s="36">
        <f t="shared" si="10"/>
        <v>49630</v>
      </c>
      <c r="H15" s="36">
        <f t="shared" si="10"/>
        <v>120280</v>
      </c>
      <c r="I15" s="36">
        <f t="shared" si="10"/>
        <v>142837.20000000001</v>
      </c>
      <c r="J15" s="36">
        <f t="shared" si="10"/>
        <v>37262.76</v>
      </c>
      <c r="K15" s="36">
        <f t="shared" si="10"/>
        <v>35617</v>
      </c>
      <c r="L15" s="36">
        <f t="shared" si="10"/>
        <v>7041</v>
      </c>
      <c r="M15" s="36">
        <f t="shared" si="1"/>
        <v>568434.96</v>
      </c>
    </row>
    <row r="16" spans="1:13" s="40" customFormat="1">
      <c r="A16" s="33" t="s">
        <v>211</v>
      </c>
      <c r="B16" s="38" t="s">
        <v>541</v>
      </c>
      <c r="C16" s="38" t="s">
        <v>189</v>
      </c>
      <c r="D16" s="39" t="s">
        <v>208</v>
      </c>
      <c r="E16" s="37">
        <v>25967</v>
      </c>
      <c r="F16" s="37">
        <v>149800</v>
      </c>
      <c r="G16" s="37">
        <v>49630</v>
      </c>
      <c r="H16" s="37">
        <v>120280</v>
      </c>
      <c r="I16" s="37">
        <v>142837.20000000001</v>
      </c>
      <c r="J16" s="37">
        <v>37262.76</v>
      </c>
      <c r="K16" s="37">
        <v>35617</v>
      </c>
      <c r="L16" s="37">
        <v>7041</v>
      </c>
      <c r="M16" s="36">
        <f t="shared" si="1"/>
        <v>568434.96</v>
      </c>
    </row>
    <row r="17" spans="1:13">
      <c r="A17" s="33" t="s">
        <v>213</v>
      </c>
      <c r="B17" s="34" t="s">
        <v>214</v>
      </c>
      <c r="C17" s="34"/>
      <c r="D17" s="35" t="s">
        <v>183</v>
      </c>
      <c r="E17" s="36">
        <v>4321580</v>
      </c>
      <c r="F17" s="36">
        <v>24039150</v>
      </c>
      <c r="G17" s="36">
        <v>8494140</v>
      </c>
      <c r="H17" s="36">
        <v>19551842</v>
      </c>
      <c r="I17" s="36">
        <v>23878889</v>
      </c>
      <c r="J17" s="36">
        <v>6407860</v>
      </c>
      <c r="K17" s="36">
        <v>6109820</v>
      </c>
      <c r="L17" s="36">
        <v>1032143</v>
      </c>
      <c r="M17" s="36">
        <f t="shared" si="1"/>
        <v>93835424</v>
      </c>
    </row>
    <row r="18" spans="1:13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4179404</v>
      </c>
      <c r="F18" s="43">
        <f t="shared" ref="F18:L18" si="11">F17-F19</f>
        <v>23623374</v>
      </c>
      <c r="G18" s="43">
        <f t="shared" si="11"/>
        <v>8301684</v>
      </c>
      <c r="H18" s="43">
        <f t="shared" si="11"/>
        <v>19198906</v>
      </c>
      <c r="I18" s="43">
        <f t="shared" si="11"/>
        <v>23674809</v>
      </c>
      <c r="J18" s="43">
        <f t="shared" si="11"/>
        <v>6083188</v>
      </c>
      <c r="K18" s="43">
        <f t="shared" si="11"/>
        <v>5870136</v>
      </c>
      <c r="L18" s="43">
        <f t="shared" si="11"/>
        <v>1032143</v>
      </c>
      <c r="M18" s="36">
        <f t="shared" si="1"/>
        <v>91963644</v>
      </c>
    </row>
    <row r="19" spans="1:13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142176</v>
      </c>
      <c r="F19" s="43">
        <v>415776</v>
      </c>
      <c r="G19" s="43">
        <v>192456</v>
      </c>
      <c r="H19" s="43">
        <v>352936</v>
      </c>
      <c r="I19" s="43">
        <v>204080</v>
      </c>
      <c r="J19" s="43">
        <v>324672</v>
      </c>
      <c r="K19" s="43">
        <f>251934-12250</f>
        <v>239684</v>
      </c>
      <c r="L19" s="43"/>
      <c r="M19" s="36">
        <f t="shared" si="1"/>
        <v>1871780</v>
      </c>
    </row>
    <row r="20" spans="1:13">
      <c r="A20" s="33" t="s">
        <v>221</v>
      </c>
      <c r="B20" s="34" t="s">
        <v>222</v>
      </c>
      <c r="C20" s="34"/>
      <c r="D20" s="42" t="s">
        <v>183</v>
      </c>
      <c r="E20" s="45">
        <f>E21</f>
        <v>519340</v>
      </c>
      <c r="F20" s="45">
        <f t="shared" ref="F20:L20" si="12">F21</f>
        <v>2996000</v>
      </c>
      <c r="G20" s="45">
        <f t="shared" si="12"/>
        <v>992600</v>
      </c>
      <c r="H20" s="45">
        <f t="shared" si="12"/>
        <v>2405600</v>
      </c>
      <c r="I20" s="45">
        <f t="shared" si="12"/>
        <v>2856744</v>
      </c>
      <c r="J20" s="45">
        <f t="shared" si="12"/>
        <v>745255.20000000007</v>
      </c>
      <c r="K20" s="45">
        <f t="shared" si="12"/>
        <v>712340</v>
      </c>
      <c r="L20" s="45">
        <f t="shared" si="12"/>
        <v>140820</v>
      </c>
      <c r="M20" s="36">
        <f t="shared" si="1"/>
        <v>11368699.199999999</v>
      </c>
    </row>
    <row r="21" spans="1:13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519340</v>
      </c>
      <c r="F21" s="45">
        <f t="shared" ref="F21:L21" si="13">F16*20</f>
        <v>2996000</v>
      </c>
      <c r="G21" s="45">
        <f t="shared" si="13"/>
        <v>992600</v>
      </c>
      <c r="H21" s="45">
        <f t="shared" si="13"/>
        <v>2405600</v>
      </c>
      <c r="I21" s="45">
        <f t="shared" si="13"/>
        <v>2856744</v>
      </c>
      <c r="J21" s="45">
        <f t="shared" si="13"/>
        <v>745255.20000000007</v>
      </c>
      <c r="K21" s="45">
        <f t="shared" si="13"/>
        <v>712340</v>
      </c>
      <c r="L21" s="45">
        <f t="shared" si="13"/>
        <v>140820</v>
      </c>
      <c r="M21" s="36">
        <f t="shared" si="1"/>
        <v>11368699.199999999</v>
      </c>
    </row>
    <row r="22" spans="1:13">
      <c r="A22" s="33" t="s">
        <v>226</v>
      </c>
      <c r="B22" s="34" t="s">
        <v>227</v>
      </c>
      <c r="C22" s="34"/>
      <c r="D22" s="42" t="s">
        <v>208</v>
      </c>
      <c r="E22" s="45">
        <f>E23+E24</f>
        <v>207736</v>
      </c>
      <c r="F22" s="45">
        <f t="shared" ref="F22:L22" si="14">F23+F24</f>
        <v>1198400</v>
      </c>
      <c r="G22" s="45">
        <f t="shared" si="14"/>
        <v>397040</v>
      </c>
      <c r="H22" s="45">
        <f t="shared" si="14"/>
        <v>962240</v>
      </c>
      <c r="I22" s="45">
        <f t="shared" si="14"/>
        <v>1142697.6000000001</v>
      </c>
      <c r="J22" s="45">
        <f t="shared" si="14"/>
        <v>298102.08</v>
      </c>
      <c r="K22" s="45">
        <f t="shared" si="14"/>
        <v>284936</v>
      </c>
      <c r="L22" s="45">
        <f t="shared" si="14"/>
        <v>56328</v>
      </c>
      <c r="M22" s="36">
        <f t="shared" si="1"/>
        <v>4547479.68</v>
      </c>
    </row>
    <row r="23" spans="1:13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103868</v>
      </c>
      <c r="F23" s="45">
        <f t="shared" ref="F23:L23" si="15">F16*4</f>
        <v>599200</v>
      </c>
      <c r="G23" s="45">
        <f t="shared" si="15"/>
        <v>198520</v>
      </c>
      <c r="H23" s="45">
        <f t="shared" si="15"/>
        <v>481120</v>
      </c>
      <c r="I23" s="45">
        <f t="shared" si="15"/>
        <v>571348.80000000005</v>
      </c>
      <c r="J23" s="45">
        <f t="shared" si="15"/>
        <v>149051.04</v>
      </c>
      <c r="K23" s="45">
        <f t="shared" si="15"/>
        <v>142468</v>
      </c>
      <c r="L23" s="45">
        <f t="shared" si="15"/>
        <v>28164</v>
      </c>
      <c r="M23" s="36">
        <f t="shared" si="1"/>
        <v>2273739.84</v>
      </c>
    </row>
    <row r="24" spans="1:13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103868</v>
      </c>
      <c r="F24" s="45">
        <f t="shared" ref="F24:L24" si="16">F16*4</f>
        <v>599200</v>
      </c>
      <c r="G24" s="45">
        <f t="shared" si="16"/>
        <v>198520</v>
      </c>
      <c r="H24" s="45">
        <f t="shared" si="16"/>
        <v>481120</v>
      </c>
      <c r="I24" s="45">
        <f t="shared" si="16"/>
        <v>571348.80000000005</v>
      </c>
      <c r="J24" s="45">
        <f t="shared" si="16"/>
        <v>149051.04</v>
      </c>
      <c r="K24" s="45">
        <f t="shared" si="16"/>
        <v>142468</v>
      </c>
      <c r="L24" s="45">
        <f t="shared" si="16"/>
        <v>28164</v>
      </c>
      <c r="M24" s="36">
        <f t="shared" si="1"/>
        <v>2273739.84</v>
      </c>
    </row>
    <row r="25" spans="1:13">
      <c r="A25" s="33" t="s">
        <v>233</v>
      </c>
      <c r="B25" s="34" t="s">
        <v>234</v>
      </c>
      <c r="C25" s="34"/>
      <c r="D25" s="35" t="s">
        <v>183</v>
      </c>
      <c r="E25" s="36">
        <f>E26</f>
        <v>830944</v>
      </c>
      <c r="F25" s="36">
        <f t="shared" ref="F25:L25" si="17">F26</f>
        <v>4793600</v>
      </c>
      <c r="G25" s="36">
        <f t="shared" si="17"/>
        <v>1588160</v>
      </c>
      <c r="H25" s="36">
        <f t="shared" si="17"/>
        <v>3848960</v>
      </c>
      <c r="I25" s="36">
        <f t="shared" si="17"/>
        <v>4570790.4000000004</v>
      </c>
      <c r="J25" s="36">
        <f t="shared" si="17"/>
        <v>1192408.32</v>
      </c>
      <c r="K25" s="36">
        <f t="shared" si="17"/>
        <v>1139744</v>
      </c>
      <c r="L25" s="36">
        <f t="shared" si="17"/>
        <v>225312</v>
      </c>
      <c r="M25" s="36">
        <f t="shared" si="1"/>
        <v>18189918.719999999</v>
      </c>
    </row>
    <row r="26" spans="1:13" s="40" customFormat="1">
      <c r="A26" s="33" t="s">
        <v>235</v>
      </c>
      <c r="B26" s="38" t="s">
        <v>542</v>
      </c>
      <c r="C26" s="38" t="s">
        <v>237</v>
      </c>
      <c r="D26" s="39" t="s">
        <v>208</v>
      </c>
      <c r="E26" s="36">
        <f>E16*32</f>
        <v>830944</v>
      </c>
      <c r="F26" s="36">
        <f t="shared" ref="F26:L26" si="18">F16*32</f>
        <v>4793600</v>
      </c>
      <c r="G26" s="36">
        <f t="shared" si="18"/>
        <v>1588160</v>
      </c>
      <c r="H26" s="36">
        <f t="shared" si="18"/>
        <v>3848960</v>
      </c>
      <c r="I26" s="36">
        <f t="shared" si="18"/>
        <v>4570790.4000000004</v>
      </c>
      <c r="J26" s="36">
        <f t="shared" si="18"/>
        <v>1192408.32</v>
      </c>
      <c r="K26" s="36">
        <f t="shared" si="18"/>
        <v>1139744</v>
      </c>
      <c r="L26" s="36">
        <f t="shared" si="18"/>
        <v>225312</v>
      </c>
      <c r="M26" s="36">
        <f t="shared" si="1"/>
        <v>18189918.719999999</v>
      </c>
    </row>
    <row r="27" spans="1:13">
      <c r="A27" s="33" t="s">
        <v>238</v>
      </c>
      <c r="B27" s="34" t="s">
        <v>239</v>
      </c>
      <c r="C27" s="34"/>
      <c r="D27" s="35" t="s">
        <v>183</v>
      </c>
      <c r="E27" s="36">
        <f>E28</f>
        <v>415472</v>
      </c>
      <c r="F27" s="36">
        <f t="shared" ref="F27:L27" si="19">F28</f>
        <v>2396800</v>
      </c>
      <c r="G27" s="36">
        <f t="shared" si="19"/>
        <v>794080</v>
      </c>
      <c r="H27" s="36">
        <f t="shared" si="19"/>
        <v>1924480</v>
      </c>
      <c r="I27" s="36">
        <f t="shared" si="19"/>
        <v>2285395.2000000002</v>
      </c>
      <c r="J27" s="36">
        <f t="shared" si="19"/>
        <v>596204.16</v>
      </c>
      <c r="K27" s="36">
        <f t="shared" si="19"/>
        <v>569872</v>
      </c>
      <c r="L27" s="36">
        <f t="shared" si="19"/>
        <v>112656</v>
      </c>
      <c r="M27" s="36">
        <f t="shared" si="1"/>
        <v>9094959.3599999994</v>
      </c>
    </row>
    <row r="28" spans="1:13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415472</v>
      </c>
      <c r="F28" s="36">
        <f t="shared" ref="F28:L28" si="20">F16*16</f>
        <v>2396800</v>
      </c>
      <c r="G28" s="36">
        <f t="shared" si="20"/>
        <v>794080</v>
      </c>
      <c r="H28" s="36">
        <f t="shared" si="20"/>
        <v>1924480</v>
      </c>
      <c r="I28" s="36">
        <f t="shared" si="20"/>
        <v>2285395.2000000002</v>
      </c>
      <c r="J28" s="36">
        <f t="shared" si="20"/>
        <v>596204.16</v>
      </c>
      <c r="K28" s="36">
        <f t="shared" si="20"/>
        <v>569872</v>
      </c>
      <c r="L28" s="36">
        <f t="shared" si="20"/>
        <v>112656</v>
      </c>
      <c r="M28" s="36">
        <f t="shared" si="1"/>
        <v>9094959.3599999994</v>
      </c>
    </row>
    <row r="29" spans="1:13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278400</v>
      </c>
      <c r="F29" s="36">
        <f t="shared" ref="F29:L29" si="21">9600*F96</f>
        <v>1440000</v>
      </c>
      <c r="G29" s="36">
        <f t="shared" si="21"/>
        <v>547200</v>
      </c>
      <c r="H29" s="36">
        <f t="shared" si="21"/>
        <v>1171200</v>
      </c>
      <c r="I29" s="36">
        <f t="shared" si="21"/>
        <v>1430400</v>
      </c>
      <c r="J29" s="36">
        <f t="shared" si="21"/>
        <v>412800</v>
      </c>
      <c r="K29" s="36">
        <f t="shared" si="21"/>
        <v>393600</v>
      </c>
      <c r="L29" s="36">
        <f t="shared" si="21"/>
        <v>67200</v>
      </c>
      <c r="M29" s="36">
        <f t="shared" si="1"/>
        <v>5740800</v>
      </c>
    </row>
    <row r="30" spans="1:13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363538</v>
      </c>
      <c r="F30" s="45">
        <f t="shared" ref="F30:L30" si="22">F16*14</f>
        <v>2097200</v>
      </c>
      <c r="G30" s="45">
        <f t="shared" si="22"/>
        <v>694820</v>
      </c>
      <c r="H30" s="45">
        <f t="shared" si="22"/>
        <v>1683920</v>
      </c>
      <c r="I30" s="45">
        <f t="shared" si="22"/>
        <v>1999720.8000000003</v>
      </c>
      <c r="J30" s="45">
        <f t="shared" si="22"/>
        <v>521678.64</v>
      </c>
      <c r="K30" s="45">
        <f t="shared" si="22"/>
        <v>498638</v>
      </c>
      <c r="L30" s="45">
        <f t="shared" si="22"/>
        <v>98574</v>
      </c>
      <c r="M30" s="36">
        <f t="shared" si="1"/>
        <v>7958089.4400000004</v>
      </c>
    </row>
    <row r="31" spans="1:13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4440</v>
      </c>
      <c r="F31" s="36">
        <f t="shared" ref="F31:L31" si="23">F32+F40+F42+F45+F47</f>
        <v>19920</v>
      </c>
      <c r="G31" s="36">
        <f t="shared" si="23"/>
        <v>11070</v>
      </c>
      <c r="H31" s="36">
        <f t="shared" si="23"/>
        <v>12080</v>
      </c>
      <c r="I31" s="36">
        <f t="shared" si="23"/>
        <v>116008</v>
      </c>
      <c r="J31" s="36">
        <f t="shared" si="23"/>
        <v>7680</v>
      </c>
      <c r="K31" s="36">
        <f t="shared" si="23"/>
        <v>7560</v>
      </c>
      <c r="L31" s="36">
        <f t="shared" si="23"/>
        <v>1080</v>
      </c>
      <c r="M31" s="36">
        <f t="shared" si="1"/>
        <v>179838</v>
      </c>
    </row>
    <row r="32" spans="1:13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L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101248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1"/>
        <v>101248</v>
      </c>
    </row>
    <row r="33" spans="1:13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36">
        <f t="shared" si="1"/>
        <v>0</v>
      </c>
    </row>
    <row r="34" spans="1:13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>
        <v>2400</v>
      </c>
      <c r="J34" s="43"/>
      <c r="K34" s="43"/>
      <c r="L34" s="43"/>
      <c r="M34" s="36">
        <f t="shared" si="1"/>
        <v>2400</v>
      </c>
    </row>
    <row r="35" spans="1:13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36">
        <f t="shared" si="1"/>
        <v>0</v>
      </c>
    </row>
    <row r="36" spans="1:13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36">
        <f t="shared" si="1"/>
        <v>0</v>
      </c>
    </row>
    <row r="37" spans="1:13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36">
        <f t="shared" si="1"/>
        <v>0</v>
      </c>
    </row>
    <row r="38" spans="1:13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>
        <v>71848</v>
      </c>
      <c r="J38" s="43"/>
      <c r="K38" s="43"/>
      <c r="L38" s="43"/>
      <c r="M38" s="36">
        <f t="shared" si="1"/>
        <v>71848</v>
      </c>
    </row>
    <row r="39" spans="1:13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>
        <v>27000</v>
      </c>
      <c r="J39" s="43"/>
      <c r="K39" s="43"/>
      <c r="L39" s="43"/>
      <c r="M39" s="36">
        <f t="shared" si="1"/>
        <v>27000</v>
      </c>
    </row>
    <row r="40" spans="1:13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L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1"/>
        <v>0</v>
      </c>
    </row>
    <row r="41" spans="1:13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36">
        <f t="shared" si="1"/>
        <v>0</v>
      </c>
    </row>
    <row r="42" spans="1:13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L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1"/>
        <v>0</v>
      </c>
    </row>
    <row r="43" spans="1:13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36">
        <f t="shared" si="1"/>
        <v>0</v>
      </c>
    </row>
    <row r="44" spans="1:13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36">
        <f t="shared" si="1"/>
        <v>0</v>
      </c>
    </row>
    <row r="45" spans="1:13">
      <c r="A45" s="33" t="s">
        <v>280</v>
      </c>
      <c r="B45" s="34" t="s">
        <v>281</v>
      </c>
      <c r="C45" s="34"/>
      <c r="D45" s="35" t="s">
        <v>183</v>
      </c>
      <c r="E45" s="36">
        <f>E46</f>
        <v>3240</v>
      </c>
      <c r="F45" s="36">
        <f t="shared" ref="F45:L45" si="27">F46</f>
        <v>7920</v>
      </c>
      <c r="G45" s="36">
        <f t="shared" si="27"/>
        <v>6120</v>
      </c>
      <c r="H45" s="36">
        <f t="shared" si="27"/>
        <v>10080</v>
      </c>
      <c r="I45" s="36">
        <f t="shared" si="27"/>
        <v>7560</v>
      </c>
      <c r="J45" s="36">
        <f t="shared" si="27"/>
        <v>2880</v>
      </c>
      <c r="K45" s="36">
        <f t="shared" si="27"/>
        <v>3960</v>
      </c>
      <c r="L45" s="36">
        <f t="shared" si="27"/>
        <v>1080</v>
      </c>
      <c r="M45" s="36">
        <f t="shared" si="1"/>
        <v>42840</v>
      </c>
    </row>
    <row r="46" spans="1:13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f>270*12</f>
        <v>3240</v>
      </c>
      <c r="F46" s="37">
        <v>7920</v>
      </c>
      <c r="G46" s="37">
        <f>510*12</f>
        <v>6120</v>
      </c>
      <c r="H46" s="37">
        <v>10080</v>
      </c>
      <c r="I46" s="37">
        <v>7560</v>
      </c>
      <c r="J46" s="37">
        <v>2880</v>
      </c>
      <c r="K46" s="37">
        <v>3960</v>
      </c>
      <c r="L46" s="37">
        <v>1080</v>
      </c>
      <c r="M46" s="36">
        <f t="shared" si="1"/>
        <v>42840</v>
      </c>
    </row>
    <row r="47" spans="1:13">
      <c r="A47" s="33" t="s">
        <v>284</v>
      </c>
      <c r="B47" s="34" t="s">
        <v>285</v>
      </c>
      <c r="C47" s="34"/>
      <c r="D47" s="35" t="s">
        <v>183</v>
      </c>
      <c r="E47" s="36">
        <f>SUM(E48:E51)</f>
        <v>1200</v>
      </c>
      <c r="F47" s="36">
        <f t="shared" ref="F47:L47" si="28">SUM(F48:F51)</f>
        <v>12000</v>
      </c>
      <c r="G47" s="36">
        <f t="shared" si="28"/>
        <v>4950</v>
      </c>
      <c r="H47" s="36">
        <f t="shared" si="28"/>
        <v>2000</v>
      </c>
      <c r="I47" s="36">
        <f t="shared" si="28"/>
        <v>7200</v>
      </c>
      <c r="J47" s="36">
        <f t="shared" si="28"/>
        <v>4800</v>
      </c>
      <c r="K47" s="36">
        <f t="shared" si="28"/>
        <v>3600</v>
      </c>
      <c r="L47" s="36">
        <f t="shared" si="28"/>
        <v>0</v>
      </c>
      <c r="M47" s="36">
        <f t="shared" si="1"/>
        <v>35750</v>
      </c>
    </row>
    <row r="48" spans="1:13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f>50*2*12</f>
        <v>1200</v>
      </c>
      <c r="F48" s="37">
        <v>12000</v>
      </c>
      <c r="G48" s="37">
        <v>4950</v>
      </c>
      <c r="H48" s="37">
        <v>2000</v>
      </c>
      <c r="I48" s="37">
        <v>7200</v>
      </c>
      <c r="J48" s="37">
        <v>4800</v>
      </c>
      <c r="K48" s="37">
        <v>3600</v>
      </c>
      <c r="L48" s="37"/>
      <c r="M48" s="36">
        <f t="shared" si="1"/>
        <v>35750</v>
      </c>
    </row>
    <row r="49" spans="1:13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36">
        <f t="shared" si="1"/>
        <v>0</v>
      </c>
    </row>
    <row r="50" spans="1:13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36">
        <f t="shared" si="1"/>
        <v>0</v>
      </c>
    </row>
    <row r="51" spans="1:13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43"/>
      <c r="M51" s="36">
        <f t="shared" si="1"/>
        <v>0</v>
      </c>
    </row>
    <row r="52" spans="1:13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1201195</v>
      </c>
      <c r="F52" s="36">
        <f t="shared" ref="F52:L52" si="29">F53+F71+F73+F75+F77+F79+F81+F83+F85+F93</f>
        <v>7746154.0499999998</v>
      </c>
      <c r="G52" s="36">
        <f t="shared" si="29"/>
        <v>2677696.2999999998</v>
      </c>
      <c r="H52" s="36">
        <f t="shared" si="29"/>
        <v>5134505</v>
      </c>
      <c r="I52" s="36">
        <f t="shared" si="29"/>
        <v>7532418.7999999998</v>
      </c>
      <c r="J52" s="36">
        <f t="shared" si="29"/>
        <v>2219019.14</v>
      </c>
      <c r="K52" s="36">
        <f t="shared" si="29"/>
        <v>1811032.05</v>
      </c>
      <c r="L52" s="36">
        <f t="shared" si="29"/>
        <v>424060</v>
      </c>
      <c r="M52" s="36">
        <f t="shared" si="1"/>
        <v>28746080.340000004</v>
      </c>
    </row>
    <row r="53" spans="1:13">
      <c r="A53" s="33" t="s">
        <v>299</v>
      </c>
      <c r="B53" s="34" t="s">
        <v>300</v>
      </c>
      <c r="C53" s="34"/>
      <c r="D53" s="35" t="s">
        <v>301</v>
      </c>
      <c r="E53" s="36">
        <f>SUM(E54:E70)</f>
        <v>798000</v>
      </c>
      <c r="F53" s="107">
        <f t="shared" ref="F53:L53" si="30">SUM(F54:F70)</f>
        <v>5193190</v>
      </c>
      <c r="G53" s="97">
        <f t="shared" si="30"/>
        <v>1965740</v>
      </c>
      <c r="H53" s="107">
        <f t="shared" si="30"/>
        <v>3341520</v>
      </c>
      <c r="I53" s="107">
        <f t="shared" si="30"/>
        <v>5283100</v>
      </c>
      <c r="J53" s="107">
        <f t="shared" si="30"/>
        <v>1613460</v>
      </c>
      <c r="K53" s="97">
        <f t="shared" si="30"/>
        <v>1236900</v>
      </c>
      <c r="L53" s="97">
        <f t="shared" si="30"/>
        <v>224000</v>
      </c>
      <c r="M53" s="36">
        <f t="shared" si="1"/>
        <v>19655910</v>
      </c>
    </row>
    <row r="54" spans="1:13">
      <c r="A54" s="33" t="s">
        <v>302</v>
      </c>
      <c r="B54" s="34" t="s">
        <v>303</v>
      </c>
      <c r="C54" s="34" t="s">
        <v>189</v>
      </c>
      <c r="D54" s="47"/>
      <c r="E54" s="37">
        <f>310*300-20000+5100+1729</f>
        <v>79829</v>
      </c>
      <c r="F54" s="89">
        <v>726985.5</v>
      </c>
      <c r="G54" s="122">
        <v>253477</v>
      </c>
      <c r="H54" s="89">
        <v>604160</v>
      </c>
      <c r="I54" s="89">
        <v>747530</v>
      </c>
      <c r="J54" s="89">
        <v>334791</v>
      </c>
      <c r="K54" s="122">
        <v>285036</v>
      </c>
      <c r="L54" s="122">
        <v>185400</v>
      </c>
      <c r="M54" s="36">
        <f t="shared" si="1"/>
        <v>3217208.5</v>
      </c>
    </row>
    <row r="55" spans="1:13">
      <c r="A55" s="33" t="s">
        <v>304</v>
      </c>
      <c r="B55" s="34" t="s">
        <v>305</v>
      </c>
      <c r="C55" s="34" t="s">
        <v>189</v>
      </c>
      <c r="D55" s="47"/>
      <c r="E55" s="37">
        <f>30*300</f>
        <v>9000</v>
      </c>
      <c r="F55" s="37">
        <v>119140</v>
      </c>
      <c r="G55" s="122">
        <f>739*30</f>
        <v>22170</v>
      </c>
      <c r="H55" s="37">
        <f>80*554+50*638</f>
        <v>76220</v>
      </c>
      <c r="I55" s="37">
        <v>120320</v>
      </c>
      <c r="J55" s="37">
        <v>5000</v>
      </c>
      <c r="K55" s="122">
        <v>12240</v>
      </c>
      <c r="L55" s="122"/>
      <c r="M55" s="36">
        <f t="shared" si="1"/>
        <v>364090</v>
      </c>
    </row>
    <row r="56" spans="1:13">
      <c r="A56" s="33" t="s">
        <v>306</v>
      </c>
      <c r="B56" s="34" t="s">
        <v>307</v>
      </c>
      <c r="C56" s="34" t="s">
        <v>189</v>
      </c>
      <c r="D56" s="47"/>
      <c r="E56" s="37">
        <f>20*300</f>
        <v>6000</v>
      </c>
      <c r="F56" s="37">
        <v>37660</v>
      </c>
      <c r="G56" s="122"/>
      <c r="H56" s="37"/>
      <c r="I56" s="37"/>
      <c r="J56" s="37"/>
      <c r="K56" s="122">
        <v>8160</v>
      </c>
      <c r="L56" s="122"/>
      <c r="M56" s="36">
        <f t="shared" si="1"/>
        <v>51820</v>
      </c>
    </row>
    <row r="57" spans="1:13">
      <c r="A57" s="33" t="s">
        <v>308</v>
      </c>
      <c r="B57" s="34" t="s">
        <v>309</v>
      </c>
      <c r="C57" s="34" t="s">
        <v>189</v>
      </c>
      <c r="D57" s="47"/>
      <c r="E57" s="37">
        <f>100*300</f>
        <v>30000</v>
      </c>
      <c r="F57" s="37">
        <v>242620</v>
      </c>
      <c r="G57" s="122">
        <f>739*100</f>
        <v>73900</v>
      </c>
      <c r="H57" s="37">
        <f>140*554+120*638</f>
        <v>154120</v>
      </c>
      <c r="I57" s="37">
        <v>246180</v>
      </c>
      <c r="J57" s="37">
        <v>60000</v>
      </c>
      <c r="K57" s="122">
        <v>40800</v>
      </c>
      <c r="L57" s="122">
        <v>5000</v>
      </c>
      <c r="M57" s="36">
        <f t="shared" si="1"/>
        <v>852620</v>
      </c>
    </row>
    <row r="58" spans="1:13">
      <c r="A58" s="33" t="s">
        <v>310</v>
      </c>
      <c r="B58" s="34" t="s">
        <v>311</v>
      </c>
      <c r="C58" s="34" t="s">
        <v>189</v>
      </c>
      <c r="D58" s="47"/>
      <c r="E58" s="37">
        <f>250*300</f>
        <v>75000</v>
      </c>
      <c r="F58" s="37">
        <v>418250</v>
      </c>
      <c r="G58" s="122">
        <f>739*250</f>
        <v>184750</v>
      </c>
      <c r="H58" s="37">
        <f>250*554+200*638</f>
        <v>266100</v>
      </c>
      <c r="I58" s="37">
        <v>423950</v>
      </c>
      <c r="J58" s="37">
        <v>150000</v>
      </c>
      <c r="K58" s="122">
        <v>102000</v>
      </c>
      <c r="L58" s="122">
        <v>17400</v>
      </c>
      <c r="M58" s="36">
        <f t="shared" si="1"/>
        <v>1637450</v>
      </c>
    </row>
    <row r="59" spans="1:13">
      <c r="A59" s="33" t="s">
        <v>312</v>
      </c>
      <c r="B59" s="34" t="s">
        <v>313</v>
      </c>
      <c r="C59" s="34" t="s">
        <v>189</v>
      </c>
      <c r="D59" s="47"/>
      <c r="E59" s="37">
        <f>30*300</f>
        <v>9000</v>
      </c>
      <c r="F59" s="37">
        <v>102480</v>
      </c>
      <c r="G59" s="122">
        <f>739*30</f>
        <v>22170</v>
      </c>
      <c r="H59" s="37">
        <f>60*554+638*50</f>
        <v>65140</v>
      </c>
      <c r="I59" s="37">
        <v>103940</v>
      </c>
      <c r="J59" s="37">
        <v>18000</v>
      </c>
      <c r="K59" s="122">
        <v>12240</v>
      </c>
      <c r="L59" s="122">
        <v>5000</v>
      </c>
      <c r="M59" s="36">
        <f t="shared" si="1"/>
        <v>337970</v>
      </c>
    </row>
    <row r="60" spans="1:13">
      <c r="A60" s="33" t="s">
        <v>314</v>
      </c>
      <c r="B60" s="34" t="s">
        <v>315</v>
      </c>
      <c r="C60" s="34" t="s">
        <v>189</v>
      </c>
      <c r="D60" s="47"/>
      <c r="E60" s="37">
        <f>30*300</f>
        <v>9000</v>
      </c>
      <c r="F60" s="37">
        <v>83650</v>
      </c>
      <c r="G60" s="122">
        <f>739*30</f>
        <v>22170</v>
      </c>
      <c r="H60" s="37">
        <f>554*50+40*638</f>
        <v>53220</v>
      </c>
      <c r="I60" s="37">
        <v>84790</v>
      </c>
      <c r="J60" s="37">
        <v>18000</v>
      </c>
      <c r="K60" s="122">
        <v>12240</v>
      </c>
      <c r="L60" s="122"/>
      <c r="M60" s="36">
        <f t="shared" si="1"/>
        <v>283070</v>
      </c>
    </row>
    <row r="61" spans="1:13">
      <c r="A61" s="33" t="s">
        <v>316</v>
      </c>
      <c r="B61" s="34" t="s">
        <v>317</v>
      </c>
      <c r="C61" s="34" t="s">
        <v>189</v>
      </c>
      <c r="D61" s="47"/>
      <c r="E61" s="37">
        <f>450*300</f>
        <v>135000</v>
      </c>
      <c r="F61" s="37">
        <v>847350</v>
      </c>
      <c r="G61" s="122">
        <f>739*450</f>
        <v>332550</v>
      </c>
      <c r="H61" s="37">
        <f>450*1192</f>
        <v>536400</v>
      </c>
      <c r="I61" s="37">
        <v>861750</v>
      </c>
      <c r="J61" s="37">
        <v>270000</v>
      </c>
      <c r="K61" s="122">
        <v>183600</v>
      </c>
      <c r="L61" s="122"/>
      <c r="M61" s="36">
        <f t="shared" si="1"/>
        <v>3166650</v>
      </c>
    </row>
    <row r="62" spans="1:13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122"/>
      <c r="H62" s="37"/>
      <c r="I62" s="37"/>
      <c r="J62" s="37"/>
      <c r="K62" s="122"/>
      <c r="L62" s="122"/>
      <c r="M62" s="36">
        <f t="shared" si="1"/>
        <v>0</v>
      </c>
    </row>
    <row r="63" spans="1:13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f>39900-1729</f>
        <v>38171</v>
      </c>
      <c r="F63" s="89">
        <v>259659.5</v>
      </c>
      <c r="G63" s="122">
        <f>1965740*5%</f>
        <v>98287</v>
      </c>
      <c r="H63" s="89">
        <v>167076</v>
      </c>
      <c r="I63" s="89">
        <v>264155</v>
      </c>
      <c r="J63" s="89">
        <v>55669</v>
      </c>
      <c r="K63" s="122">
        <v>54264</v>
      </c>
      <c r="L63" s="122">
        <v>11200</v>
      </c>
      <c r="M63" s="36">
        <f t="shared" si="1"/>
        <v>948481.5</v>
      </c>
    </row>
    <row r="64" spans="1:13">
      <c r="A64" s="33" t="s">
        <v>324</v>
      </c>
      <c r="B64" s="34" t="s">
        <v>325</v>
      </c>
      <c r="C64" s="34" t="s">
        <v>189</v>
      </c>
      <c r="D64" s="47"/>
      <c r="E64" s="37">
        <f>24*300</f>
        <v>7200</v>
      </c>
      <c r="F64" s="37">
        <v>48524</v>
      </c>
      <c r="G64" s="122">
        <f>739*24</f>
        <v>17736</v>
      </c>
      <c r="H64" s="37">
        <f>554*28+24*638</f>
        <v>30824</v>
      </c>
      <c r="I64" s="37">
        <v>49236</v>
      </c>
      <c r="J64" s="37">
        <v>14400</v>
      </c>
      <c r="K64" s="122">
        <v>9792</v>
      </c>
      <c r="L64" s="122"/>
      <c r="M64" s="36">
        <f t="shared" si="1"/>
        <v>177712</v>
      </c>
    </row>
    <row r="65" spans="1:13">
      <c r="A65" s="33" t="s">
        <v>326</v>
      </c>
      <c r="B65" s="34" t="s">
        <v>327</v>
      </c>
      <c r="C65" s="34" t="s">
        <v>189</v>
      </c>
      <c r="D65" s="47"/>
      <c r="E65" s="37">
        <f>250*300</f>
        <v>75000</v>
      </c>
      <c r="F65" s="37">
        <v>376600</v>
      </c>
      <c r="G65" s="37">
        <f>739*250</f>
        <v>184750</v>
      </c>
      <c r="H65" s="37">
        <f>200*1192</f>
        <v>238400</v>
      </c>
      <c r="I65" s="37">
        <v>383000</v>
      </c>
      <c r="J65" s="37">
        <v>150000</v>
      </c>
      <c r="K65" s="37">
        <v>102000</v>
      </c>
      <c r="L65" s="122"/>
      <c r="M65" s="36">
        <f t="shared" si="1"/>
        <v>1509750</v>
      </c>
    </row>
    <row r="66" spans="1:13">
      <c r="A66" s="33" t="s">
        <v>328</v>
      </c>
      <c r="B66" s="34" t="s">
        <v>329</v>
      </c>
      <c r="C66" s="34" t="s">
        <v>189</v>
      </c>
      <c r="D66" s="47"/>
      <c r="E66" s="37">
        <f>100*300</f>
        <v>30000</v>
      </c>
      <c r="F66" s="37">
        <v>94150</v>
      </c>
      <c r="G66" s="37">
        <f>739*100</f>
        <v>73900</v>
      </c>
      <c r="H66" s="37">
        <f>50*1192</f>
        <v>59600</v>
      </c>
      <c r="I66" s="37">
        <v>95750</v>
      </c>
      <c r="J66" s="37">
        <v>60000</v>
      </c>
      <c r="K66" s="37">
        <v>40800</v>
      </c>
      <c r="L66" s="37"/>
      <c r="M66" s="36">
        <f t="shared" si="1"/>
        <v>454200</v>
      </c>
    </row>
    <row r="67" spans="1:13">
      <c r="A67" s="33" t="s">
        <v>330</v>
      </c>
      <c r="B67" s="34" t="s">
        <v>331</v>
      </c>
      <c r="C67" s="34" t="s">
        <v>189</v>
      </c>
      <c r="D67" s="47"/>
      <c r="E67" s="37">
        <v>20000</v>
      </c>
      <c r="F67" s="37"/>
      <c r="G67" s="37">
        <f>739*100</f>
        <v>73900</v>
      </c>
      <c r="H67" s="37">
        <f>1192*50</f>
        <v>59600</v>
      </c>
      <c r="I67" s="37">
        <v>38300</v>
      </c>
      <c r="J67" s="37">
        <v>20000</v>
      </c>
      <c r="K67" s="37"/>
      <c r="L67" s="37"/>
      <c r="M67" s="36">
        <f t="shared" ref="M67:M109" si="31">SUM(E67:L67)</f>
        <v>211800</v>
      </c>
    </row>
    <row r="68" spans="1:13">
      <c r="A68" s="33" t="s">
        <v>332</v>
      </c>
      <c r="B68" s="34" t="s">
        <v>333</v>
      </c>
      <c r="C68" s="34" t="s">
        <v>189</v>
      </c>
      <c r="D68" s="47"/>
      <c r="E68" s="37">
        <f>490*300-24*300</f>
        <v>139800</v>
      </c>
      <c r="F68" s="37">
        <v>988771</v>
      </c>
      <c r="G68" s="37">
        <f>739*370</f>
        <v>273430</v>
      </c>
      <c r="H68" s="37">
        <f>554*420+410*638</f>
        <v>494260</v>
      </c>
      <c r="I68" s="37">
        <v>1002449</v>
      </c>
      <c r="J68" s="37">
        <v>217600</v>
      </c>
      <c r="K68" s="37">
        <v>190128</v>
      </c>
      <c r="L68" s="37"/>
      <c r="M68" s="36">
        <f t="shared" si="31"/>
        <v>3306438</v>
      </c>
    </row>
    <row r="69" spans="1:13">
      <c r="A69" s="33" t="s">
        <v>334</v>
      </c>
      <c r="B69" s="34" t="s">
        <v>335</v>
      </c>
      <c r="C69" s="34" t="s">
        <v>189</v>
      </c>
      <c r="D69" s="47"/>
      <c r="E69" s="37">
        <f>450*300</f>
        <v>135000</v>
      </c>
      <c r="F69" s="37">
        <v>500000</v>
      </c>
      <c r="G69" s="37">
        <f>739*450</f>
        <v>332550</v>
      </c>
      <c r="H69" s="37">
        <f>1192*450</f>
        <v>536400</v>
      </c>
      <c r="I69" s="37">
        <v>430875</v>
      </c>
      <c r="J69" s="37">
        <v>120000</v>
      </c>
      <c r="K69" s="37">
        <v>81600</v>
      </c>
      <c r="L69" s="37"/>
      <c r="M69" s="36">
        <f t="shared" si="31"/>
        <v>2136425</v>
      </c>
    </row>
    <row r="70" spans="1:13">
      <c r="A70" s="33" t="s">
        <v>336</v>
      </c>
      <c r="B70" s="34" t="s">
        <v>337</v>
      </c>
      <c r="C70" s="34" t="s">
        <v>189</v>
      </c>
      <c r="D70" s="47"/>
      <c r="E70" s="37"/>
      <c r="F70" s="37">
        <v>347350</v>
      </c>
      <c r="G70" s="37"/>
      <c r="H70" s="37"/>
      <c r="I70" s="37">
        <v>430875</v>
      </c>
      <c r="J70" s="37">
        <v>120000</v>
      </c>
      <c r="K70" s="37">
        <v>102000</v>
      </c>
      <c r="L70" s="37"/>
      <c r="M70" s="36">
        <f t="shared" si="31"/>
        <v>1000225</v>
      </c>
    </row>
    <row r="71" spans="1:13">
      <c r="A71" s="33" t="s">
        <v>338</v>
      </c>
      <c r="B71" s="34" t="s">
        <v>339</v>
      </c>
      <c r="C71" s="34"/>
      <c r="D71" s="35"/>
      <c r="E71" s="36">
        <f>E72</f>
        <v>11600</v>
      </c>
      <c r="F71" s="36">
        <f t="shared" ref="F71:L71" si="32">F72</f>
        <v>60000</v>
      </c>
      <c r="G71" s="36">
        <f t="shared" si="32"/>
        <v>22800</v>
      </c>
      <c r="H71" s="36">
        <f t="shared" si="32"/>
        <v>48800</v>
      </c>
      <c r="I71" s="36">
        <f t="shared" si="32"/>
        <v>59600</v>
      </c>
      <c r="J71" s="36">
        <f t="shared" si="32"/>
        <v>17200</v>
      </c>
      <c r="K71" s="36">
        <f t="shared" si="32"/>
        <v>16400</v>
      </c>
      <c r="L71" s="36">
        <f t="shared" si="32"/>
        <v>2800</v>
      </c>
      <c r="M71" s="36">
        <f t="shared" si="31"/>
        <v>239200</v>
      </c>
    </row>
    <row r="72" spans="1:13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11600</v>
      </c>
      <c r="F72" s="36">
        <f t="shared" ref="F72:L72" si="33">F96*400</f>
        <v>60000</v>
      </c>
      <c r="G72" s="36">
        <f t="shared" si="33"/>
        <v>22800</v>
      </c>
      <c r="H72" s="36">
        <f t="shared" si="33"/>
        <v>48800</v>
      </c>
      <c r="I72" s="36">
        <f t="shared" si="33"/>
        <v>59600</v>
      </c>
      <c r="J72" s="36">
        <f t="shared" si="33"/>
        <v>17200</v>
      </c>
      <c r="K72" s="36">
        <f t="shared" si="33"/>
        <v>16400</v>
      </c>
      <c r="L72" s="36">
        <f t="shared" si="33"/>
        <v>2800</v>
      </c>
      <c r="M72" s="36">
        <f t="shared" si="31"/>
        <v>239200</v>
      </c>
    </row>
    <row r="73" spans="1:13">
      <c r="A73" s="33" t="s">
        <v>343</v>
      </c>
      <c r="B73" s="34" t="s">
        <v>344</v>
      </c>
      <c r="C73" s="34"/>
      <c r="D73" s="35" t="s">
        <v>183</v>
      </c>
      <c r="E73" s="36">
        <f>E74</f>
        <v>64068.6</v>
      </c>
      <c r="F73" s="36">
        <f t="shared" ref="F73:L73" si="34">F74</f>
        <v>281524.05</v>
      </c>
      <c r="G73" s="36">
        <f t="shared" si="34"/>
        <v>117936.3</v>
      </c>
      <c r="H73" s="36">
        <f t="shared" si="34"/>
        <v>211545</v>
      </c>
      <c r="I73" s="36">
        <f t="shared" si="34"/>
        <v>247410</v>
      </c>
      <c r="J73" s="36">
        <f t="shared" si="34"/>
        <v>162034.5</v>
      </c>
      <c r="K73" s="36">
        <f t="shared" si="34"/>
        <v>97744.05</v>
      </c>
      <c r="L73" s="36">
        <f t="shared" si="34"/>
        <v>33240</v>
      </c>
      <c r="M73" s="36">
        <f t="shared" si="31"/>
        <v>1215502.5</v>
      </c>
    </row>
    <row r="74" spans="1:13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64068.6</v>
      </c>
      <c r="F74" s="36">
        <f t="shared" ref="F74:L74" si="35">F108*15</f>
        <v>281524.05</v>
      </c>
      <c r="G74" s="36">
        <f t="shared" si="35"/>
        <v>117936.3</v>
      </c>
      <c r="H74" s="36">
        <f t="shared" si="35"/>
        <v>211545</v>
      </c>
      <c r="I74" s="36">
        <f t="shared" si="35"/>
        <v>247410</v>
      </c>
      <c r="J74" s="36">
        <f t="shared" si="35"/>
        <v>162034.5</v>
      </c>
      <c r="K74" s="36">
        <f t="shared" si="35"/>
        <v>97744.05</v>
      </c>
      <c r="L74" s="36">
        <f t="shared" si="35"/>
        <v>33240</v>
      </c>
      <c r="M74" s="36">
        <f t="shared" si="31"/>
        <v>1215502.5</v>
      </c>
    </row>
    <row r="75" spans="1:13">
      <c r="A75" s="33" t="s">
        <v>348</v>
      </c>
      <c r="B75" s="34" t="s">
        <v>349</v>
      </c>
      <c r="C75" s="34"/>
      <c r="D75" s="35" t="s">
        <v>183</v>
      </c>
      <c r="E75" s="36">
        <f>E76</f>
        <v>23898.400000000001</v>
      </c>
      <c r="F75" s="36">
        <f t="shared" ref="F75:L75" si="36">F76</f>
        <v>144000</v>
      </c>
      <c r="G75" s="36">
        <f t="shared" si="36"/>
        <v>33100</v>
      </c>
      <c r="H75" s="36">
        <f t="shared" si="36"/>
        <v>96000</v>
      </c>
      <c r="I75" s="36">
        <f t="shared" si="36"/>
        <v>78400</v>
      </c>
      <c r="J75" s="36">
        <f t="shared" si="36"/>
        <v>50073.599999999999</v>
      </c>
      <c r="K75" s="36">
        <f t="shared" si="36"/>
        <v>37600</v>
      </c>
      <c r="L75" s="36">
        <f t="shared" si="36"/>
        <v>50016</v>
      </c>
      <c r="M75" s="36">
        <f t="shared" si="31"/>
        <v>513088</v>
      </c>
    </row>
    <row r="76" spans="1:13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23898.400000000001</v>
      </c>
      <c r="F76" s="36">
        <f t="shared" ref="F76:L76" si="37">F109*8</f>
        <v>144000</v>
      </c>
      <c r="G76" s="36">
        <f t="shared" si="37"/>
        <v>33100</v>
      </c>
      <c r="H76" s="36">
        <f t="shared" si="37"/>
        <v>96000</v>
      </c>
      <c r="I76" s="36">
        <f t="shared" si="37"/>
        <v>78400</v>
      </c>
      <c r="J76" s="36">
        <f t="shared" si="37"/>
        <v>50073.599999999999</v>
      </c>
      <c r="K76" s="36">
        <f t="shared" si="37"/>
        <v>37600</v>
      </c>
      <c r="L76" s="36">
        <f t="shared" si="37"/>
        <v>50016</v>
      </c>
      <c r="M76" s="36">
        <f t="shared" si="31"/>
        <v>513088</v>
      </c>
    </row>
    <row r="77" spans="1:13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L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1"/>
        <v>0</v>
      </c>
    </row>
    <row r="78" spans="1:13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36">
        <f t="shared" si="31"/>
        <v>0</v>
      </c>
    </row>
    <row r="79" spans="1:13">
      <c r="A79" s="33" t="s">
        <v>357</v>
      </c>
      <c r="B79" s="34" t="s">
        <v>358</v>
      </c>
      <c r="C79" s="34"/>
      <c r="D79" s="35" t="s">
        <v>183</v>
      </c>
      <c r="E79" s="36">
        <f>E80</f>
        <v>125280</v>
      </c>
      <c r="F79" s="36">
        <f t="shared" ref="F79:L79" si="39">F80</f>
        <v>648000</v>
      </c>
      <c r="G79" s="36">
        <f t="shared" si="39"/>
        <v>246240</v>
      </c>
      <c r="H79" s="36">
        <f t="shared" si="39"/>
        <v>527040</v>
      </c>
      <c r="I79" s="36">
        <f t="shared" si="39"/>
        <v>643680</v>
      </c>
      <c r="J79" s="36">
        <f t="shared" si="39"/>
        <v>185760</v>
      </c>
      <c r="K79" s="36">
        <f t="shared" si="39"/>
        <v>177120</v>
      </c>
      <c r="L79" s="36">
        <f t="shared" si="39"/>
        <v>30240</v>
      </c>
      <c r="M79" s="36">
        <f t="shared" si="31"/>
        <v>2583360</v>
      </c>
    </row>
    <row r="80" spans="1:13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125280</v>
      </c>
      <c r="F80" s="36">
        <f t="shared" ref="F80:L80" si="40">F96*4320</f>
        <v>648000</v>
      </c>
      <c r="G80" s="36">
        <f t="shared" si="40"/>
        <v>246240</v>
      </c>
      <c r="H80" s="36">
        <f t="shared" si="40"/>
        <v>527040</v>
      </c>
      <c r="I80" s="36">
        <f t="shared" si="40"/>
        <v>643680</v>
      </c>
      <c r="J80" s="36">
        <f t="shared" si="40"/>
        <v>185760</v>
      </c>
      <c r="K80" s="36">
        <f t="shared" si="40"/>
        <v>177120</v>
      </c>
      <c r="L80" s="36">
        <f t="shared" si="40"/>
        <v>30240</v>
      </c>
      <c r="M80" s="36">
        <f t="shared" si="31"/>
        <v>2583360</v>
      </c>
    </row>
    <row r="81" spans="1:13">
      <c r="A81" s="33" t="s">
        <v>362</v>
      </c>
      <c r="B81" s="34" t="s">
        <v>363</v>
      </c>
      <c r="C81" s="34"/>
      <c r="D81" s="35" t="s">
        <v>183</v>
      </c>
      <c r="E81" s="36">
        <f>E82</f>
        <v>103868</v>
      </c>
      <c r="F81" s="36">
        <f t="shared" ref="F81:L81" si="41">F82</f>
        <v>599200</v>
      </c>
      <c r="G81" s="36">
        <f t="shared" si="41"/>
        <v>198520</v>
      </c>
      <c r="H81" s="36">
        <f t="shared" si="41"/>
        <v>481120</v>
      </c>
      <c r="I81" s="36">
        <f t="shared" si="41"/>
        <v>571348.80000000005</v>
      </c>
      <c r="J81" s="36">
        <f t="shared" si="41"/>
        <v>149051.04</v>
      </c>
      <c r="K81" s="36">
        <f t="shared" si="41"/>
        <v>142468</v>
      </c>
      <c r="L81" s="36">
        <f t="shared" si="41"/>
        <v>28164</v>
      </c>
      <c r="M81" s="36">
        <f t="shared" si="31"/>
        <v>2273739.84</v>
      </c>
    </row>
    <row r="82" spans="1:13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103868</v>
      </c>
      <c r="F82" s="36">
        <f t="shared" ref="F82:L82" si="42">F16*4</f>
        <v>599200</v>
      </c>
      <c r="G82" s="36">
        <f t="shared" si="42"/>
        <v>198520</v>
      </c>
      <c r="H82" s="36">
        <f t="shared" si="42"/>
        <v>481120</v>
      </c>
      <c r="I82" s="36">
        <f t="shared" si="42"/>
        <v>571348.80000000005</v>
      </c>
      <c r="J82" s="36">
        <f t="shared" si="42"/>
        <v>149051.04</v>
      </c>
      <c r="K82" s="36">
        <f t="shared" si="42"/>
        <v>142468</v>
      </c>
      <c r="L82" s="36">
        <f t="shared" si="42"/>
        <v>28164</v>
      </c>
      <c r="M82" s="36">
        <f t="shared" si="31"/>
        <v>2273739.84</v>
      </c>
    </row>
    <row r="83" spans="1:13">
      <c r="A83" s="33" t="s">
        <v>366</v>
      </c>
      <c r="B83" s="34" t="s">
        <v>367</v>
      </c>
      <c r="C83" s="34"/>
      <c r="D83" s="35" t="s">
        <v>183</v>
      </c>
      <c r="E83" s="36">
        <f>E84</f>
        <v>0</v>
      </c>
      <c r="F83" s="36">
        <f t="shared" ref="F83:L83" si="43">F84</f>
        <v>32000</v>
      </c>
      <c r="G83" s="36">
        <f t="shared" si="43"/>
        <v>0</v>
      </c>
      <c r="H83" s="36">
        <f t="shared" si="43"/>
        <v>32000</v>
      </c>
      <c r="I83" s="36">
        <f t="shared" si="43"/>
        <v>64000</v>
      </c>
      <c r="J83" s="36">
        <f t="shared" si="43"/>
        <v>0</v>
      </c>
      <c r="K83" s="36">
        <f t="shared" si="43"/>
        <v>0</v>
      </c>
      <c r="L83" s="36">
        <f t="shared" si="43"/>
        <v>0</v>
      </c>
      <c r="M83" s="36">
        <f t="shared" si="31"/>
        <v>128000</v>
      </c>
    </row>
    <row r="84" spans="1:13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/>
      <c r="F84" s="37">
        <v>32000</v>
      </c>
      <c r="G84" s="37"/>
      <c r="H84" s="37">
        <v>32000</v>
      </c>
      <c r="I84" s="37">
        <v>64000</v>
      </c>
      <c r="J84" s="37"/>
      <c r="K84" s="37"/>
      <c r="L84" s="37"/>
      <c r="M84" s="36">
        <f t="shared" si="31"/>
        <v>128000</v>
      </c>
    </row>
    <row r="85" spans="1:13">
      <c r="A85" s="33" t="s">
        <v>371</v>
      </c>
      <c r="B85" s="34" t="s">
        <v>372</v>
      </c>
      <c r="C85" s="34"/>
      <c r="D85" s="35" t="s">
        <v>183</v>
      </c>
      <c r="E85" s="36">
        <f>E86+E89+E92</f>
        <v>42480</v>
      </c>
      <c r="F85" s="36">
        <f t="shared" ref="F85:L85" si="44">F86+F89+F92</f>
        <v>788240</v>
      </c>
      <c r="G85" s="36">
        <f t="shared" si="44"/>
        <v>61360</v>
      </c>
      <c r="H85" s="36">
        <f t="shared" si="44"/>
        <v>396480</v>
      </c>
      <c r="I85" s="36">
        <f t="shared" si="44"/>
        <v>584880</v>
      </c>
      <c r="J85" s="36">
        <f t="shared" si="44"/>
        <v>9440</v>
      </c>
      <c r="K85" s="36">
        <f t="shared" si="44"/>
        <v>70800</v>
      </c>
      <c r="L85" s="36">
        <f t="shared" si="44"/>
        <v>23600</v>
      </c>
      <c r="M85" s="36">
        <f t="shared" si="31"/>
        <v>1977280</v>
      </c>
    </row>
    <row r="86" spans="1:13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L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4320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31"/>
        <v>4320</v>
      </c>
    </row>
    <row r="87" spans="1:13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36">
        <f t="shared" si="31"/>
        <v>0</v>
      </c>
    </row>
    <row r="88" spans="1:13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>
        <v>4320</v>
      </c>
      <c r="J88" s="43"/>
      <c r="K88" s="43"/>
      <c r="L88" s="43"/>
      <c r="M88" s="36">
        <f t="shared" si="31"/>
        <v>4320</v>
      </c>
    </row>
    <row r="89" spans="1:13">
      <c r="A89" s="33" t="s">
        <v>380</v>
      </c>
      <c r="B89" s="34" t="s">
        <v>381</v>
      </c>
      <c r="C89" s="34"/>
      <c r="D89" s="35" t="s">
        <v>183</v>
      </c>
      <c r="E89" s="36">
        <f>E90+E91</f>
        <v>42480</v>
      </c>
      <c r="F89" s="36">
        <f t="shared" ref="F89:L89" si="46">F90+F91</f>
        <v>788240</v>
      </c>
      <c r="G89" s="36">
        <f t="shared" si="46"/>
        <v>61360</v>
      </c>
      <c r="H89" s="36">
        <f t="shared" si="46"/>
        <v>396480</v>
      </c>
      <c r="I89" s="36">
        <f t="shared" si="46"/>
        <v>580560</v>
      </c>
      <c r="J89" s="36">
        <f t="shared" si="46"/>
        <v>9440</v>
      </c>
      <c r="K89" s="36">
        <f t="shared" si="46"/>
        <v>70800</v>
      </c>
      <c r="L89" s="36">
        <f t="shared" si="46"/>
        <v>23600</v>
      </c>
      <c r="M89" s="36">
        <f t="shared" si="31"/>
        <v>1972960</v>
      </c>
    </row>
    <row r="90" spans="1:13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3600</v>
      </c>
      <c r="F90" s="36">
        <f t="shared" ref="F90:L90" si="47">F107*400</f>
        <v>66800</v>
      </c>
      <c r="G90" s="36">
        <f t="shared" si="47"/>
        <v>5200</v>
      </c>
      <c r="H90" s="36">
        <f t="shared" si="47"/>
        <v>33600</v>
      </c>
      <c r="I90" s="36">
        <f t="shared" si="47"/>
        <v>49200</v>
      </c>
      <c r="J90" s="36">
        <f t="shared" si="47"/>
        <v>800</v>
      </c>
      <c r="K90" s="36">
        <f t="shared" si="47"/>
        <v>6000</v>
      </c>
      <c r="L90" s="36">
        <f t="shared" si="47"/>
        <v>2000</v>
      </c>
      <c r="M90" s="36">
        <f t="shared" si="31"/>
        <v>167200</v>
      </c>
    </row>
    <row r="91" spans="1:13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38880</v>
      </c>
      <c r="F91" s="36">
        <f t="shared" ref="F91:L91" si="48">F107*4320</f>
        <v>721440</v>
      </c>
      <c r="G91" s="36">
        <f t="shared" si="48"/>
        <v>56160</v>
      </c>
      <c r="H91" s="36">
        <f t="shared" si="48"/>
        <v>362880</v>
      </c>
      <c r="I91" s="36">
        <f t="shared" si="48"/>
        <v>531360</v>
      </c>
      <c r="J91" s="36">
        <f t="shared" si="48"/>
        <v>8640</v>
      </c>
      <c r="K91" s="36">
        <f t="shared" si="48"/>
        <v>64800</v>
      </c>
      <c r="L91" s="36">
        <f t="shared" si="48"/>
        <v>21600</v>
      </c>
      <c r="M91" s="36">
        <f t="shared" si="31"/>
        <v>1805760</v>
      </c>
    </row>
    <row r="92" spans="1:13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36">
        <f t="shared" si="31"/>
        <v>0</v>
      </c>
    </row>
    <row r="93" spans="1:13">
      <c r="A93" s="33" t="s">
        <v>390</v>
      </c>
      <c r="B93" s="34" t="s">
        <v>391</v>
      </c>
      <c r="C93" s="34"/>
      <c r="D93" s="35" t="s">
        <v>183</v>
      </c>
      <c r="E93" s="36">
        <f>E94</f>
        <v>32000</v>
      </c>
      <c r="F93" s="36">
        <f t="shared" ref="F93:L93" si="49">F94</f>
        <v>0</v>
      </c>
      <c r="G93" s="36">
        <f t="shared" si="49"/>
        <v>32000</v>
      </c>
      <c r="H93" s="36">
        <f t="shared" si="49"/>
        <v>0</v>
      </c>
      <c r="I93" s="36">
        <f t="shared" si="49"/>
        <v>0</v>
      </c>
      <c r="J93" s="36">
        <f t="shared" si="49"/>
        <v>32000</v>
      </c>
      <c r="K93" s="36">
        <f t="shared" si="49"/>
        <v>32000</v>
      </c>
      <c r="L93" s="36">
        <f t="shared" si="49"/>
        <v>32000</v>
      </c>
      <c r="M93" s="36">
        <f t="shared" si="31"/>
        <v>160000</v>
      </c>
    </row>
    <row r="94" spans="1:13" ht="57" thickBot="1">
      <c r="A94" s="33" t="s">
        <v>392</v>
      </c>
      <c r="B94" s="50" t="s">
        <v>393</v>
      </c>
      <c r="C94" s="34" t="s">
        <v>189</v>
      </c>
      <c r="D94" s="51" t="s">
        <v>394</v>
      </c>
      <c r="E94" s="52">
        <v>32000</v>
      </c>
      <c r="F94" s="52"/>
      <c r="G94" s="52">
        <v>32000</v>
      </c>
      <c r="H94" s="52"/>
      <c r="I94" s="52"/>
      <c r="J94" s="52">
        <v>32000</v>
      </c>
      <c r="K94" s="52">
        <v>32000</v>
      </c>
      <c r="L94" s="52">
        <v>32000</v>
      </c>
      <c r="M94" s="36">
        <f t="shared" si="31"/>
        <v>160000</v>
      </c>
    </row>
    <row r="95" spans="1:13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36">
        <f t="shared" si="31"/>
        <v>0</v>
      </c>
    </row>
    <row r="96" spans="1:13" ht="22.5">
      <c r="A96" s="33" t="s">
        <v>397</v>
      </c>
      <c r="B96" s="34" t="s">
        <v>398</v>
      </c>
      <c r="C96" s="34"/>
      <c r="D96" s="35" t="s">
        <v>399</v>
      </c>
      <c r="E96" s="36">
        <f>E97+E98+E99+E100</f>
        <v>29</v>
      </c>
      <c r="F96" s="36">
        <f t="shared" ref="F96:L96" si="50">F97+F98+F99+F100</f>
        <v>150</v>
      </c>
      <c r="G96" s="36">
        <f t="shared" si="50"/>
        <v>57</v>
      </c>
      <c r="H96" s="36">
        <f t="shared" si="50"/>
        <v>122</v>
      </c>
      <c r="I96" s="36">
        <f t="shared" si="50"/>
        <v>149</v>
      </c>
      <c r="J96" s="36">
        <f t="shared" si="50"/>
        <v>43</v>
      </c>
      <c r="K96" s="36">
        <f t="shared" si="50"/>
        <v>41</v>
      </c>
      <c r="L96" s="36">
        <f t="shared" si="50"/>
        <v>7</v>
      </c>
      <c r="M96" s="36">
        <f t="shared" si="31"/>
        <v>598</v>
      </c>
    </row>
    <row r="97" spans="1:13">
      <c r="A97" s="33" t="s">
        <v>400</v>
      </c>
      <c r="B97" s="56" t="s">
        <v>401</v>
      </c>
      <c r="C97" s="56"/>
      <c r="D97" s="42"/>
      <c r="E97" s="43"/>
      <c r="F97" s="43">
        <v>82</v>
      </c>
      <c r="G97" s="43"/>
      <c r="H97" s="43">
        <v>60</v>
      </c>
      <c r="I97" s="43">
        <v>73</v>
      </c>
      <c r="J97" s="43"/>
      <c r="K97" s="43"/>
      <c r="L97" s="43"/>
      <c r="M97" s="36">
        <f t="shared" si="31"/>
        <v>215</v>
      </c>
    </row>
    <row r="98" spans="1:13">
      <c r="A98" s="33" t="s">
        <v>402</v>
      </c>
      <c r="B98" s="56" t="s">
        <v>403</v>
      </c>
      <c r="C98" s="56"/>
      <c r="D98" s="35"/>
      <c r="E98" s="37"/>
      <c r="F98" s="37">
        <v>68</v>
      </c>
      <c r="G98" s="37"/>
      <c r="H98" s="37">
        <v>62</v>
      </c>
      <c r="I98" s="37">
        <v>76</v>
      </c>
      <c r="J98" s="37"/>
      <c r="K98" s="37"/>
      <c r="L98" s="37"/>
      <c r="M98" s="36">
        <f t="shared" si="31"/>
        <v>206</v>
      </c>
    </row>
    <row r="99" spans="1:13">
      <c r="A99" s="33" t="s">
        <v>404</v>
      </c>
      <c r="B99" s="56" t="s">
        <v>405</v>
      </c>
      <c r="C99" s="56"/>
      <c r="D99" s="42"/>
      <c r="E99" s="43">
        <v>29</v>
      </c>
      <c r="F99" s="43"/>
      <c r="G99" s="43">
        <v>57</v>
      </c>
      <c r="H99" s="43"/>
      <c r="I99" s="43"/>
      <c r="J99" s="43">
        <v>43</v>
      </c>
      <c r="K99" s="43">
        <v>41</v>
      </c>
      <c r="L99" s="43"/>
      <c r="M99" s="36">
        <f t="shared" si="31"/>
        <v>170</v>
      </c>
    </row>
    <row r="100" spans="1:13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>
        <v>7</v>
      </c>
      <c r="M100" s="36">
        <f t="shared" si="31"/>
        <v>7</v>
      </c>
    </row>
    <row r="101" spans="1:13" ht="33.75">
      <c r="A101" s="33" t="s">
        <v>408</v>
      </c>
      <c r="B101" s="34" t="s">
        <v>409</v>
      </c>
      <c r="C101" s="34"/>
      <c r="D101" s="35" t="s">
        <v>410</v>
      </c>
      <c r="E101" s="36">
        <f>E102+E103+E104+E105</f>
        <v>287</v>
      </c>
      <c r="F101" s="36">
        <f t="shared" ref="F101:L101" si="51">F102+F103+F104+F105</f>
        <v>1883</v>
      </c>
      <c r="G101" s="36">
        <f t="shared" si="51"/>
        <v>739</v>
      </c>
      <c r="H101" s="36">
        <f t="shared" si="51"/>
        <v>1192</v>
      </c>
      <c r="I101" s="36">
        <f t="shared" si="51"/>
        <v>1915</v>
      </c>
      <c r="J101" s="36">
        <f t="shared" si="51"/>
        <v>412</v>
      </c>
      <c r="K101" s="36">
        <f t="shared" si="51"/>
        <v>408</v>
      </c>
      <c r="L101" s="36">
        <f t="shared" si="51"/>
        <v>0</v>
      </c>
      <c r="M101" s="36">
        <f t="shared" si="31"/>
        <v>6836</v>
      </c>
    </row>
    <row r="102" spans="1:13">
      <c r="A102" s="33" t="s">
        <v>411</v>
      </c>
      <c r="B102" s="56" t="s">
        <v>401</v>
      </c>
      <c r="C102" s="56"/>
      <c r="D102" s="42"/>
      <c r="E102" s="43"/>
      <c r="F102" s="43">
        <v>833</v>
      </c>
      <c r="G102" s="43"/>
      <c r="H102" s="43">
        <v>554</v>
      </c>
      <c r="I102" s="43">
        <v>819</v>
      </c>
      <c r="J102" s="43"/>
      <c r="K102" s="43"/>
      <c r="L102" s="43"/>
      <c r="M102" s="36">
        <f t="shared" si="31"/>
        <v>2206</v>
      </c>
    </row>
    <row r="103" spans="1:13">
      <c r="A103" s="33" t="s">
        <v>412</v>
      </c>
      <c r="B103" s="56" t="s">
        <v>403</v>
      </c>
      <c r="C103" s="56"/>
      <c r="D103" s="35"/>
      <c r="E103" s="37"/>
      <c r="F103" s="37">
        <v>1050</v>
      </c>
      <c r="G103" s="37"/>
      <c r="H103" s="37">
        <v>638</v>
      </c>
      <c r="I103" s="37">
        <v>1096</v>
      </c>
      <c r="J103" s="37"/>
      <c r="K103" s="37"/>
      <c r="L103" s="37"/>
      <c r="M103" s="36">
        <f t="shared" si="31"/>
        <v>2784</v>
      </c>
    </row>
    <row r="104" spans="1:13">
      <c r="A104" s="33" t="s">
        <v>413</v>
      </c>
      <c r="B104" s="56" t="s">
        <v>405</v>
      </c>
      <c r="C104" s="56"/>
      <c r="D104" s="42"/>
      <c r="E104" s="43">
        <v>287</v>
      </c>
      <c r="F104" s="43"/>
      <c r="G104" s="43">
        <v>739</v>
      </c>
      <c r="H104" s="43"/>
      <c r="I104" s="43"/>
      <c r="J104" s="43">
        <v>412</v>
      </c>
      <c r="K104" s="43">
        <v>408</v>
      </c>
      <c r="L104" s="43"/>
      <c r="M104" s="36">
        <f t="shared" si="31"/>
        <v>1846</v>
      </c>
    </row>
    <row r="105" spans="1:13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36">
        <f t="shared" si="31"/>
        <v>0</v>
      </c>
    </row>
    <row r="106" spans="1:13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>
        <v>1</v>
      </c>
      <c r="J106" s="57"/>
      <c r="K106" s="57"/>
      <c r="L106" s="57"/>
      <c r="M106" s="36">
        <f t="shared" si="31"/>
        <v>1</v>
      </c>
    </row>
    <row r="107" spans="1:13">
      <c r="A107" s="33" t="s">
        <v>417</v>
      </c>
      <c r="B107" s="34" t="s">
        <v>418</v>
      </c>
      <c r="C107" s="34"/>
      <c r="D107" s="35"/>
      <c r="E107" s="37">
        <v>9</v>
      </c>
      <c r="F107" s="37">
        <v>167</v>
      </c>
      <c r="G107" s="37">
        <v>13</v>
      </c>
      <c r="H107" s="37">
        <v>84</v>
      </c>
      <c r="I107" s="37">
        <v>123</v>
      </c>
      <c r="J107" s="37">
        <v>2</v>
      </c>
      <c r="K107" s="37">
        <v>15</v>
      </c>
      <c r="L107" s="37">
        <v>5</v>
      </c>
      <c r="M107" s="36">
        <f t="shared" si="31"/>
        <v>418</v>
      </c>
    </row>
    <row r="108" spans="1:13">
      <c r="A108" s="33" t="s">
        <v>419</v>
      </c>
      <c r="B108" s="56" t="s">
        <v>420</v>
      </c>
      <c r="C108" s="56"/>
      <c r="D108" s="47"/>
      <c r="E108" s="37">
        <v>4271.24</v>
      </c>
      <c r="F108" s="37">
        <v>18768.27</v>
      </c>
      <c r="G108" s="37">
        <v>7862.42</v>
      </c>
      <c r="H108" s="37">
        <v>14103</v>
      </c>
      <c r="I108" s="37">
        <v>16494</v>
      </c>
      <c r="J108" s="37">
        <v>10802.3</v>
      </c>
      <c r="K108" s="37">
        <v>6516.27</v>
      </c>
      <c r="L108" s="37">
        <v>2216</v>
      </c>
      <c r="M108" s="36">
        <f t="shared" si="31"/>
        <v>81033.5</v>
      </c>
    </row>
    <row r="109" spans="1:13">
      <c r="A109" s="33" t="s">
        <v>421</v>
      </c>
      <c r="B109" s="56" t="s">
        <v>422</v>
      </c>
      <c r="C109" s="56"/>
      <c r="D109" s="47"/>
      <c r="E109" s="37">
        <v>2987.3</v>
      </c>
      <c r="F109" s="37">
        <v>18000</v>
      </c>
      <c r="G109" s="37">
        <v>4137.5</v>
      </c>
      <c r="H109" s="37">
        <v>12000</v>
      </c>
      <c r="I109" s="37">
        <v>9800</v>
      </c>
      <c r="J109" s="37">
        <v>6259.2</v>
      </c>
      <c r="K109" s="37">
        <v>4700</v>
      </c>
      <c r="L109" s="37">
        <v>6252</v>
      </c>
      <c r="M109" s="36">
        <f t="shared" si="31"/>
        <v>64136</v>
      </c>
    </row>
  </sheetData>
  <protectedRanges>
    <protectedRange password="E9C1" sqref="B31:D109 A4:D12 A2:M3 B13:D28 A13:A109 M4:M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M1"/>
  </mergeCells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3"/>
  <sheetViews>
    <sheetView workbookViewId="0">
      <pane xSplit="4" ySplit="2" topLeftCell="Q3" activePane="bottomRight" state="frozen"/>
      <selection pane="topRight" activeCell="E1" sqref="E1"/>
      <selection pane="bottomLeft" activeCell="A3" sqref="A3"/>
      <selection pane="bottomRight" activeCell="S3" sqref="S3:S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18" width="15.625" style="30"/>
    <col min="19" max="19" width="14.75" style="30" customWidth="1"/>
    <col min="20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274" width="15.625" style="30"/>
    <col min="275" max="275" width="14.75" style="30" customWidth="1"/>
    <col min="276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530" width="15.625" style="30"/>
    <col min="531" max="531" width="14.75" style="30" customWidth="1"/>
    <col min="532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786" width="15.625" style="30"/>
    <col min="787" max="787" width="14.75" style="30" customWidth="1"/>
    <col min="788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042" width="15.625" style="30"/>
    <col min="1043" max="1043" width="14.75" style="30" customWidth="1"/>
    <col min="1044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298" width="15.625" style="30"/>
    <col min="1299" max="1299" width="14.75" style="30" customWidth="1"/>
    <col min="1300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554" width="15.625" style="30"/>
    <col min="1555" max="1555" width="14.75" style="30" customWidth="1"/>
    <col min="1556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1810" width="15.625" style="30"/>
    <col min="1811" max="1811" width="14.75" style="30" customWidth="1"/>
    <col min="1812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066" width="15.625" style="30"/>
    <col min="2067" max="2067" width="14.75" style="30" customWidth="1"/>
    <col min="2068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322" width="15.625" style="30"/>
    <col min="2323" max="2323" width="14.75" style="30" customWidth="1"/>
    <col min="2324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578" width="15.625" style="30"/>
    <col min="2579" max="2579" width="14.75" style="30" customWidth="1"/>
    <col min="2580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2834" width="15.625" style="30"/>
    <col min="2835" max="2835" width="14.75" style="30" customWidth="1"/>
    <col min="2836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090" width="15.625" style="30"/>
    <col min="3091" max="3091" width="14.75" style="30" customWidth="1"/>
    <col min="3092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346" width="15.625" style="30"/>
    <col min="3347" max="3347" width="14.75" style="30" customWidth="1"/>
    <col min="3348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602" width="15.625" style="30"/>
    <col min="3603" max="3603" width="14.75" style="30" customWidth="1"/>
    <col min="3604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3858" width="15.625" style="30"/>
    <col min="3859" max="3859" width="14.75" style="30" customWidth="1"/>
    <col min="3860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114" width="15.625" style="30"/>
    <col min="4115" max="4115" width="14.75" style="30" customWidth="1"/>
    <col min="4116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370" width="15.625" style="30"/>
    <col min="4371" max="4371" width="14.75" style="30" customWidth="1"/>
    <col min="4372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626" width="15.625" style="30"/>
    <col min="4627" max="4627" width="14.75" style="30" customWidth="1"/>
    <col min="4628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4882" width="15.625" style="30"/>
    <col min="4883" max="4883" width="14.75" style="30" customWidth="1"/>
    <col min="4884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138" width="15.625" style="30"/>
    <col min="5139" max="5139" width="14.75" style="30" customWidth="1"/>
    <col min="5140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394" width="15.625" style="30"/>
    <col min="5395" max="5395" width="14.75" style="30" customWidth="1"/>
    <col min="5396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650" width="15.625" style="30"/>
    <col min="5651" max="5651" width="14.75" style="30" customWidth="1"/>
    <col min="5652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5906" width="15.625" style="30"/>
    <col min="5907" max="5907" width="14.75" style="30" customWidth="1"/>
    <col min="5908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162" width="15.625" style="30"/>
    <col min="6163" max="6163" width="14.75" style="30" customWidth="1"/>
    <col min="6164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418" width="15.625" style="30"/>
    <col min="6419" max="6419" width="14.75" style="30" customWidth="1"/>
    <col min="6420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674" width="15.625" style="30"/>
    <col min="6675" max="6675" width="14.75" style="30" customWidth="1"/>
    <col min="6676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6930" width="15.625" style="30"/>
    <col min="6931" max="6931" width="14.75" style="30" customWidth="1"/>
    <col min="6932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186" width="15.625" style="30"/>
    <col min="7187" max="7187" width="14.75" style="30" customWidth="1"/>
    <col min="7188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442" width="15.625" style="30"/>
    <col min="7443" max="7443" width="14.75" style="30" customWidth="1"/>
    <col min="7444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698" width="15.625" style="30"/>
    <col min="7699" max="7699" width="14.75" style="30" customWidth="1"/>
    <col min="7700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7954" width="15.625" style="30"/>
    <col min="7955" max="7955" width="14.75" style="30" customWidth="1"/>
    <col min="7956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210" width="15.625" style="30"/>
    <col min="8211" max="8211" width="14.75" style="30" customWidth="1"/>
    <col min="8212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466" width="15.625" style="30"/>
    <col min="8467" max="8467" width="14.75" style="30" customWidth="1"/>
    <col min="8468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722" width="15.625" style="30"/>
    <col min="8723" max="8723" width="14.75" style="30" customWidth="1"/>
    <col min="8724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8978" width="15.625" style="30"/>
    <col min="8979" max="8979" width="14.75" style="30" customWidth="1"/>
    <col min="8980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234" width="15.625" style="30"/>
    <col min="9235" max="9235" width="14.75" style="30" customWidth="1"/>
    <col min="9236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490" width="15.625" style="30"/>
    <col min="9491" max="9491" width="14.75" style="30" customWidth="1"/>
    <col min="9492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746" width="15.625" style="30"/>
    <col min="9747" max="9747" width="14.75" style="30" customWidth="1"/>
    <col min="9748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002" width="15.625" style="30"/>
    <col min="10003" max="10003" width="14.75" style="30" customWidth="1"/>
    <col min="10004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258" width="15.625" style="30"/>
    <col min="10259" max="10259" width="14.75" style="30" customWidth="1"/>
    <col min="10260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514" width="15.625" style="30"/>
    <col min="10515" max="10515" width="14.75" style="30" customWidth="1"/>
    <col min="10516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0770" width="15.625" style="30"/>
    <col min="10771" max="10771" width="14.75" style="30" customWidth="1"/>
    <col min="10772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026" width="15.625" style="30"/>
    <col min="11027" max="11027" width="14.75" style="30" customWidth="1"/>
    <col min="11028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282" width="15.625" style="30"/>
    <col min="11283" max="11283" width="14.75" style="30" customWidth="1"/>
    <col min="11284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538" width="15.625" style="30"/>
    <col min="11539" max="11539" width="14.75" style="30" customWidth="1"/>
    <col min="11540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1794" width="15.625" style="30"/>
    <col min="11795" max="11795" width="14.75" style="30" customWidth="1"/>
    <col min="11796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050" width="15.625" style="30"/>
    <col min="12051" max="12051" width="14.75" style="30" customWidth="1"/>
    <col min="12052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306" width="15.625" style="30"/>
    <col min="12307" max="12307" width="14.75" style="30" customWidth="1"/>
    <col min="12308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562" width="15.625" style="30"/>
    <col min="12563" max="12563" width="14.75" style="30" customWidth="1"/>
    <col min="12564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2818" width="15.625" style="30"/>
    <col min="12819" max="12819" width="14.75" style="30" customWidth="1"/>
    <col min="12820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074" width="15.625" style="30"/>
    <col min="13075" max="13075" width="14.75" style="30" customWidth="1"/>
    <col min="13076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330" width="15.625" style="30"/>
    <col min="13331" max="13331" width="14.75" style="30" customWidth="1"/>
    <col min="13332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586" width="15.625" style="30"/>
    <col min="13587" max="13587" width="14.75" style="30" customWidth="1"/>
    <col min="13588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3842" width="15.625" style="30"/>
    <col min="13843" max="13843" width="14.75" style="30" customWidth="1"/>
    <col min="13844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098" width="15.625" style="30"/>
    <col min="14099" max="14099" width="14.75" style="30" customWidth="1"/>
    <col min="14100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354" width="15.625" style="30"/>
    <col min="14355" max="14355" width="14.75" style="30" customWidth="1"/>
    <col min="14356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610" width="15.625" style="30"/>
    <col min="14611" max="14611" width="14.75" style="30" customWidth="1"/>
    <col min="14612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4866" width="15.625" style="30"/>
    <col min="14867" max="14867" width="14.75" style="30" customWidth="1"/>
    <col min="14868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122" width="15.625" style="30"/>
    <col min="15123" max="15123" width="14.75" style="30" customWidth="1"/>
    <col min="15124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378" width="15.625" style="30"/>
    <col min="15379" max="15379" width="14.75" style="30" customWidth="1"/>
    <col min="15380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634" width="15.625" style="30"/>
    <col min="15635" max="15635" width="14.75" style="30" customWidth="1"/>
    <col min="15636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5890" width="15.625" style="30"/>
    <col min="15891" max="15891" width="14.75" style="30" customWidth="1"/>
    <col min="15892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146" width="15.625" style="30"/>
    <col min="16147" max="16147" width="14.75" style="30" customWidth="1"/>
    <col min="16148" max="16384" width="15.625" style="30"/>
  </cols>
  <sheetData>
    <row r="1" spans="1:19" ht="25.5">
      <c r="A1" s="219" t="s">
        <v>177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</row>
    <row r="2" spans="1:19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104</v>
      </c>
      <c r="F2" s="32" t="s">
        <v>105</v>
      </c>
      <c r="G2" s="32" t="s">
        <v>107</v>
      </c>
      <c r="H2" s="32" t="s">
        <v>109</v>
      </c>
      <c r="I2" s="32" t="s">
        <v>108</v>
      </c>
      <c r="J2" s="32" t="s">
        <v>463</v>
      </c>
      <c r="K2" s="32" t="s">
        <v>464</v>
      </c>
      <c r="L2" s="32" t="s">
        <v>465</v>
      </c>
      <c r="M2" s="32" t="s">
        <v>113</v>
      </c>
      <c r="N2" s="32" t="s">
        <v>466</v>
      </c>
      <c r="O2" s="32" t="s">
        <v>467</v>
      </c>
      <c r="P2" s="32" t="s">
        <v>427</v>
      </c>
      <c r="Q2" s="32" t="s">
        <v>468</v>
      </c>
      <c r="R2" s="32" t="s">
        <v>469</v>
      </c>
      <c r="S2" s="32" t="s">
        <v>25</v>
      </c>
    </row>
    <row r="3" spans="1:19">
      <c r="A3" s="33" t="s">
        <v>181</v>
      </c>
      <c r="B3" s="34" t="s">
        <v>182</v>
      </c>
      <c r="C3" s="34"/>
      <c r="D3" s="35" t="s">
        <v>183</v>
      </c>
      <c r="E3" s="36">
        <f>E4+E31+E52</f>
        <v>43976706.799999997</v>
      </c>
      <c r="F3" s="36">
        <f t="shared" ref="F3:R3" si="0">F4+F31+F52</f>
        <v>25289957.600000001</v>
      </c>
      <c r="G3" s="36">
        <f t="shared" si="0"/>
        <v>29903475.800000001</v>
      </c>
      <c r="H3" s="36">
        <f t="shared" si="0"/>
        <v>32617055.199999999</v>
      </c>
      <c r="I3" s="36">
        <f t="shared" si="0"/>
        <v>70572362.799999997</v>
      </c>
      <c r="J3" s="36">
        <f t="shared" si="0"/>
        <v>11814357.449999999</v>
      </c>
      <c r="K3" s="36">
        <f t="shared" si="0"/>
        <v>18166875.199999999</v>
      </c>
      <c r="L3" s="36">
        <f t="shared" si="0"/>
        <v>17005490.199999999</v>
      </c>
      <c r="M3" s="36">
        <f t="shared" si="0"/>
        <v>13366344.15</v>
      </c>
      <c r="N3" s="36">
        <f t="shared" si="0"/>
        <v>14243165</v>
      </c>
      <c r="O3" s="36">
        <f t="shared" si="0"/>
        <v>52212743.149999999</v>
      </c>
      <c r="P3" s="36">
        <f t="shared" si="0"/>
        <v>1808500.2</v>
      </c>
      <c r="Q3" s="36">
        <f t="shared" si="0"/>
        <v>12718641.699999999</v>
      </c>
      <c r="R3" s="36">
        <f t="shared" si="0"/>
        <v>10565115.6</v>
      </c>
      <c r="S3" s="36">
        <f t="shared" ref="S3:S66" si="1">SUM(E3:R3)</f>
        <v>354260790.8499999</v>
      </c>
    </row>
    <row r="4" spans="1:19">
      <c r="A4" s="33" t="s">
        <v>184</v>
      </c>
      <c r="B4" s="34" t="s">
        <v>128</v>
      </c>
      <c r="C4" s="34"/>
      <c r="D4" s="35" t="s">
        <v>183</v>
      </c>
      <c r="E4" s="36">
        <f t="shared" ref="E4:R4" si="2">E5+E8+E13+E17+E20+E22+E25+E27+E29+E30</f>
        <v>38001296</v>
      </c>
      <c r="F4" s="36">
        <f t="shared" si="2"/>
        <v>22250596</v>
      </c>
      <c r="G4" s="36">
        <f t="shared" si="2"/>
        <v>26112774</v>
      </c>
      <c r="H4" s="36">
        <f t="shared" si="2"/>
        <v>28475734</v>
      </c>
      <c r="I4" s="36">
        <f t="shared" si="2"/>
        <v>59414862</v>
      </c>
      <c r="J4" s="36">
        <f t="shared" si="2"/>
        <v>9662151</v>
      </c>
      <c r="K4" s="36">
        <f t="shared" si="2"/>
        <v>15139964</v>
      </c>
      <c r="L4" s="36">
        <f t="shared" si="2"/>
        <v>14582946</v>
      </c>
      <c r="M4" s="36">
        <f t="shared" si="2"/>
        <v>11107848</v>
      </c>
      <c r="N4" s="36">
        <f t="shared" si="2"/>
        <v>12135712</v>
      </c>
      <c r="O4" s="36">
        <f t="shared" si="2"/>
        <v>45941196</v>
      </c>
      <c r="P4" s="36">
        <f t="shared" si="2"/>
        <v>1522957</v>
      </c>
      <c r="Q4" s="36">
        <f t="shared" si="2"/>
        <v>10433627</v>
      </c>
      <c r="R4" s="36">
        <f t="shared" si="2"/>
        <v>8831830</v>
      </c>
      <c r="S4" s="36">
        <f t="shared" si="1"/>
        <v>303613493</v>
      </c>
    </row>
    <row r="5" spans="1:19">
      <c r="A5" s="33" t="s">
        <v>185</v>
      </c>
      <c r="B5" s="34" t="s">
        <v>186</v>
      </c>
      <c r="C5" s="34"/>
      <c r="D5" s="35" t="s">
        <v>183</v>
      </c>
      <c r="E5" s="36">
        <f>E6+E7</f>
        <v>5106072</v>
      </c>
      <c r="F5" s="36">
        <f t="shared" ref="F5:R5" si="3">F6+F7</f>
        <v>3266028</v>
      </c>
      <c r="G5" s="36">
        <f t="shared" si="3"/>
        <v>3784992</v>
      </c>
      <c r="H5" s="36">
        <f t="shared" si="3"/>
        <v>3894816</v>
      </c>
      <c r="I5" s="36">
        <f t="shared" si="3"/>
        <v>7668684</v>
      </c>
      <c r="J5" s="36">
        <f t="shared" si="3"/>
        <v>1167624</v>
      </c>
      <c r="K5" s="36">
        <f t="shared" si="3"/>
        <v>2046408</v>
      </c>
      <c r="L5" s="36">
        <f t="shared" si="3"/>
        <v>2015844</v>
      </c>
      <c r="M5" s="36">
        <f t="shared" si="3"/>
        <v>1455192</v>
      </c>
      <c r="N5" s="36">
        <f t="shared" si="3"/>
        <v>1559724</v>
      </c>
      <c r="O5" s="36">
        <f t="shared" si="3"/>
        <v>5347776</v>
      </c>
      <c r="P5" s="36">
        <f t="shared" si="3"/>
        <v>205200</v>
      </c>
      <c r="Q5" s="36">
        <f t="shared" si="3"/>
        <v>1122036</v>
      </c>
      <c r="R5" s="36">
        <f t="shared" si="3"/>
        <v>1132968</v>
      </c>
      <c r="S5" s="36">
        <f t="shared" si="1"/>
        <v>39773364</v>
      </c>
    </row>
    <row r="6" spans="1:19">
      <c r="A6" s="33" t="s">
        <v>187</v>
      </c>
      <c r="B6" s="34" t="s">
        <v>188</v>
      </c>
      <c r="C6" s="34" t="s">
        <v>189</v>
      </c>
      <c r="D6" s="35" t="s">
        <v>190</v>
      </c>
      <c r="E6" s="37">
        <f>260180*12</f>
        <v>3122160</v>
      </c>
      <c r="F6" s="37">
        <f>154545*12</f>
        <v>1854540</v>
      </c>
      <c r="G6" s="37">
        <f>171955*12</f>
        <v>2063460</v>
      </c>
      <c r="H6" s="37">
        <f>185620*12</f>
        <v>2227440</v>
      </c>
      <c r="I6" s="37">
        <f>406738*12</f>
        <v>4880856</v>
      </c>
      <c r="J6" s="37">
        <f>64362*12</f>
        <v>772344</v>
      </c>
      <c r="K6" s="37">
        <f>103092*12</f>
        <v>1237104</v>
      </c>
      <c r="L6" s="37">
        <f>102749*12</f>
        <v>1232988</v>
      </c>
      <c r="M6" s="37">
        <f>76708*12</f>
        <v>920496</v>
      </c>
      <c r="N6" s="37">
        <f>84709*12</f>
        <v>1016508</v>
      </c>
      <c r="O6" s="37">
        <f>285537*12</f>
        <v>3426444</v>
      </c>
      <c r="P6" s="37">
        <f>10395*12</f>
        <v>124740</v>
      </c>
      <c r="Q6" s="37">
        <f>77901*12</f>
        <v>934812</v>
      </c>
      <c r="R6" s="37">
        <f>58567*12</f>
        <v>702804</v>
      </c>
      <c r="S6" s="36">
        <f t="shared" si="1"/>
        <v>24516696</v>
      </c>
    </row>
    <row r="7" spans="1:19">
      <c r="A7" s="33" t="s">
        <v>191</v>
      </c>
      <c r="B7" s="34" t="s">
        <v>192</v>
      </c>
      <c r="C7" s="34" t="s">
        <v>189</v>
      </c>
      <c r="D7" s="35" t="s">
        <v>190</v>
      </c>
      <c r="E7" s="37">
        <f>165326*12</f>
        <v>1983912</v>
      </c>
      <c r="F7" s="37">
        <f>117624*12</f>
        <v>1411488</v>
      </c>
      <c r="G7" s="37">
        <f>143461*12</f>
        <v>1721532</v>
      </c>
      <c r="H7" s="37">
        <f>138948*12</f>
        <v>1667376</v>
      </c>
      <c r="I7" s="37">
        <f>232319*12</f>
        <v>2787828</v>
      </c>
      <c r="J7" s="37">
        <f>32940*12</f>
        <v>395280</v>
      </c>
      <c r="K7" s="37">
        <f>67442*12</f>
        <v>809304</v>
      </c>
      <c r="L7" s="37">
        <f>65238*12</f>
        <v>782856</v>
      </c>
      <c r="M7" s="37">
        <f>44558*12</f>
        <v>534696</v>
      </c>
      <c r="N7" s="37">
        <f>45268*12</f>
        <v>543216</v>
      </c>
      <c r="O7" s="37">
        <f>160111*12</f>
        <v>1921332</v>
      </c>
      <c r="P7" s="37">
        <f>6705*12</f>
        <v>80460</v>
      </c>
      <c r="Q7" s="37">
        <f>15602*12</f>
        <v>187224</v>
      </c>
      <c r="R7" s="37">
        <f>35847*12</f>
        <v>430164</v>
      </c>
      <c r="S7" s="36">
        <f t="shared" si="1"/>
        <v>15256668</v>
      </c>
    </row>
    <row r="8" spans="1:19">
      <c r="A8" s="33" t="s">
        <v>193</v>
      </c>
      <c r="B8" s="34" t="s">
        <v>194</v>
      </c>
      <c r="C8" s="34"/>
      <c r="D8" s="35" t="s">
        <v>183</v>
      </c>
      <c r="E8" s="36">
        <f>E9+E10</f>
        <v>660348</v>
      </c>
      <c r="F8" s="36">
        <f t="shared" ref="F8:R8" si="4">F9+F10</f>
        <v>380040</v>
      </c>
      <c r="G8" s="36">
        <f t="shared" si="4"/>
        <v>456684</v>
      </c>
      <c r="H8" s="36">
        <f t="shared" si="4"/>
        <v>509268</v>
      </c>
      <c r="I8" s="36">
        <f t="shared" si="4"/>
        <v>1069104</v>
      </c>
      <c r="J8" s="36">
        <f t="shared" si="4"/>
        <v>178080</v>
      </c>
      <c r="K8" s="36">
        <f t="shared" si="4"/>
        <v>287208</v>
      </c>
      <c r="L8" s="36">
        <f t="shared" si="4"/>
        <v>276240</v>
      </c>
      <c r="M8" s="36">
        <f t="shared" si="4"/>
        <v>210864</v>
      </c>
      <c r="N8" s="36">
        <f t="shared" si="4"/>
        <v>232272</v>
      </c>
      <c r="O8" s="36">
        <f t="shared" si="4"/>
        <v>809436</v>
      </c>
      <c r="P8" s="36">
        <f t="shared" si="4"/>
        <v>27036</v>
      </c>
      <c r="Q8" s="36">
        <f t="shared" si="4"/>
        <v>188136</v>
      </c>
      <c r="R8" s="36">
        <f t="shared" si="4"/>
        <v>167508</v>
      </c>
      <c r="S8" s="36">
        <f t="shared" si="1"/>
        <v>5452224</v>
      </c>
    </row>
    <row r="9" spans="1:19">
      <c r="A9" s="33" t="s">
        <v>195</v>
      </c>
      <c r="B9" s="34" t="s">
        <v>196</v>
      </c>
      <c r="C9" s="34" t="s">
        <v>189</v>
      </c>
      <c r="D9" s="35" t="s">
        <v>190</v>
      </c>
      <c r="E9" s="37">
        <f>617*12</f>
        <v>7404</v>
      </c>
      <c r="F9" s="37">
        <f>450*12</f>
        <v>5400</v>
      </c>
      <c r="G9" s="37">
        <f>593*12</f>
        <v>7116</v>
      </c>
      <c r="H9" s="37">
        <f>515*12</f>
        <v>6180</v>
      </c>
      <c r="I9" s="37">
        <f>784*12</f>
        <v>9408</v>
      </c>
      <c r="J9" s="37">
        <f>122*12</f>
        <v>1464</v>
      </c>
      <c r="K9" s="37">
        <f>296*12</f>
        <v>3552</v>
      </c>
      <c r="L9" s="37">
        <f>274*12</f>
        <v>3288</v>
      </c>
      <c r="M9" s="37">
        <f>178*12</f>
        <v>2136</v>
      </c>
      <c r="N9" s="37">
        <f>178*12</f>
        <v>2136</v>
      </c>
      <c r="O9" s="37">
        <f>553*12</f>
        <v>6636</v>
      </c>
      <c r="P9" s="37">
        <f>23*12</f>
        <v>276</v>
      </c>
      <c r="Q9" s="37">
        <f>68*12</f>
        <v>816</v>
      </c>
      <c r="R9" s="37">
        <f>133*12</f>
        <v>1596</v>
      </c>
      <c r="S9" s="36">
        <f t="shared" si="1"/>
        <v>57408</v>
      </c>
    </row>
    <row r="10" spans="1:19">
      <c r="A10" s="33" t="s">
        <v>197</v>
      </c>
      <c r="B10" s="34" t="s">
        <v>198</v>
      </c>
      <c r="C10" s="34"/>
      <c r="D10" s="35" t="s">
        <v>183</v>
      </c>
      <c r="E10" s="36">
        <f>E11+E12</f>
        <v>652944</v>
      </c>
      <c r="F10" s="36">
        <f t="shared" ref="F10:R10" si="5">F11+F12</f>
        <v>374640</v>
      </c>
      <c r="G10" s="36">
        <f t="shared" si="5"/>
        <v>449568</v>
      </c>
      <c r="H10" s="36">
        <f t="shared" si="5"/>
        <v>503088</v>
      </c>
      <c r="I10" s="36">
        <f t="shared" si="5"/>
        <v>1059696</v>
      </c>
      <c r="J10" s="36">
        <f t="shared" si="5"/>
        <v>176616</v>
      </c>
      <c r="K10" s="36">
        <f t="shared" si="5"/>
        <v>283656</v>
      </c>
      <c r="L10" s="36">
        <f t="shared" si="5"/>
        <v>272952</v>
      </c>
      <c r="M10" s="36">
        <f t="shared" si="5"/>
        <v>208728</v>
      </c>
      <c r="N10" s="36">
        <f t="shared" si="5"/>
        <v>230136</v>
      </c>
      <c r="O10" s="36">
        <f t="shared" si="5"/>
        <v>802800</v>
      </c>
      <c r="P10" s="36">
        <f t="shared" si="5"/>
        <v>26760</v>
      </c>
      <c r="Q10" s="36">
        <f t="shared" si="5"/>
        <v>187320</v>
      </c>
      <c r="R10" s="36">
        <f t="shared" si="5"/>
        <v>165912</v>
      </c>
      <c r="S10" s="36">
        <f t="shared" si="1"/>
        <v>5394816</v>
      </c>
    </row>
    <row r="11" spans="1:19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8784</v>
      </c>
      <c r="F11" s="36">
        <f t="shared" ref="F11:R11" si="6">72*F96</f>
        <v>5040</v>
      </c>
      <c r="G11" s="36">
        <f t="shared" si="6"/>
        <v>6048</v>
      </c>
      <c r="H11" s="36">
        <f t="shared" si="6"/>
        <v>6768</v>
      </c>
      <c r="I11" s="36">
        <f t="shared" si="6"/>
        <v>14256</v>
      </c>
      <c r="J11" s="36">
        <f t="shared" si="6"/>
        <v>2376</v>
      </c>
      <c r="K11" s="36">
        <f t="shared" si="6"/>
        <v>3816</v>
      </c>
      <c r="L11" s="36">
        <f t="shared" si="6"/>
        <v>3672</v>
      </c>
      <c r="M11" s="36">
        <f t="shared" si="6"/>
        <v>2808</v>
      </c>
      <c r="N11" s="36">
        <f t="shared" si="6"/>
        <v>3096</v>
      </c>
      <c r="O11" s="36">
        <f t="shared" si="6"/>
        <v>10800</v>
      </c>
      <c r="P11" s="36">
        <f t="shared" si="6"/>
        <v>360</v>
      </c>
      <c r="Q11" s="36">
        <f t="shared" si="6"/>
        <v>2520</v>
      </c>
      <c r="R11" s="36">
        <f t="shared" si="6"/>
        <v>2232</v>
      </c>
      <c r="S11" s="36">
        <f t="shared" si="1"/>
        <v>72576</v>
      </c>
    </row>
    <row r="12" spans="1:19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644160</v>
      </c>
      <c r="F12" s="36">
        <f t="shared" ref="F12:R12" si="7">440*12*F96</f>
        <v>369600</v>
      </c>
      <c r="G12" s="36">
        <f t="shared" si="7"/>
        <v>443520</v>
      </c>
      <c r="H12" s="36">
        <f t="shared" si="7"/>
        <v>496320</v>
      </c>
      <c r="I12" s="36">
        <f t="shared" si="7"/>
        <v>1045440</v>
      </c>
      <c r="J12" s="36">
        <f t="shared" si="7"/>
        <v>174240</v>
      </c>
      <c r="K12" s="36">
        <f t="shared" si="7"/>
        <v>279840</v>
      </c>
      <c r="L12" s="36">
        <f t="shared" si="7"/>
        <v>269280</v>
      </c>
      <c r="M12" s="36">
        <f t="shared" si="7"/>
        <v>205920</v>
      </c>
      <c r="N12" s="36">
        <f t="shared" si="7"/>
        <v>227040</v>
      </c>
      <c r="O12" s="36">
        <f t="shared" si="7"/>
        <v>792000</v>
      </c>
      <c r="P12" s="36">
        <f t="shared" si="7"/>
        <v>26400</v>
      </c>
      <c r="Q12" s="36">
        <f t="shared" si="7"/>
        <v>184800</v>
      </c>
      <c r="R12" s="36">
        <f t="shared" si="7"/>
        <v>163680</v>
      </c>
      <c r="S12" s="36">
        <f t="shared" si="1"/>
        <v>5322240</v>
      </c>
    </row>
    <row r="13" spans="1:19">
      <c r="A13" s="33" t="s">
        <v>203</v>
      </c>
      <c r="B13" s="34" t="s">
        <v>204</v>
      </c>
      <c r="C13" s="34"/>
      <c r="D13" s="35" t="s">
        <v>205</v>
      </c>
      <c r="E13" s="36">
        <f>E14+E15+E16</f>
        <v>605886</v>
      </c>
      <c r="F13" s="36">
        <f t="shared" ref="F13:R13" si="8">F14+F15+F16</f>
        <v>353382</v>
      </c>
      <c r="G13" s="36">
        <f t="shared" si="8"/>
        <v>400146.00000000006</v>
      </c>
      <c r="H13" s="36">
        <f t="shared" si="8"/>
        <v>426564</v>
      </c>
      <c r="I13" s="36">
        <f t="shared" si="8"/>
        <v>897084</v>
      </c>
      <c r="J13" s="36">
        <f t="shared" si="8"/>
        <v>142686</v>
      </c>
      <c r="K13" s="36">
        <f t="shared" si="8"/>
        <v>231551.99999999997</v>
      </c>
      <c r="L13" s="36">
        <f t="shared" si="8"/>
        <v>221118.00000000003</v>
      </c>
      <c r="M13" s="36">
        <f t="shared" si="8"/>
        <v>171348</v>
      </c>
      <c r="N13" s="36">
        <f t="shared" si="8"/>
        <v>185424</v>
      </c>
      <c r="O13" s="36">
        <f t="shared" si="8"/>
        <v>752886</v>
      </c>
      <c r="P13" s="36">
        <f t="shared" si="8"/>
        <v>26603.999999999996</v>
      </c>
      <c r="Q13" s="36">
        <f t="shared" si="8"/>
        <v>167280</v>
      </c>
      <c r="R13" s="36">
        <f t="shared" si="8"/>
        <v>137586</v>
      </c>
      <c r="S13" s="36">
        <f t="shared" si="1"/>
        <v>4719546</v>
      </c>
    </row>
    <row r="14" spans="1:19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363531.60000000003</v>
      </c>
      <c r="F14" s="36">
        <f t="shared" ref="F14:R14" si="9">F16*3</f>
        <v>212029.19999999998</v>
      </c>
      <c r="G14" s="36">
        <f t="shared" si="9"/>
        <v>240087.60000000003</v>
      </c>
      <c r="H14" s="36">
        <f t="shared" si="9"/>
        <v>255938.40000000002</v>
      </c>
      <c r="I14" s="36">
        <f t="shared" si="9"/>
        <v>538250.39999999991</v>
      </c>
      <c r="J14" s="36">
        <f t="shared" si="9"/>
        <v>85611.599999999991</v>
      </c>
      <c r="K14" s="36">
        <f t="shared" si="9"/>
        <v>138931.19999999998</v>
      </c>
      <c r="L14" s="36">
        <f t="shared" si="9"/>
        <v>132670.80000000002</v>
      </c>
      <c r="M14" s="36">
        <f t="shared" si="9"/>
        <v>102808.79999999999</v>
      </c>
      <c r="N14" s="36">
        <f t="shared" si="9"/>
        <v>111254.40000000001</v>
      </c>
      <c r="O14" s="36">
        <f t="shared" si="9"/>
        <v>451731.60000000003</v>
      </c>
      <c r="P14" s="36">
        <f t="shared" si="9"/>
        <v>15962.399999999998</v>
      </c>
      <c r="Q14" s="36">
        <f t="shared" si="9"/>
        <v>100368</v>
      </c>
      <c r="R14" s="36">
        <f t="shared" si="9"/>
        <v>82551.600000000006</v>
      </c>
      <c r="S14" s="36">
        <f t="shared" si="1"/>
        <v>2831727.6000000006</v>
      </c>
    </row>
    <row r="15" spans="1:19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121177.20000000001</v>
      </c>
      <c r="F15" s="36">
        <f t="shared" ref="F15:R15" si="10">F16</f>
        <v>70676.399999999994</v>
      </c>
      <c r="G15" s="36">
        <f t="shared" si="10"/>
        <v>80029.200000000012</v>
      </c>
      <c r="H15" s="36">
        <f t="shared" si="10"/>
        <v>85312.8</v>
      </c>
      <c r="I15" s="36">
        <f t="shared" si="10"/>
        <v>179416.8</v>
      </c>
      <c r="J15" s="36">
        <f t="shared" si="10"/>
        <v>28537.199999999997</v>
      </c>
      <c r="K15" s="36">
        <f t="shared" si="10"/>
        <v>46310.399999999994</v>
      </c>
      <c r="L15" s="36">
        <f t="shared" si="10"/>
        <v>44223.600000000006</v>
      </c>
      <c r="M15" s="36">
        <f t="shared" si="10"/>
        <v>34269.599999999999</v>
      </c>
      <c r="N15" s="36">
        <f t="shared" si="10"/>
        <v>37084.800000000003</v>
      </c>
      <c r="O15" s="36">
        <f t="shared" si="10"/>
        <v>150577.20000000001</v>
      </c>
      <c r="P15" s="36">
        <f t="shared" si="10"/>
        <v>5320.7999999999993</v>
      </c>
      <c r="Q15" s="36">
        <f t="shared" si="10"/>
        <v>33456</v>
      </c>
      <c r="R15" s="36">
        <f t="shared" si="10"/>
        <v>27517.200000000001</v>
      </c>
      <c r="S15" s="36">
        <f t="shared" si="1"/>
        <v>943909.2</v>
      </c>
    </row>
    <row r="16" spans="1:19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f>10098.1*12</f>
        <v>121177.20000000001</v>
      </c>
      <c r="F16" s="37">
        <f>5889.7*12</f>
        <v>70676.399999999994</v>
      </c>
      <c r="G16" s="62">
        <f>6669.1*12</f>
        <v>80029.200000000012</v>
      </c>
      <c r="H16" s="89">
        <v>85312.8</v>
      </c>
      <c r="I16" s="37">
        <f>14951.4*12</f>
        <v>179416.8</v>
      </c>
      <c r="J16" s="37">
        <f>2378.1*12</f>
        <v>28537.199999999997</v>
      </c>
      <c r="K16" s="37">
        <f>3859.2*12</f>
        <v>46310.399999999994</v>
      </c>
      <c r="L16" s="37">
        <f>3685.3*12</f>
        <v>44223.600000000006</v>
      </c>
      <c r="M16" s="89">
        <v>34269.599999999999</v>
      </c>
      <c r="N16" s="89">
        <v>37084.800000000003</v>
      </c>
      <c r="O16" s="37">
        <f>12548.1*12</f>
        <v>150577.20000000001</v>
      </c>
      <c r="P16" s="37">
        <f>443.4*12</f>
        <v>5320.7999999999993</v>
      </c>
      <c r="Q16" s="89">
        <v>33456</v>
      </c>
      <c r="R16" s="89">
        <v>27517.200000000001</v>
      </c>
      <c r="S16" s="36">
        <f t="shared" si="1"/>
        <v>943909.2</v>
      </c>
    </row>
    <row r="17" spans="1:19">
      <c r="A17" s="33" t="s">
        <v>213</v>
      </c>
      <c r="B17" s="34" t="s">
        <v>214</v>
      </c>
      <c r="C17" s="34"/>
      <c r="D17" s="35" t="s">
        <v>183</v>
      </c>
      <c r="E17" s="36">
        <v>19551842</v>
      </c>
      <c r="F17" s="36">
        <v>11218270</v>
      </c>
      <c r="G17" s="36">
        <v>13461924</v>
      </c>
      <c r="H17" s="36">
        <v>15064534</v>
      </c>
      <c r="I17" s="36">
        <v>31731678</v>
      </c>
      <c r="J17" s="36">
        <v>5288613</v>
      </c>
      <c r="K17" s="36">
        <v>7898060</v>
      </c>
      <c r="L17" s="36">
        <v>7600020</v>
      </c>
      <c r="M17" s="36">
        <v>5811780</v>
      </c>
      <c r="N17" s="36">
        <v>6407860</v>
      </c>
      <c r="O17" s="36">
        <v>24039150</v>
      </c>
      <c r="P17" s="36">
        <v>737245</v>
      </c>
      <c r="Q17" s="36">
        <v>5609135</v>
      </c>
      <c r="R17" s="36">
        <v>4619620</v>
      </c>
      <c r="S17" s="36">
        <f t="shared" si="1"/>
        <v>159039731</v>
      </c>
    </row>
    <row r="18" spans="1:19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19183220</v>
      </c>
      <c r="F18" s="43">
        <f t="shared" ref="F18:R18" si="11">F17-F19</f>
        <v>11038998</v>
      </c>
      <c r="G18" s="43">
        <f t="shared" si="11"/>
        <v>13022844</v>
      </c>
      <c r="H18" s="43">
        <f t="shared" si="11"/>
        <v>14659466</v>
      </c>
      <c r="I18" s="43">
        <f t="shared" si="11"/>
        <v>31461938</v>
      </c>
      <c r="J18" s="43">
        <f t="shared" si="11"/>
        <v>5128901</v>
      </c>
      <c r="K18" s="43">
        <f t="shared" si="11"/>
        <v>7650354</v>
      </c>
      <c r="L18" s="43">
        <f t="shared" si="11"/>
        <v>7419048</v>
      </c>
      <c r="M18" s="43">
        <f t="shared" si="11"/>
        <v>5630904</v>
      </c>
      <c r="N18" s="43">
        <f t="shared" si="11"/>
        <v>6250996</v>
      </c>
      <c r="O18" s="43">
        <f t="shared" si="11"/>
        <v>23811634</v>
      </c>
      <c r="P18" s="43">
        <f t="shared" si="11"/>
        <v>737245</v>
      </c>
      <c r="Q18" s="43">
        <f t="shared" si="11"/>
        <v>5470728</v>
      </c>
      <c r="R18" s="43">
        <f t="shared" si="11"/>
        <v>4480706</v>
      </c>
      <c r="S18" s="36">
        <f t="shared" si="1"/>
        <v>155946982</v>
      </c>
    </row>
    <row r="19" spans="1:19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368622</v>
      </c>
      <c r="F19" s="43">
        <f>179272</f>
        <v>179272</v>
      </c>
      <c r="G19" s="43">
        <f>241236+197844</f>
        <v>439080</v>
      </c>
      <c r="H19" s="43">
        <f>186652+218416</f>
        <v>405068</v>
      </c>
      <c r="I19" s="43">
        <f>269740</f>
        <v>269740</v>
      </c>
      <c r="J19" s="43">
        <v>159712</v>
      </c>
      <c r="K19" s="43">
        <v>247706</v>
      </c>
      <c r="L19" s="43">
        <v>180972</v>
      </c>
      <c r="M19" s="43">
        <v>180876</v>
      </c>
      <c r="N19" s="43">
        <v>156864</v>
      </c>
      <c r="O19" s="43">
        <v>227516</v>
      </c>
      <c r="P19" s="43"/>
      <c r="Q19" s="43">
        <v>138407</v>
      </c>
      <c r="R19" s="43">
        <v>138914</v>
      </c>
      <c r="S19" s="36">
        <f t="shared" si="1"/>
        <v>3092749</v>
      </c>
    </row>
    <row r="20" spans="1:19">
      <c r="A20" s="33" t="s">
        <v>221</v>
      </c>
      <c r="B20" s="34" t="s">
        <v>222</v>
      </c>
      <c r="C20" s="34"/>
      <c r="D20" s="42" t="s">
        <v>183</v>
      </c>
      <c r="E20" s="45">
        <f>E21</f>
        <v>2423544</v>
      </c>
      <c r="F20" s="45">
        <f t="shared" ref="F20:R20" si="12">F21</f>
        <v>1413528</v>
      </c>
      <c r="G20" s="45">
        <f t="shared" si="12"/>
        <v>1600584.0000000002</v>
      </c>
      <c r="H20" s="45">
        <f t="shared" si="12"/>
        <v>1706256</v>
      </c>
      <c r="I20" s="45">
        <f t="shared" si="12"/>
        <v>3588336</v>
      </c>
      <c r="J20" s="45">
        <f t="shared" si="12"/>
        <v>570744</v>
      </c>
      <c r="K20" s="45">
        <f t="shared" si="12"/>
        <v>926207.99999999988</v>
      </c>
      <c r="L20" s="45">
        <f t="shared" si="12"/>
        <v>884472.00000000012</v>
      </c>
      <c r="M20" s="45">
        <f t="shared" si="12"/>
        <v>685392</v>
      </c>
      <c r="N20" s="45">
        <f t="shared" si="12"/>
        <v>741696</v>
      </c>
      <c r="O20" s="45">
        <f t="shared" si="12"/>
        <v>3011544</v>
      </c>
      <c r="P20" s="45">
        <f t="shared" si="12"/>
        <v>106415.99999999999</v>
      </c>
      <c r="Q20" s="45">
        <f t="shared" si="12"/>
        <v>669120</v>
      </c>
      <c r="R20" s="45">
        <f t="shared" si="12"/>
        <v>550344</v>
      </c>
      <c r="S20" s="36">
        <f t="shared" si="1"/>
        <v>18878184</v>
      </c>
    </row>
    <row r="21" spans="1:19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2423544</v>
      </c>
      <c r="F21" s="45">
        <f t="shared" ref="F21:R21" si="13">F16*20</f>
        <v>1413528</v>
      </c>
      <c r="G21" s="45">
        <f t="shared" si="13"/>
        <v>1600584.0000000002</v>
      </c>
      <c r="H21" s="45">
        <f t="shared" si="13"/>
        <v>1706256</v>
      </c>
      <c r="I21" s="45">
        <f t="shared" si="13"/>
        <v>3588336</v>
      </c>
      <c r="J21" s="45">
        <f t="shared" si="13"/>
        <v>570744</v>
      </c>
      <c r="K21" s="45">
        <f t="shared" si="13"/>
        <v>926207.99999999988</v>
      </c>
      <c r="L21" s="45">
        <f t="shared" si="13"/>
        <v>884472.00000000012</v>
      </c>
      <c r="M21" s="45">
        <f t="shared" si="13"/>
        <v>685392</v>
      </c>
      <c r="N21" s="45">
        <f t="shared" si="13"/>
        <v>741696</v>
      </c>
      <c r="O21" s="45">
        <f t="shared" si="13"/>
        <v>3011544</v>
      </c>
      <c r="P21" s="45">
        <f t="shared" si="13"/>
        <v>106415.99999999999</v>
      </c>
      <c r="Q21" s="45">
        <f t="shared" si="13"/>
        <v>669120</v>
      </c>
      <c r="R21" s="45">
        <f t="shared" si="13"/>
        <v>550344</v>
      </c>
      <c r="S21" s="36">
        <f t="shared" si="1"/>
        <v>18878184</v>
      </c>
    </row>
    <row r="22" spans="1:19">
      <c r="A22" s="33" t="s">
        <v>226</v>
      </c>
      <c r="B22" s="34" t="s">
        <v>227</v>
      </c>
      <c r="C22" s="34"/>
      <c r="D22" s="42" t="s">
        <v>208</v>
      </c>
      <c r="E22" s="45">
        <f>E23+E24</f>
        <v>969417.60000000009</v>
      </c>
      <c r="F22" s="45">
        <f t="shared" ref="F22:R22" si="14">F23+F24</f>
        <v>565411.19999999995</v>
      </c>
      <c r="G22" s="45">
        <f t="shared" si="14"/>
        <v>640233.60000000009</v>
      </c>
      <c r="H22" s="45">
        <f t="shared" si="14"/>
        <v>682502.4</v>
      </c>
      <c r="I22" s="45">
        <f t="shared" si="14"/>
        <v>1435334.4</v>
      </c>
      <c r="J22" s="45">
        <f t="shared" si="14"/>
        <v>228297.59999999998</v>
      </c>
      <c r="K22" s="45">
        <f t="shared" si="14"/>
        <v>370483.19999999995</v>
      </c>
      <c r="L22" s="45">
        <f t="shared" si="14"/>
        <v>353788.80000000005</v>
      </c>
      <c r="M22" s="45">
        <f t="shared" si="14"/>
        <v>274156.79999999999</v>
      </c>
      <c r="N22" s="45">
        <f t="shared" si="14"/>
        <v>296678.40000000002</v>
      </c>
      <c r="O22" s="45">
        <f t="shared" si="14"/>
        <v>1204617.6000000001</v>
      </c>
      <c r="P22" s="45">
        <f t="shared" si="14"/>
        <v>42566.399999999994</v>
      </c>
      <c r="Q22" s="45">
        <f t="shared" si="14"/>
        <v>267648</v>
      </c>
      <c r="R22" s="45">
        <f t="shared" si="14"/>
        <v>220137.60000000001</v>
      </c>
      <c r="S22" s="36">
        <f t="shared" si="1"/>
        <v>7551273.5999999996</v>
      </c>
    </row>
    <row r="23" spans="1:19">
      <c r="A23" s="33" t="s">
        <v>228</v>
      </c>
      <c r="B23" s="34" t="s">
        <v>470</v>
      </c>
      <c r="C23" s="34" t="s">
        <v>230</v>
      </c>
      <c r="D23" s="42" t="s">
        <v>208</v>
      </c>
      <c r="E23" s="45">
        <f>E16*4</f>
        <v>484708.80000000005</v>
      </c>
      <c r="F23" s="45">
        <f t="shared" ref="F23:R23" si="15">F16*4</f>
        <v>282705.59999999998</v>
      </c>
      <c r="G23" s="45">
        <f t="shared" si="15"/>
        <v>320116.80000000005</v>
      </c>
      <c r="H23" s="45">
        <f t="shared" si="15"/>
        <v>341251.2</v>
      </c>
      <c r="I23" s="45">
        <f t="shared" si="15"/>
        <v>717667.2</v>
      </c>
      <c r="J23" s="45">
        <f t="shared" si="15"/>
        <v>114148.79999999999</v>
      </c>
      <c r="K23" s="45">
        <f t="shared" si="15"/>
        <v>185241.59999999998</v>
      </c>
      <c r="L23" s="45">
        <f t="shared" si="15"/>
        <v>176894.40000000002</v>
      </c>
      <c r="M23" s="45">
        <f t="shared" si="15"/>
        <v>137078.39999999999</v>
      </c>
      <c r="N23" s="45">
        <f t="shared" si="15"/>
        <v>148339.20000000001</v>
      </c>
      <c r="O23" s="45">
        <f t="shared" si="15"/>
        <v>602308.80000000005</v>
      </c>
      <c r="P23" s="45">
        <f t="shared" si="15"/>
        <v>21283.199999999997</v>
      </c>
      <c r="Q23" s="45">
        <f t="shared" si="15"/>
        <v>133824</v>
      </c>
      <c r="R23" s="45">
        <f t="shared" si="15"/>
        <v>110068.8</v>
      </c>
      <c r="S23" s="36">
        <f t="shared" si="1"/>
        <v>3775636.8</v>
      </c>
    </row>
    <row r="24" spans="1:19">
      <c r="A24" s="33" t="s">
        <v>231</v>
      </c>
      <c r="B24" s="34" t="s">
        <v>471</v>
      </c>
      <c r="C24" s="34" t="s">
        <v>230</v>
      </c>
      <c r="D24" s="42" t="s">
        <v>208</v>
      </c>
      <c r="E24" s="45">
        <f>E16*4</f>
        <v>484708.80000000005</v>
      </c>
      <c r="F24" s="45">
        <f t="shared" ref="F24:R24" si="16">F16*4</f>
        <v>282705.59999999998</v>
      </c>
      <c r="G24" s="45">
        <f t="shared" si="16"/>
        <v>320116.80000000005</v>
      </c>
      <c r="H24" s="45">
        <f t="shared" si="16"/>
        <v>341251.2</v>
      </c>
      <c r="I24" s="45">
        <f t="shared" si="16"/>
        <v>717667.2</v>
      </c>
      <c r="J24" s="45">
        <f t="shared" si="16"/>
        <v>114148.79999999999</v>
      </c>
      <c r="K24" s="45">
        <f t="shared" si="16"/>
        <v>185241.59999999998</v>
      </c>
      <c r="L24" s="45">
        <f t="shared" si="16"/>
        <v>176894.40000000002</v>
      </c>
      <c r="M24" s="45">
        <f t="shared" si="16"/>
        <v>137078.39999999999</v>
      </c>
      <c r="N24" s="45">
        <f t="shared" si="16"/>
        <v>148339.20000000001</v>
      </c>
      <c r="O24" s="45">
        <f t="shared" si="16"/>
        <v>602308.80000000005</v>
      </c>
      <c r="P24" s="45">
        <f t="shared" si="16"/>
        <v>21283.199999999997</v>
      </c>
      <c r="Q24" s="45">
        <f t="shared" si="16"/>
        <v>133824</v>
      </c>
      <c r="R24" s="45">
        <f t="shared" si="16"/>
        <v>110068.8</v>
      </c>
      <c r="S24" s="36">
        <f t="shared" si="1"/>
        <v>3775636.8</v>
      </c>
    </row>
    <row r="25" spans="1:19">
      <c r="A25" s="33" t="s">
        <v>233</v>
      </c>
      <c r="B25" s="34" t="s">
        <v>234</v>
      </c>
      <c r="C25" s="34"/>
      <c r="D25" s="35" t="s">
        <v>183</v>
      </c>
      <c r="E25" s="36">
        <f>E26</f>
        <v>3877670.4000000004</v>
      </c>
      <c r="F25" s="36">
        <f t="shared" ref="F25:R25" si="17">F26</f>
        <v>2261644.7999999998</v>
      </c>
      <c r="G25" s="36">
        <f t="shared" si="17"/>
        <v>2560934.4000000004</v>
      </c>
      <c r="H25" s="36">
        <f t="shared" si="17"/>
        <v>2730009.6</v>
      </c>
      <c r="I25" s="36">
        <f t="shared" si="17"/>
        <v>5741337.5999999996</v>
      </c>
      <c r="J25" s="36">
        <f t="shared" si="17"/>
        <v>913190.39999999991</v>
      </c>
      <c r="K25" s="36">
        <f t="shared" si="17"/>
        <v>1481932.7999999998</v>
      </c>
      <c r="L25" s="36">
        <f t="shared" si="17"/>
        <v>1415155.2000000002</v>
      </c>
      <c r="M25" s="36">
        <f t="shared" si="17"/>
        <v>1096627.2</v>
      </c>
      <c r="N25" s="36">
        <f t="shared" si="17"/>
        <v>1186713.6000000001</v>
      </c>
      <c r="O25" s="36">
        <f t="shared" si="17"/>
        <v>4818470.4000000004</v>
      </c>
      <c r="P25" s="36">
        <f t="shared" si="17"/>
        <v>170265.59999999998</v>
      </c>
      <c r="Q25" s="36">
        <f t="shared" si="17"/>
        <v>1070592</v>
      </c>
      <c r="R25" s="36">
        <f t="shared" si="17"/>
        <v>880550.40000000002</v>
      </c>
      <c r="S25" s="36">
        <f t="shared" si="1"/>
        <v>30205094.399999999</v>
      </c>
    </row>
    <row r="26" spans="1:19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3877670.4000000004</v>
      </c>
      <c r="F26" s="36">
        <f t="shared" ref="F26:R26" si="18">F16*32</f>
        <v>2261644.7999999998</v>
      </c>
      <c r="G26" s="36">
        <f t="shared" si="18"/>
        <v>2560934.4000000004</v>
      </c>
      <c r="H26" s="36">
        <f t="shared" si="18"/>
        <v>2730009.6</v>
      </c>
      <c r="I26" s="36">
        <f t="shared" si="18"/>
        <v>5741337.5999999996</v>
      </c>
      <c r="J26" s="36">
        <f t="shared" si="18"/>
        <v>913190.39999999991</v>
      </c>
      <c r="K26" s="36">
        <f t="shared" si="18"/>
        <v>1481932.7999999998</v>
      </c>
      <c r="L26" s="36">
        <f t="shared" si="18"/>
        <v>1415155.2000000002</v>
      </c>
      <c r="M26" s="36">
        <f t="shared" si="18"/>
        <v>1096627.2</v>
      </c>
      <c r="N26" s="36">
        <f t="shared" si="18"/>
        <v>1186713.6000000001</v>
      </c>
      <c r="O26" s="36">
        <f t="shared" si="18"/>
        <v>4818470.4000000004</v>
      </c>
      <c r="P26" s="36">
        <f t="shared" si="18"/>
        <v>170265.59999999998</v>
      </c>
      <c r="Q26" s="36">
        <f t="shared" si="18"/>
        <v>1070592</v>
      </c>
      <c r="R26" s="36">
        <f t="shared" si="18"/>
        <v>880550.40000000002</v>
      </c>
      <c r="S26" s="36">
        <f t="shared" si="1"/>
        <v>30205094.399999999</v>
      </c>
    </row>
    <row r="27" spans="1:19">
      <c r="A27" s="33" t="s">
        <v>238</v>
      </c>
      <c r="B27" s="34" t="s">
        <v>239</v>
      </c>
      <c r="C27" s="34"/>
      <c r="D27" s="35" t="s">
        <v>183</v>
      </c>
      <c r="E27" s="36">
        <f>E28</f>
        <v>1938835.2000000002</v>
      </c>
      <c r="F27" s="36">
        <f t="shared" ref="F27:R27" si="19">F28</f>
        <v>1130822.3999999999</v>
      </c>
      <c r="G27" s="36">
        <f t="shared" si="19"/>
        <v>1280467.2000000002</v>
      </c>
      <c r="H27" s="36">
        <f t="shared" si="19"/>
        <v>1365004.8</v>
      </c>
      <c r="I27" s="36">
        <f t="shared" si="19"/>
        <v>2870668.8</v>
      </c>
      <c r="J27" s="36">
        <f t="shared" si="19"/>
        <v>456595.19999999995</v>
      </c>
      <c r="K27" s="36">
        <f t="shared" si="19"/>
        <v>740966.39999999991</v>
      </c>
      <c r="L27" s="36">
        <f t="shared" si="19"/>
        <v>707577.60000000009</v>
      </c>
      <c r="M27" s="36">
        <f t="shared" si="19"/>
        <v>548313.59999999998</v>
      </c>
      <c r="N27" s="36">
        <f t="shared" si="19"/>
        <v>593356.80000000005</v>
      </c>
      <c r="O27" s="36">
        <f t="shared" si="19"/>
        <v>2409235.2000000002</v>
      </c>
      <c r="P27" s="36">
        <f t="shared" si="19"/>
        <v>85132.799999999988</v>
      </c>
      <c r="Q27" s="36">
        <f t="shared" si="19"/>
        <v>535296</v>
      </c>
      <c r="R27" s="36">
        <f t="shared" si="19"/>
        <v>440275.20000000001</v>
      </c>
      <c r="S27" s="36">
        <f t="shared" si="1"/>
        <v>15102547.199999999</v>
      </c>
    </row>
    <row r="28" spans="1:19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1938835.2000000002</v>
      </c>
      <c r="F28" s="36">
        <f t="shared" ref="F28:R28" si="20">F16*16</f>
        <v>1130822.3999999999</v>
      </c>
      <c r="G28" s="36">
        <f t="shared" si="20"/>
        <v>1280467.2000000002</v>
      </c>
      <c r="H28" s="36">
        <f t="shared" si="20"/>
        <v>1365004.8</v>
      </c>
      <c r="I28" s="36">
        <f t="shared" si="20"/>
        <v>2870668.8</v>
      </c>
      <c r="J28" s="36">
        <f t="shared" si="20"/>
        <v>456595.19999999995</v>
      </c>
      <c r="K28" s="36">
        <f t="shared" si="20"/>
        <v>740966.39999999991</v>
      </c>
      <c r="L28" s="36">
        <f t="shared" si="20"/>
        <v>707577.60000000009</v>
      </c>
      <c r="M28" s="36">
        <f t="shared" si="20"/>
        <v>548313.59999999998</v>
      </c>
      <c r="N28" s="36">
        <f t="shared" si="20"/>
        <v>593356.80000000005</v>
      </c>
      <c r="O28" s="36">
        <f t="shared" si="20"/>
        <v>2409235.2000000002</v>
      </c>
      <c r="P28" s="36">
        <f t="shared" si="20"/>
        <v>85132.799999999988</v>
      </c>
      <c r="Q28" s="36">
        <f t="shared" si="20"/>
        <v>535296</v>
      </c>
      <c r="R28" s="36">
        <f t="shared" si="20"/>
        <v>440275.20000000001</v>
      </c>
      <c r="S28" s="36">
        <f t="shared" si="1"/>
        <v>15102547.199999999</v>
      </c>
    </row>
    <row r="29" spans="1:19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1171200</v>
      </c>
      <c r="F29" s="36">
        <f t="shared" ref="F29:R29" si="21">9600*F96</f>
        <v>672000</v>
      </c>
      <c r="G29" s="36">
        <f t="shared" si="21"/>
        <v>806400</v>
      </c>
      <c r="H29" s="36">
        <f t="shared" si="21"/>
        <v>902400</v>
      </c>
      <c r="I29" s="36">
        <f t="shared" si="21"/>
        <v>1900800</v>
      </c>
      <c r="J29" s="36">
        <f t="shared" si="21"/>
        <v>316800</v>
      </c>
      <c r="K29" s="36">
        <f t="shared" si="21"/>
        <v>508800</v>
      </c>
      <c r="L29" s="36">
        <f t="shared" si="21"/>
        <v>489600</v>
      </c>
      <c r="M29" s="36">
        <f t="shared" si="21"/>
        <v>374400</v>
      </c>
      <c r="N29" s="36">
        <f t="shared" si="21"/>
        <v>412800</v>
      </c>
      <c r="O29" s="36">
        <f t="shared" si="21"/>
        <v>1440000</v>
      </c>
      <c r="P29" s="36">
        <f t="shared" si="21"/>
        <v>48000</v>
      </c>
      <c r="Q29" s="36">
        <f t="shared" si="21"/>
        <v>336000</v>
      </c>
      <c r="R29" s="36">
        <f t="shared" si="21"/>
        <v>297600</v>
      </c>
      <c r="S29" s="36">
        <f t="shared" si="1"/>
        <v>9676800</v>
      </c>
    </row>
    <row r="30" spans="1:19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1696480.8000000003</v>
      </c>
      <c r="F30" s="45">
        <f t="shared" ref="F30:R30" si="22">F16*14</f>
        <v>989469.59999999986</v>
      </c>
      <c r="G30" s="45">
        <f t="shared" si="22"/>
        <v>1120408.8000000003</v>
      </c>
      <c r="H30" s="45">
        <f t="shared" si="22"/>
        <v>1194379.2</v>
      </c>
      <c r="I30" s="45">
        <f t="shared" si="22"/>
        <v>2511835.1999999997</v>
      </c>
      <c r="J30" s="45">
        <f t="shared" si="22"/>
        <v>399520.79999999993</v>
      </c>
      <c r="K30" s="45">
        <f t="shared" si="22"/>
        <v>648345.59999999986</v>
      </c>
      <c r="L30" s="45">
        <f t="shared" si="22"/>
        <v>619130.40000000014</v>
      </c>
      <c r="M30" s="45">
        <f t="shared" si="22"/>
        <v>479774.39999999997</v>
      </c>
      <c r="N30" s="45">
        <f t="shared" si="22"/>
        <v>519187.20000000007</v>
      </c>
      <c r="O30" s="45">
        <f t="shared" si="22"/>
        <v>2108080.8000000003</v>
      </c>
      <c r="P30" s="45">
        <f t="shared" si="22"/>
        <v>74491.199999999983</v>
      </c>
      <c r="Q30" s="45">
        <f t="shared" si="22"/>
        <v>468384</v>
      </c>
      <c r="R30" s="45">
        <f t="shared" si="22"/>
        <v>385240.8</v>
      </c>
      <c r="S30" s="36">
        <f t="shared" si="1"/>
        <v>13214728.800000001</v>
      </c>
    </row>
    <row r="31" spans="1:19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14380</v>
      </c>
      <c r="F31" s="36">
        <f t="shared" ref="F31:R31" si="23">F32+F40+F42+F45+F47</f>
        <v>12840</v>
      </c>
      <c r="G31" s="36">
        <f t="shared" si="23"/>
        <v>7380</v>
      </c>
      <c r="H31" s="36">
        <f t="shared" si="23"/>
        <v>4950</v>
      </c>
      <c r="I31" s="36">
        <f t="shared" si="23"/>
        <v>25220</v>
      </c>
      <c r="J31" s="36">
        <f t="shared" si="23"/>
        <v>2360</v>
      </c>
      <c r="K31" s="36">
        <f t="shared" si="23"/>
        <v>8540</v>
      </c>
      <c r="L31" s="36">
        <f t="shared" si="23"/>
        <v>5820</v>
      </c>
      <c r="M31" s="36">
        <f t="shared" si="23"/>
        <v>9140</v>
      </c>
      <c r="N31" s="36">
        <f t="shared" si="23"/>
        <v>6320</v>
      </c>
      <c r="O31" s="36">
        <f t="shared" si="23"/>
        <v>16380</v>
      </c>
      <c r="P31" s="36">
        <f t="shared" si="23"/>
        <v>0</v>
      </c>
      <c r="Q31" s="36">
        <f t="shared" si="23"/>
        <v>2450</v>
      </c>
      <c r="R31" s="36">
        <f t="shared" si="23"/>
        <v>4260</v>
      </c>
      <c r="S31" s="36">
        <f t="shared" si="1"/>
        <v>120040</v>
      </c>
    </row>
    <row r="32" spans="1:19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R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1"/>
        <v>0</v>
      </c>
    </row>
    <row r="33" spans="1:19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36">
        <f t="shared" si="1"/>
        <v>0</v>
      </c>
    </row>
    <row r="34" spans="1:19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36">
        <f t="shared" si="1"/>
        <v>0</v>
      </c>
    </row>
    <row r="35" spans="1:19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36">
        <f t="shared" si="1"/>
        <v>0</v>
      </c>
    </row>
    <row r="36" spans="1:19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36">
        <f t="shared" si="1"/>
        <v>0</v>
      </c>
    </row>
    <row r="37" spans="1:19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36">
        <f t="shared" si="1"/>
        <v>0</v>
      </c>
    </row>
    <row r="38" spans="1:19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36">
        <f t="shared" si="1"/>
        <v>0</v>
      </c>
    </row>
    <row r="39" spans="1:19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36">
        <f t="shared" si="1"/>
        <v>0</v>
      </c>
    </row>
    <row r="40" spans="1:19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R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1"/>
        <v>0</v>
      </c>
    </row>
    <row r="41" spans="1:19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36">
        <f t="shared" si="1"/>
        <v>0</v>
      </c>
    </row>
    <row r="42" spans="1:19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R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1"/>
        <v>0</v>
      </c>
    </row>
    <row r="43" spans="1:19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36">
        <f t="shared" si="1"/>
        <v>0</v>
      </c>
    </row>
    <row r="44" spans="1:19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36">
        <f t="shared" si="1"/>
        <v>0</v>
      </c>
    </row>
    <row r="45" spans="1:19">
      <c r="A45" s="33" t="s">
        <v>280</v>
      </c>
      <c r="B45" s="34" t="s">
        <v>281</v>
      </c>
      <c r="C45" s="34"/>
      <c r="D45" s="35" t="s">
        <v>183</v>
      </c>
      <c r="E45" s="36">
        <f>E46</f>
        <v>8280</v>
      </c>
      <c r="F45" s="36">
        <f t="shared" ref="F45:R45" si="27">F46</f>
        <v>6840</v>
      </c>
      <c r="G45" s="36">
        <f t="shared" si="27"/>
        <v>4680</v>
      </c>
      <c r="H45" s="36">
        <f t="shared" si="27"/>
        <v>3600</v>
      </c>
      <c r="I45" s="36">
        <f t="shared" si="27"/>
        <v>4320</v>
      </c>
      <c r="J45" s="36">
        <f t="shared" si="27"/>
        <v>2160</v>
      </c>
      <c r="K45" s="36">
        <f t="shared" si="27"/>
        <v>5040</v>
      </c>
      <c r="L45" s="36">
        <f t="shared" si="27"/>
        <v>4320</v>
      </c>
      <c r="M45" s="36">
        <f t="shared" si="27"/>
        <v>5040</v>
      </c>
      <c r="N45" s="36">
        <f t="shared" si="27"/>
        <v>4320</v>
      </c>
      <c r="O45" s="36">
        <f t="shared" si="27"/>
        <v>10080</v>
      </c>
      <c r="P45" s="36">
        <f t="shared" si="27"/>
        <v>0</v>
      </c>
      <c r="Q45" s="36">
        <f t="shared" si="27"/>
        <v>1800</v>
      </c>
      <c r="R45" s="36">
        <f t="shared" si="27"/>
        <v>2160</v>
      </c>
      <c r="S45" s="36">
        <f t="shared" si="1"/>
        <v>62640</v>
      </c>
    </row>
    <row r="46" spans="1:19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f>690*12</f>
        <v>8280</v>
      </c>
      <c r="F46" s="37">
        <f>570*12</f>
        <v>6840</v>
      </c>
      <c r="G46" s="37">
        <f>390*12</f>
        <v>4680</v>
      </c>
      <c r="H46" s="37">
        <f>300*12</f>
        <v>3600</v>
      </c>
      <c r="I46" s="37">
        <f>360*12</f>
        <v>4320</v>
      </c>
      <c r="J46" s="37">
        <f>180*12</f>
        <v>2160</v>
      </c>
      <c r="K46" s="37">
        <f>420*12</f>
        <v>5040</v>
      </c>
      <c r="L46" s="37">
        <f>360*12</f>
        <v>4320</v>
      </c>
      <c r="M46" s="37">
        <f>420*12</f>
        <v>5040</v>
      </c>
      <c r="N46" s="37">
        <f>360*12</f>
        <v>4320</v>
      </c>
      <c r="O46" s="37">
        <f>840*12</f>
        <v>10080</v>
      </c>
      <c r="P46" s="37"/>
      <c r="Q46" s="37">
        <f>150*12</f>
        <v>1800</v>
      </c>
      <c r="R46" s="37">
        <f>180*12</f>
        <v>2160</v>
      </c>
      <c r="S46" s="36">
        <f t="shared" si="1"/>
        <v>62640</v>
      </c>
    </row>
    <row r="47" spans="1:19">
      <c r="A47" s="33" t="s">
        <v>284</v>
      </c>
      <c r="B47" s="34" t="s">
        <v>285</v>
      </c>
      <c r="C47" s="34"/>
      <c r="D47" s="35" t="s">
        <v>183</v>
      </c>
      <c r="E47" s="36">
        <f>SUM(E48:E51)</f>
        <v>6100</v>
      </c>
      <c r="F47" s="36">
        <f t="shared" ref="F47:R47" si="28">SUM(F48:F51)</f>
        <v>6000</v>
      </c>
      <c r="G47" s="36">
        <f t="shared" si="28"/>
        <v>2700</v>
      </c>
      <c r="H47" s="36">
        <f t="shared" si="28"/>
        <v>1350</v>
      </c>
      <c r="I47" s="36">
        <f t="shared" si="28"/>
        <v>20900</v>
      </c>
      <c r="J47" s="36">
        <f t="shared" si="28"/>
        <v>200</v>
      </c>
      <c r="K47" s="36">
        <f t="shared" si="28"/>
        <v>3500</v>
      </c>
      <c r="L47" s="36">
        <f t="shared" si="28"/>
        <v>1500</v>
      </c>
      <c r="M47" s="36">
        <f t="shared" si="28"/>
        <v>4100</v>
      </c>
      <c r="N47" s="36">
        <f t="shared" si="28"/>
        <v>2000</v>
      </c>
      <c r="O47" s="36">
        <f t="shared" si="28"/>
        <v>6300</v>
      </c>
      <c r="P47" s="36">
        <f t="shared" si="28"/>
        <v>0</v>
      </c>
      <c r="Q47" s="36">
        <f t="shared" si="28"/>
        <v>650</v>
      </c>
      <c r="R47" s="36">
        <f t="shared" si="28"/>
        <v>2100</v>
      </c>
      <c r="S47" s="36">
        <f t="shared" si="1"/>
        <v>57400</v>
      </c>
    </row>
    <row r="48" spans="1:19" s="61" customFormat="1">
      <c r="A48" s="59" t="s">
        <v>286</v>
      </c>
      <c r="B48" s="63" t="s">
        <v>287</v>
      </c>
      <c r="C48" s="63" t="s">
        <v>189</v>
      </c>
      <c r="D48" s="64" t="s">
        <v>288</v>
      </c>
      <c r="E48" s="62">
        <v>6100</v>
      </c>
      <c r="F48" s="62">
        <v>6000</v>
      </c>
      <c r="G48" s="62">
        <v>2700</v>
      </c>
      <c r="H48" s="62">
        <v>1350</v>
      </c>
      <c r="I48" s="62">
        <v>20900</v>
      </c>
      <c r="J48" s="62">
        <v>200</v>
      </c>
      <c r="K48" s="62">
        <v>3500</v>
      </c>
      <c r="L48" s="62">
        <v>1500</v>
      </c>
      <c r="M48" s="62">
        <v>4100</v>
      </c>
      <c r="N48" s="62">
        <v>2000</v>
      </c>
      <c r="O48" s="62">
        <v>6300</v>
      </c>
      <c r="P48" s="62"/>
      <c r="Q48" s="62">
        <v>650</v>
      </c>
      <c r="R48" s="62">
        <v>2100</v>
      </c>
      <c r="S48" s="60">
        <f t="shared" si="1"/>
        <v>57400</v>
      </c>
    </row>
    <row r="49" spans="1:19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36">
        <f t="shared" si="1"/>
        <v>0</v>
      </c>
    </row>
    <row r="50" spans="1:19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36">
        <f t="shared" si="1"/>
        <v>0</v>
      </c>
    </row>
    <row r="51" spans="1:19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36">
        <f t="shared" si="1"/>
        <v>0</v>
      </c>
    </row>
    <row r="52" spans="1:19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5961030.7999999998</v>
      </c>
      <c r="F52" s="36">
        <f t="shared" ref="F52:R52" si="29">F53+F71+F73+F75+F77+F79+F81+F83+F85+F93</f>
        <v>3026521.6</v>
      </c>
      <c r="G52" s="36">
        <f t="shared" si="29"/>
        <v>3783321.8</v>
      </c>
      <c r="H52" s="36">
        <f t="shared" si="29"/>
        <v>4136371.2</v>
      </c>
      <c r="I52" s="36">
        <f t="shared" si="29"/>
        <v>11132280.799999999</v>
      </c>
      <c r="J52" s="36">
        <f t="shared" si="29"/>
        <v>2149846.4499999997</v>
      </c>
      <c r="K52" s="36">
        <f t="shared" si="29"/>
        <v>3018371.2</v>
      </c>
      <c r="L52" s="36">
        <f t="shared" si="29"/>
        <v>2416724.1999999997</v>
      </c>
      <c r="M52" s="36">
        <f t="shared" si="29"/>
        <v>2249356.15</v>
      </c>
      <c r="N52" s="36">
        <f t="shared" si="29"/>
        <v>2101133</v>
      </c>
      <c r="O52" s="36">
        <f t="shared" si="29"/>
        <v>6255167.1499999994</v>
      </c>
      <c r="P52" s="36">
        <f t="shared" si="29"/>
        <v>285543.2</v>
      </c>
      <c r="Q52" s="36">
        <f t="shared" si="29"/>
        <v>2282564.7000000002</v>
      </c>
      <c r="R52" s="36">
        <f t="shared" si="29"/>
        <v>1729025.6</v>
      </c>
      <c r="S52" s="36">
        <f t="shared" si="1"/>
        <v>50527257.850000001</v>
      </c>
    </row>
    <row r="53" spans="1:19">
      <c r="A53" s="33" t="s">
        <v>299</v>
      </c>
      <c r="B53" s="34" t="s">
        <v>300</v>
      </c>
      <c r="C53" s="34"/>
      <c r="D53" s="35" t="s">
        <v>301</v>
      </c>
      <c r="E53" s="36">
        <f>SUM(E54:E70)</f>
        <v>3715760</v>
      </c>
      <c r="F53" s="36">
        <f t="shared" ref="F53:R53" si="30">SUM(F54:F70)</f>
        <v>1949870</v>
      </c>
      <c r="G53" s="36">
        <f t="shared" si="30"/>
        <v>2388720</v>
      </c>
      <c r="H53" s="36">
        <f t="shared" si="30"/>
        <v>2760350</v>
      </c>
      <c r="I53" s="36">
        <f t="shared" si="30"/>
        <v>8831270</v>
      </c>
      <c r="J53" s="36">
        <f t="shared" si="30"/>
        <v>1614000</v>
      </c>
      <c r="K53" s="36">
        <f t="shared" si="30"/>
        <v>2232240</v>
      </c>
      <c r="L53" s="36">
        <f t="shared" si="30"/>
        <v>1740140</v>
      </c>
      <c r="M53" s="36">
        <f t="shared" si="30"/>
        <v>1657180</v>
      </c>
      <c r="N53" s="36">
        <f t="shared" si="30"/>
        <v>1556600</v>
      </c>
      <c r="O53" s="36">
        <f t="shared" si="30"/>
        <v>4234380</v>
      </c>
      <c r="P53" s="36">
        <f t="shared" si="30"/>
        <v>160000</v>
      </c>
      <c r="Q53" s="36">
        <f t="shared" si="30"/>
        <v>1698000</v>
      </c>
      <c r="R53" s="36">
        <f t="shared" si="30"/>
        <v>1311380</v>
      </c>
      <c r="S53" s="36">
        <f t="shared" si="1"/>
        <v>35849890</v>
      </c>
    </row>
    <row r="54" spans="1:19">
      <c r="A54" s="33" t="s">
        <v>302</v>
      </c>
      <c r="B54" s="34" t="s">
        <v>303</v>
      </c>
      <c r="C54" s="34" t="s">
        <v>189</v>
      </c>
      <c r="D54" s="47"/>
      <c r="E54" s="37">
        <f>[2]公用定额!E5</f>
        <v>591972</v>
      </c>
      <c r="F54" s="37">
        <f>[2]公用定额!F5</f>
        <v>150000</v>
      </c>
      <c r="G54" s="37">
        <f>[2]公用定额!G5</f>
        <v>212796</v>
      </c>
      <c r="H54" s="37">
        <f>[2]公用定额!H5</f>
        <v>232508.5</v>
      </c>
      <c r="I54" s="37">
        <f>[2]公用定额!I5</f>
        <v>1166580.5</v>
      </c>
      <c r="J54" s="37">
        <f>[2]公用定额!J5</f>
        <v>208430</v>
      </c>
      <c r="K54" s="37">
        <f>[2]公用定额!K5</f>
        <v>156327</v>
      </c>
      <c r="L54" s="37">
        <f>[2]公用定额!L5</f>
        <v>144681</v>
      </c>
      <c r="M54" s="37">
        <f>[2]公用定额!M5</f>
        <v>120216</v>
      </c>
      <c r="N54" s="37">
        <f>[2]公用定额!N5</f>
        <v>404356</v>
      </c>
      <c r="O54" s="37">
        <f>[2]公用定额!O5</f>
        <v>323262.5</v>
      </c>
      <c r="P54" s="37">
        <f>[2]公用定额!P5</f>
        <v>18100</v>
      </c>
      <c r="Q54" s="37">
        <f>[2]公用定额!Q5</f>
        <v>125045.5</v>
      </c>
      <c r="R54" s="37">
        <f>[2]公用定额!R5</f>
        <v>216264</v>
      </c>
      <c r="S54" s="36">
        <f t="shared" si="1"/>
        <v>4070539</v>
      </c>
    </row>
    <row r="55" spans="1:19">
      <c r="A55" s="33" t="s">
        <v>304</v>
      </c>
      <c r="B55" s="34" t="s">
        <v>305</v>
      </c>
      <c r="C55" s="34" t="s">
        <v>189</v>
      </c>
      <c r="D55" s="47"/>
      <c r="E55" s="37">
        <f>[2]公用定额!E6</f>
        <v>50000</v>
      </c>
      <c r="F55" s="37">
        <f>[2]公用定额!F6</f>
        <v>90000</v>
      </c>
      <c r="G55" s="37">
        <f>[2]公用定额!G6</f>
        <v>4000</v>
      </c>
      <c r="H55" s="37">
        <f>[2]公用定额!H6</f>
        <v>100000</v>
      </c>
      <c r="I55" s="37">
        <f>[2]公用定额!I6</f>
        <v>15000</v>
      </c>
      <c r="J55" s="37">
        <f>[2]公用定额!J6</f>
        <v>0</v>
      </c>
      <c r="K55" s="37">
        <f>[2]公用定额!K6</f>
        <v>10000</v>
      </c>
      <c r="L55" s="37">
        <f>[2]公用定额!L6</f>
        <v>10000</v>
      </c>
      <c r="M55" s="37">
        <f>[2]公用定额!M6</f>
        <v>0</v>
      </c>
      <c r="N55" s="37">
        <f>[2]公用定额!N6</f>
        <v>10000</v>
      </c>
      <c r="O55" s="37">
        <f>[2]公用定额!O6</f>
        <v>0</v>
      </c>
      <c r="P55" s="37">
        <f>[2]公用定额!P6</f>
        <v>0</v>
      </c>
      <c r="Q55" s="37">
        <f>[2]公用定额!Q6</f>
        <v>0</v>
      </c>
      <c r="R55" s="37">
        <f>[2]公用定额!R6</f>
        <v>0</v>
      </c>
      <c r="S55" s="36">
        <f t="shared" si="1"/>
        <v>289000</v>
      </c>
    </row>
    <row r="56" spans="1:19">
      <c r="A56" s="33" t="s">
        <v>306</v>
      </c>
      <c r="B56" s="34" t="s">
        <v>307</v>
      </c>
      <c r="C56" s="34" t="s">
        <v>189</v>
      </c>
      <c r="D56" s="47"/>
      <c r="E56" s="37">
        <f>[2]公用定额!E7</f>
        <v>0</v>
      </c>
      <c r="F56" s="37">
        <f>[2]公用定额!F7</f>
        <v>0</v>
      </c>
      <c r="G56" s="37">
        <f>[2]公用定额!G7</f>
        <v>0</v>
      </c>
      <c r="H56" s="37">
        <f>[2]公用定额!H7</f>
        <v>0</v>
      </c>
      <c r="I56" s="37">
        <f>[2]公用定额!I7</f>
        <v>0</v>
      </c>
      <c r="J56" s="37">
        <f>[2]公用定额!J7</f>
        <v>0</v>
      </c>
      <c r="K56" s="37">
        <f>[2]公用定额!K7</f>
        <v>0</v>
      </c>
      <c r="L56" s="37">
        <f>[2]公用定额!L7</f>
        <v>10000</v>
      </c>
      <c r="M56" s="37">
        <f>[2]公用定额!M7</f>
        <v>0</v>
      </c>
      <c r="N56" s="37">
        <f>[2]公用定额!N7</f>
        <v>100000</v>
      </c>
      <c r="O56" s="37">
        <f>[2]公用定额!O7</f>
        <v>0</v>
      </c>
      <c r="P56" s="37">
        <f>[2]公用定额!P7</f>
        <v>0</v>
      </c>
      <c r="Q56" s="37">
        <f>[2]公用定额!Q7</f>
        <v>0</v>
      </c>
      <c r="R56" s="37">
        <f>[2]公用定额!R7</f>
        <v>20000</v>
      </c>
      <c r="S56" s="36">
        <f t="shared" si="1"/>
        <v>130000</v>
      </c>
    </row>
    <row r="57" spans="1:19">
      <c r="A57" s="33" t="s">
        <v>308</v>
      </c>
      <c r="B57" s="34" t="s">
        <v>309</v>
      </c>
      <c r="C57" s="34" t="s">
        <v>189</v>
      </c>
      <c r="D57" s="47"/>
      <c r="E57" s="37">
        <f>[2]公用定额!E8</f>
        <v>180000</v>
      </c>
      <c r="F57" s="37">
        <f>[2]公用定额!F8</f>
        <v>156000</v>
      </c>
      <c r="G57" s="37">
        <f>[2]公用定额!G8</f>
        <v>160000</v>
      </c>
      <c r="H57" s="37">
        <f>[2]公用定额!H8</f>
        <v>150000</v>
      </c>
      <c r="I57" s="37">
        <f>[2]公用定额!I8</f>
        <v>120000</v>
      </c>
      <c r="J57" s="37">
        <f>[2]公用定额!J8</f>
        <v>20000</v>
      </c>
      <c r="K57" s="37">
        <f>[2]公用定额!K8</f>
        <v>50000</v>
      </c>
      <c r="L57" s="37">
        <f>[2]公用定额!L8</f>
        <v>40000</v>
      </c>
      <c r="M57" s="37">
        <f>[2]公用定额!M8</f>
        <v>50000</v>
      </c>
      <c r="N57" s="37">
        <f>[2]公用定额!N8</f>
        <v>50000</v>
      </c>
      <c r="O57" s="37">
        <f>[2]公用定额!O8</f>
        <v>150000</v>
      </c>
      <c r="P57" s="37">
        <f>[2]公用定额!P8</f>
        <v>0</v>
      </c>
      <c r="Q57" s="37">
        <f>[2]公用定额!Q8</f>
        <v>30000</v>
      </c>
      <c r="R57" s="37">
        <f>[2]公用定额!R8</f>
        <v>30000</v>
      </c>
      <c r="S57" s="36">
        <f t="shared" si="1"/>
        <v>1186000</v>
      </c>
    </row>
    <row r="58" spans="1:19">
      <c r="A58" s="33" t="s">
        <v>310</v>
      </c>
      <c r="B58" s="34" t="s">
        <v>311</v>
      </c>
      <c r="C58" s="34" t="s">
        <v>189</v>
      </c>
      <c r="D58" s="47"/>
      <c r="E58" s="37">
        <f>[2]公用定额!E9</f>
        <v>260000</v>
      </c>
      <c r="F58" s="37">
        <f>[2]公用定额!F9</f>
        <v>140000</v>
      </c>
      <c r="G58" s="37">
        <f>[2]公用定额!G9</f>
        <v>120000</v>
      </c>
      <c r="H58" s="37">
        <f>[2]公用定额!H9</f>
        <v>200000</v>
      </c>
      <c r="I58" s="37">
        <f>[2]公用定额!I9</f>
        <v>450000</v>
      </c>
      <c r="J58" s="37">
        <f>[2]公用定额!J9</f>
        <v>150000</v>
      </c>
      <c r="K58" s="37">
        <f>[2]公用定额!K9</f>
        <v>200000</v>
      </c>
      <c r="L58" s="37">
        <f>[2]公用定额!L9</f>
        <v>90000</v>
      </c>
      <c r="M58" s="37">
        <f>[2]公用定额!M9</f>
        <v>200000</v>
      </c>
      <c r="N58" s="37">
        <f>[2]公用定额!N9</f>
        <v>150000</v>
      </c>
      <c r="O58" s="37">
        <f>[2]公用定额!O9</f>
        <v>300000</v>
      </c>
      <c r="P58" s="37">
        <f>[2]公用定额!P9</f>
        <v>0</v>
      </c>
      <c r="Q58" s="37">
        <f>[2]公用定额!Q9</f>
        <v>50000</v>
      </c>
      <c r="R58" s="37">
        <f>[2]公用定额!R9</f>
        <v>130000</v>
      </c>
      <c r="S58" s="36">
        <f t="shared" si="1"/>
        <v>2440000</v>
      </c>
    </row>
    <row r="59" spans="1:19">
      <c r="A59" s="33" t="s">
        <v>312</v>
      </c>
      <c r="B59" s="34" t="s">
        <v>313</v>
      </c>
      <c r="C59" s="34" t="s">
        <v>189</v>
      </c>
      <c r="D59" s="47"/>
      <c r="E59" s="37">
        <f>[2]公用定额!E10</f>
        <v>50000</v>
      </c>
      <c r="F59" s="37">
        <f>[2]公用定额!F10</f>
        <v>80000</v>
      </c>
      <c r="G59" s="37">
        <f>[2]公用定额!G10</f>
        <v>3000</v>
      </c>
      <c r="H59" s="37">
        <f>[2]公用定额!H10</f>
        <v>5000</v>
      </c>
      <c r="I59" s="37">
        <f>[2]公用定额!I10</f>
        <v>50000</v>
      </c>
      <c r="J59" s="37">
        <f>[2]公用定额!J10</f>
        <v>6000</v>
      </c>
      <c r="K59" s="37">
        <f>[2]公用定额!K10</f>
        <v>10000</v>
      </c>
      <c r="L59" s="37">
        <f>[2]公用定额!L10</f>
        <v>10000</v>
      </c>
      <c r="M59" s="37">
        <f>[2]公用定额!M10</f>
        <v>10000</v>
      </c>
      <c r="N59" s="37">
        <f>[2]公用定额!N10</f>
        <v>50000</v>
      </c>
      <c r="O59" s="37">
        <f>[2]公用定额!O10</f>
        <v>40000</v>
      </c>
      <c r="P59" s="37">
        <f>[2]公用定额!P10</f>
        <v>5000</v>
      </c>
      <c r="Q59" s="37">
        <f>[2]公用定额!Q10</f>
        <v>10000</v>
      </c>
      <c r="R59" s="37">
        <f>[2]公用定额!R10</f>
        <v>30000</v>
      </c>
      <c r="S59" s="36">
        <f t="shared" si="1"/>
        <v>359000</v>
      </c>
    </row>
    <row r="60" spans="1:19">
      <c r="A60" s="33" t="s">
        <v>314</v>
      </c>
      <c r="B60" s="34" t="s">
        <v>315</v>
      </c>
      <c r="C60" s="34" t="s">
        <v>189</v>
      </c>
      <c r="D60" s="47"/>
      <c r="E60" s="37">
        <f>[2]公用定额!E11</f>
        <v>68000</v>
      </c>
      <c r="F60" s="37">
        <f>[2]公用定额!F11</f>
        <v>56000</v>
      </c>
      <c r="G60" s="37">
        <f>[2]公用定额!G11</f>
        <v>20000</v>
      </c>
      <c r="H60" s="37">
        <f>[2]公用定额!H11</f>
        <v>5000</v>
      </c>
      <c r="I60" s="37">
        <f>[2]公用定额!I11</f>
        <v>10000</v>
      </c>
      <c r="J60" s="37">
        <f>[2]公用定额!J11</f>
        <v>20000</v>
      </c>
      <c r="K60" s="37">
        <f>[2]公用定额!K11</f>
        <v>5000</v>
      </c>
      <c r="L60" s="37">
        <f>[2]公用定额!L11</f>
        <v>2000</v>
      </c>
      <c r="M60" s="37">
        <f>[2]公用定额!M11</f>
        <v>10000</v>
      </c>
      <c r="N60" s="37">
        <f>[2]公用定额!N11</f>
        <v>20000</v>
      </c>
      <c r="O60" s="37">
        <f>[2]公用定额!O11</f>
        <v>0</v>
      </c>
      <c r="P60" s="37">
        <f>[2]公用定额!P11</f>
        <v>1000</v>
      </c>
      <c r="Q60" s="37">
        <f>[2]公用定额!Q11</f>
        <v>1000</v>
      </c>
      <c r="R60" s="37">
        <f>[2]公用定额!R11</f>
        <v>5000</v>
      </c>
      <c r="S60" s="36">
        <f t="shared" si="1"/>
        <v>223000</v>
      </c>
    </row>
    <row r="61" spans="1:19">
      <c r="A61" s="33" t="s">
        <v>316</v>
      </c>
      <c r="B61" s="34" t="s">
        <v>317</v>
      </c>
      <c r="C61" s="34" t="s">
        <v>189</v>
      </c>
      <c r="D61" s="47"/>
      <c r="E61" s="37">
        <f>[2]公用定额!E12</f>
        <v>500000</v>
      </c>
      <c r="F61" s="37">
        <f>[2]公用定额!F12</f>
        <v>200000</v>
      </c>
      <c r="G61" s="37">
        <f>[2]公用定额!G12</f>
        <v>300000</v>
      </c>
      <c r="H61" s="37">
        <f>[2]公用定额!H12</f>
        <v>300000</v>
      </c>
      <c r="I61" s="37">
        <f>[2]公用定额!I12</f>
        <v>50000</v>
      </c>
      <c r="J61" s="37">
        <f>[2]公用定额!J12</f>
        <v>500000</v>
      </c>
      <c r="K61" s="37">
        <f>[2]公用定额!K12</f>
        <v>577797</v>
      </c>
      <c r="L61" s="37">
        <f>[2]公用定额!L12</f>
        <v>250000</v>
      </c>
      <c r="M61" s="37">
        <f>[2]公用定额!M12</f>
        <v>502700</v>
      </c>
      <c r="N61" s="37">
        <f>[2]公用定额!N12</f>
        <v>300000</v>
      </c>
      <c r="O61" s="37">
        <f>[2]公用定额!O12</f>
        <v>750000</v>
      </c>
      <c r="P61" s="37">
        <f>[2]公用定额!P12</f>
        <v>15000</v>
      </c>
      <c r="Q61" s="37">
        <f>[2]公用定额!Q12</f>
        <v>500000</v>
      </c>
      <c r="R61" s="37">
        <f>[2]公用定额!R12</f>
        <v>250000</v>
      </c>
      <c r="S61" s="36">
        <f t="shared" si="1"/>
        <v>4995497</v>
      </c>
    </row>
    <row r="62" spans="1:19">
      <c r="A62" s="33" t="s">
        <v>318</v>
      </c>
      <c r="B62" s="34" t="s">
        <v>319</v>
      </c>
      <c r="C62" s="34" t="s">
        <v>189</v>
      </c>
      <c r="D62" s="47"/>
      <c r="E62" s="37">
        <f>[2]公用定额!E13</f>
        <v>0</v>
      </c>
      <c r="F62" s="37">
        <f>[2]公用定额!F13</f>
        <v>0</v>
      </c>
      <c r="G62" s="37">
        <f>[2]公用定额!G13</f>
        <v>0</v>
      </c>
      <c r="H62" s="37">
        <f>[2]公用定额!H13</f>
        <v>0</v>
      </c>
      <c r="I62" s="37">
        <f>[2]公用定额!I13</f>
        <v>0</v>
      </c>
      <c r="J62" s="37">
        <f>[2]公用定额!J13</f>
        <v>0</v>
      </c>
      <c r="K62" s="37">
        <f>[2]公用定额!K13</f>
        <v>0</v>
      </c>
      <c r="L62" s="37">
        <f>[2]公用定额!L13</f>
        <v>0</v>
      </c>
      <c r="M62" s="37">
        <f>[2]公用定额!M13</f>
        <v>0</v>
      </c>
      <c r="N62" s="37">
        <f>[2]公用定额!N13</f>
        <v>0</v>
      </c>
      <c r="O62" s="37">
        <f>[2]公用定额!O13</f>
        <v>0</v>
      </c>
      <c r="P62" s="37">
        <f>[2]公用定额!P13</f>
        <v>0</v>
      </c>
      <c r="Q62" s="37">
        <f>[2]公用定额!Q13</f>
        <v>0</v>
      </c>
      <c r="R62" s="37">
        <f>[2]公用定额!R13</f>
        <v>0</v>
      </c>
      <c r="S62" s="36">
        <f t="shared" si="1"/>
        <v>0</v>
      </c>
    </row>
    <row r="63" spans="1:19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f>[2]公用定额!E14</f>
        <v>185788</v>
      </c>
      <c r="F63" s="37">
        <f>[2]公用定额!F14</f>
        <v>97493.5</v>
      </c>
      <c r="G63" s="37">
        <f>[2]公用定额!G14</f>
        <v>119436</v>
      </c>
      <c r="H63" s="37">
        <f>[2]公用定额!H14</f>
        <v>138017.5</v>
      </c>
      <c r="I63" s="37">
        <f>[2]公用定额!I14</f>
        <v>441563.5</v>
      </c>
      <c r="J63" s="37">
        <f>[2]公用定额!J14</f>
        <v>34970</v>
      </c>
      <c r="K63" s="37">
        <f>[2]公用定额!K14</f>
        <v>110814</v>
      </c>
      <c r="L63" s="37">
        <f>[2]公用定额!L14</f>
        <v>67855</v>
      </c>
      <c r="M63" s="37">
        <f>[2]公用定额!M14</f>
        <v>62643</v>
      </c>
      <c r="N63" s="37">
        <f>[2]公用定额!N14</f>
        <v>72244</v>
      </c>
      <c r="O63" s="37">
        <f>[2]公用定额!O14</f>
        <v>211719</v>
      </c>
      <c r="P63" s="37">
        <v>8000</v>
      </c>
      <c r="Q63" s="37">
        <f>[2]公用定额!Q14</f>
        <v>59854.5</v>
      </c>
      <c r="R63" s="37">
        <f>[2]公用定额!R14</f>
        <v>60116</v>
      </c>
      <c r="S63" s="36">
        <f t="shared" si="1"/>
        <v>1670514</v>
      </c>
    </row>
    <row r="64" spans="1:19">
      <c r="A64" s="33" t="s">
        <v>324</v>
      </c>
      <c r="B64" s="34" t="s">
        <v>325</v>
      </c>
      <c r="C64" s="34" t="s">
        <v>189</v>
      </c>
      <c r="D64" s="47"/>
      <c r="E64" s="37">
        <f>[2]公用定额!E15</f>
        <v>0</v>
      </c>
      <c r="F64" s="37">
        <f>[2]公用定额!F15</f>
        <v>0</v>
      </c>
      <c r="G64" s="37">
        <f>[2]公用定额!G15</f>
        <v>0</v>
      </c>
      <c r="H64" s="37">
        <f>[2]公用定额!H15</f>
        <v>0</v>
      </c>
      <c r="I64" s="37">
        <f>[2]公用定额!I15</f>
        <v>0</v>
      </c>
      <c r="J64" s="37">
        <f>[2]公用定额!J15</f>
        <v>0</v>
      </c>
      <c r="K64" s="37">
        <f>[2]公用定额!K15</f>
        <v>0</v>
      </c>
      <c r="L64" s="37">
        <f>[2]公用定额!L15</f>
        <v>0</v>
      </c>
      <c r="M64" s="37">
        <f>[2]公用定额!M15</f>
        <v>0</v>
      </c>
      <c r="N64" s="37">
        <f>[2]公用定额!N15</f>
        <v>0</v>
      </c>
      <c r="O64" s="37">
        <f>[2]公用定额!O15</f>
        <v>0</v>
      </c>
      <c r="P64" s="37">
        <f>[2]公用定额!P15</f>
        <v>0</v>
      </c>
      <c r="Q64" s="37">
        <f>[2]公用定额!Q15</f>
        <v>0</v>
      </c>
      <c r="R64" s="37">
        <f>[2]公用定额!R15</f>
        <v>0</v>
      </c>
      <c r="S64" s="36">
        <f t="shared" si="1"/>
        <v>0</v>
      </c>
    </row>
    <row r="65" spans="1:19">
      <c r="A65" s="33" t="s">
        <v>326</v>
      </c>
      <c r="B65" s="34" t="s">
        <v>327</v>
      </c>
      <c r="C65" s="34" t="s">
        <v>189</v>
      </c>
      <c r="D65" s="47"/>
      <c r="E65" s="37">
        <f>[2]公用定额!E16</f>
        <v>850000</v>
      </c>
      <c r="F65" s="37">
        <f>[2]公用定额!F16</f>
        <v>400376.5</v>
      </c>
      <c r="G65" s="37">
        <f>[2]公用定额!G16</f>
        <v>619488</v>
      </c>
      <c r="H65" s="37">
        <f>[2]公用定额!H16</f>
        <v>600000</v>
      </c>
      <c r="I65" s="37">
        <f>[2]公用定额!I16</f>
        <v>3498126</v>
      </c>
      <c r="J65" s="37">
        <f>[2]公用定额!J16</f>
        <v>250000</v>
      </c>
      <c r="K65" s="37">
        <f>[2]公用定额!K16</f>
        <v>742302</v>
      </c>
      <c r="L65" s="37">
        <f>[2]公用定额!L16</f>
        <v>30000</v>
      </c>
      <c r="M65" s="37">
        <f>[2]公用定额!M16</f>
        <v>30000</v>
      </c>
      <c r="N65" s="37">
        <f>[2]公用定额!N16</f>
        <v>120000</v>
      </c>
      <c r="O65" s="37">
        <f>[2]公用定额!O16</f>
        <v>250000</v>
      </c>
      <c r="P65" s="37">
        <f>[2]公用定额!P16</f>
        <v>20000</v>
      </c>
      <c r="Q65" s="37">
        <f>[2]公用定额!Q16</f>
        <v>500000</v>
      </c>
      <c r="R65" s="37">
        <f>[2]公用定额!R16</f>
        <v>150000</v>
      </c>
      <c r="S65" s="36">
        <f t="shared" si="1"/>
        <v>8060292.5</v>
      </c>
    </row>
    <row r="66" spans="1:19">
      <c r="A66" s="33" t="s">
        <v>328</v>
      </c>
      <c r="B66" s="34" t="s">
        <v>329</v>
      </c>
      <c r="C66" s="34" t="s">
        <v>189</v>
      </c>
      <c r="D66" s="47"/>
      <c r="E66" s="37">
        <f>[2]公用定额!E17</f>
        <v>0</v>
      </c>
      <c r="F66" s="37">
        <f>[2]公用定额!F17</f>
        <v>0</v>
      </c>
      <c r="G66" s="37">
        <f>[2]公用定额!G17</f>
        <v>0</v>
      </c>
      <c r="H66" s="37">
        <f>[2]公用定额!H17</f>
        <v>20000</v>
      </c>
      <c r="I66" s="37">
        <f>[2]公用定额!I17</f>
        <v>0</v>
      </c>
      <c r="J66" s="37">
        <f>[2]公用定额!J17</f>
        <v>10000</v>
      </c>
      <c r="K66" s="37">
        <f>[2]公用定额!K17</f>
        <v>20000</v>
      </c>
      <c r="L66" s="37">
        <f>[2]公用定额!L17</f>
        <v>0</v>
      </c>
      <c r="M66" s="37">
        <f>[2]公用定额!M17</f>
        <v>0</v>
      </c>
      <c r="N66" s="37">
        <f>[2]公用定额!N17</f>
        <v>20000</v>
      </c>
      <c r="O66" s="37">
        <f>[2]公用定额!O17</f>
        <v>0</v>
      </c>
      <c r="P66" s="37">
        <f>[2]公用定额!P17</f>
        <v>0</v>
      </c>
      <c r="Q66" s="37">
        <f>[2]公用定额!Q17</f>
        <v>10000</v>
      </c>
      <c r="R66" s="37">
        <f>[2]公用定额!R17</f>
        <v>0</v>
      </c>
      <c r="S66" s="36">
        <f t="shared" si="1"/>
        <v>80000</v>
      </c>
    </row>
    <row r="67" spans="1:19">
      <c r="A67" s="33" t="s">
        <v>330</v>
      </c>
      <c r="B67" s="34" t="s">
        <v>331</v>
      </c>
      <c r="C67" s="34" t="s">
        <v>189</v>
      </c>
      <c r="D67" s="47"/>
      <c r="E67" s="37">
        <f>[2]公用定额!E18</f>
        <v>0</v>
      </c>
      <c r="F67" s="37">
        <f>[2]公用定额!F18</f>
        <v>0</v>
      </c>
      <c r="G67" s="37">
        <f>[2]公用定额!G18</f>
        <v>0</v>
      </c>
      <c r="H67" s="37">
        <f>[2]公用定额!H18</f>
        <v>150000</v>
      </c>
      <c r="I67" s="37">
        <f>[2]公用定额!I18</f>
        <v>0</v>
      </c>
      <c r="J67" s="37">
        <f>[2]公用定额!J18</f>
        <v>50000</v>
      </c>
      <c r="K67" s="37">
        <f>[2]公用定额!K18</f>
        <v>50000</v>
      </c>
      <c r="L67" s="37">
        <f>[2]公用定额!L18</f>
        <v>250000</v>
      </c>
      <c r="M67" s="37">
        <f>[2]公用定额!M18</f>
        <v>50000</v>
      </c>
      <c r="N67" s="37">
        <f>[2]公用定额!N18</f>
        <v>10000</v>
      </c>
      <c r="O67" s="37">
        <f>[2]公用定额!O18</f>
        <v>100000</v>
      </c>
      <c r="P67" s="37">
        <f>[2]公用定额!P18</f>
        <v>0</v>
      </c>
      <c r="Q67" s="37">
        <f>[2]公用定额!Q18</f>
        <v>0</v>
      </c>
      <c r="R67" s="37">
        <f>[2]公用定额!R18</f>
        <v>20000</v>
      </c>
      <c r="S67" s="36">
        <f t="shared" ref="S67:S109" si="31">SUM(E67:R67)</f>
        <v>680000</v>
      </c>
    </row>
    <row r="68" spans="1:19">
      <c r="A68" s="33" t="s">
        <v>332</v>
      </c>
      <c r="B68" s="34" t="s">
        <v>333</v>
      </c>
      <c r="C68" s="34" t="s">
        <v>189</v>
      </c>
      <c r="D68" s="47"/>
      <c r="E68" s="37">
        <f>[2]公用定额!E19</f>
        <v>200000</v>
      </c>
      <c r="F68" s="37">
        <f>[2]公用定额!F19</f>
        <v>180000</v>
      </c>
      <c r="G68" s="37">
        <f>[2]公用定额!G19</f>
        <v>600000</v>
      </c>
      <c r="H68" s="37">
        <f>[2]公用定额!H19</f>
        <v>759824</v>
      </c>
      <c r="I68" s="37">
        <f>[2]公用定额!I19</f>
        <v>2420000</v>
      </c>
      <c r="J68" s="37">
        <f>[2]公用定额!J19</f>
        <v>0</v>
      </c>
      <c r="K68" s="37">
        <f>[2]公用定额!K19</f>
        <v>50000</v>
      </c>
      <c r="L68" s="37">
        <f>[2]公用定额!L19</f>
        <v>835604</v>
      </c>
      <c r="M68" s="37">
        <f>[2]公用定额!M19</f>
        <v>121621</v>
      </c>
      <c r="N68" s="37">
        <f>[2]公用定额!N19</f>
        <v>50000</v>
      </c>
      <c r="O68" s="37">
        <f>[2]公用定额!O19</f>
        <v>0</v>
      </c>
      <c r="P68" s="37">
        <f>[2]公用定额!P19</f>
        <v>0</v>
      </c>
      <c r="Q68" s="37">
        <f>[2]公用定额!Q19</f>
        <v>100000</v>
      </c>
      <c r="R68" s="37">
        <f>[2]公用定额!R19</f>
        <v>50000</v>
      </c>
      <c r="S68" s="36">
        <f t="shared" si="31"/>
        <v>5367049</v>
      </c>
    </row>
    <row r="69" spans="1:19">
      <c r="A69" s="33" t="s">
        <v>334</v>
      </c>
      <c r="B69" s="34" t="s">
        <v>335</v>
      </c>
      <c r="C69" s="34" t="s">
        <v>189</v>
      </c>
      <c r="D69" s="47"/>
      <c r="E69" s="37">
        <f>[2]公用定额!E20</f>
        <v>350000</v>
      </c>
      <c r="F69" s="37">
        <f>[2]公用定额!F20</f>
        <v>150000</v>
      </c>
      <c r="G69" s="37">
        <f>[2]公用定额!G20</f>
        <v>230000</v>
      </c>
      <c r="H69" s="37">
        <f>[2]公用定额!H20</f>
        <v>100000</v>
      </c>
      <c r="I69" s="37">
        <f>[2]公用定额!I20</f>
        <v>110000</v>
      </c>
      <c r="J69" s="37">
        <f>[2]公用定额!J20</f>
        <v>364600</v>
      </c>
      <c r="K69" s="37">
        <f>[2]公用定额!K20</f>
        <v>150000</v>
      </c>
      <c r="L69" s="37">
        <f>[2]公用定额!L20</f>
        <v>0</v>
      </c>
      <c r="M69" s="37">
        <f>[2]公用定额!M20</f>
        <v>500000</v>
      </c>
      <c r="N69" s="37">
        <f>[2]公用定额!N20</f>
        <v>100000</v>
      </c>
      <c r="O69" s="37">
        <f>[2]公用定额!O20</f>
        <v>950000</v>
      </c>
      <c r="P69" s="37">
        <f>[2]公用定额!P20</f>
        <v>12900</v>
      </c>
      <c r="Q69" s="37">
        <f>[2]公用定额!Q20</f>
        <v>312100</v>
      </c>
      <c r="R69" s="37">
        <f>[2]公用定额!R20</f>
        <v>200000</v>
      </c>
      <c r="S69" s="36">
        <f t="shared" si="31"/>
        <v>3529600</v>
      </c>
    </row>
    <row r="70" spans="1:19">
      <c r="A70" s="33" t="s">
        <v>336</v>
      </c>
      <c r="B70" s="34" t="s">
        <v>337</v>
      </c>
      <c r="C70" s="34" t="s">
        <v>189</v>
      </c>
      <c r="D70" s="47"/>
      <c r="E70" s="37">
        <f>[2]公用定额!E21</f>
        <v>430000</v>
      </c>
      <c r="F70" s="37">
        <f>[2]公用定额!F21</f>
        <v>250000</v>
      </c>
      <c r="G70" s="37">
        <f>[2]公用定额!G21</f>
        <v>0</v>
      </c>
      <c r="H70" s="37">
        <f>[2]公用定额!H21</f>
        <v>0</v>
      </c>
      <c r="I70" s="37">
        <f>[2]公用定额!I21</f>
        <v>500000</v>
      </c>
      <c r="J70" s="37">
        <f>[2]公用定额!J21</f>
        <v>0</v>
      </c>
      <c r="K70" s="37">
        <f>[2]公用定额!K21</f>
        <v>100000</v>
      </c>
      <c r="L70" s="37">
        <f>[2]公用定额!L21</f>
        <v>0</v>
      </c>
      <c r="M70" s="37">
        <f>[2]公用定额!M21</f>
        <v>0</v>
      </c>
      <c r="N70" s="37">
        <f>[2]公用定额!N21</f>
        <v>100000</v>
      </c>
      <c r="O70" s="37">
        <f>[2]公用定额!O21</f>
        <v>1159398.5</v>
      </c>
      <c r="P70" s="37">
        <f>[2]公用定额!P21</f>
        <v>80000</v>
      </c>
      <c r="Q70" s="37">
        <f>[2]公用定额!Q21</f>
        <v>0</v>
      </c>
      <c r="R70" s="37">
        <f>[2]公用定额!R21</f>
        <v>150000</v>
      </c>
      <c r="S70" s="36">
        <f t="shared" si="31"/>
        <v>2769398.5</v>
      </c>
    </row>
    <row r="71" spans="1:19">
      <c r="A71" s="33" t="s">
        <v>338</v>
      </c>
      <c r="B71" s="34" t="s">
        <v>339</v>
      </c>
      <c r="C71" s="34"/>
      <c r="D71" s="35"/>
      <c r="E71" s="36">
        <f>E72</f>
        <v>48800</v>
      </c>
      <c r="F71" s="36">
        <f t="shared" ref="F71:R71" si="32">F72</f>
        <v>28000</v>
      </c>
      <c r="G71" s="36">
        <f t="shared" si="32"/>
        <v>33600</v>
      </c>
      <c r="H71" s="36">
        <f t="shared" si="32"/>
        <v>37600</v>
      </c>
      <c r="I71" s="36">
        <f t="shared" si="32"/>
        <v>79200</v>
      </c>
      <c r="J71" s="36">
        <f t="shared" si="32"/>
        <v>13200</v>
      </c>
      <c r="K71" s="36">
        <f t="shared" si="32"/>
        <v>21200</v>
      </c>
      <c r="L71" s="36">
        <f t="shared" si="32"/>
        <v>20400</v>
      </c>
      <c r="M71" s="36">
        <f t="shared" si="32"/>
        <v>15600</v>
      </c>
      <c r="N71" s="36">
        <f t="shared" si="32"/>
        <v>17200</v>
      </c>
      <c r="O71" s="36">
        <f t="shared" si="32"/>
        <v>60000</v>
      </c>
      <c r="P71" s="36">
        <f t="shared" si="32"/>
        <v>2000</v>
      </c>
      <c r="Q71" s="36">
        <f t="shared" si="32"/>
        <v>14000</v>
      </c>
      <c r="R71" s="36">
        <f t="shared" si="32"/>
        <v>12400</v>
      </c>
      <c r="S71" s="36">
        <f t="shared" si="31"/>
        <v>403200</v>
      </c>
    </row>
    <row r="72" spans="1:19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48800</v>
      </c>
      <c r="F72" s="36">
        <f t="shared" ref="F72:R72" si="33">F96*400</f>
        <v>28000</v>
      </c>
      <c r="G72" s="36">
        <f t="shared" si="33"/>
        <v>33600</v>
      </c>
      <c r="H72" s="36">
        <f t="shared" si="33"/>
        <v>37600</v>
      </c>
      <c r="I72" s="36">
        <f t="shared" si="33"/>
        <v>79200</v>
      </c>
      <c r="J72" s="36">
        <f t="shared" si="33"/>
        <v>13200</v>
      </c>
      <c r="K72" s="36">
        <f t="shared" si="33"/>
        <v>21200</v>
      </c>
      <c r="L72" s="36">
        <f t="shared" si="33"/>
        <v>20400</v>
      </c>
      <c r="M72" s="36">
        <f t="shared" si="33"/>
        <v>15600</v>
      </c>
      <c r="N72" s="36">
        <f t="shared" si="33"/>
        <v>17200</v>
      </c>
      <c r="O72" s="36">
        <f t="shared" si="33"/>
        <v>60000</v>
      </c>
      <c r="P72" s="36">
        <f t="shared" si="33"/>
        <v>2000</v>
      </c>
      <c r="Q72" s="36">
        <f t="shared" si="33"/>
        <v>14000</v>
      </c>
      <c r="R72" s="36">
        <f t="shared" si="33"/>
        <v>12400</v>
      </c>
      <c r="S72" s="36">
        <f t="shared" si="31"/>
        <v>403200</v>
      </c>
    </row>
    <row r="73" spans="1:19">
      <c r="A73" s="33" t="s">
        <v>343</v>
      </c>
      <c r="B73" s="34" t="s">
        <v>344</v>
      </c>
      <c r="C73" s="34"/>
      <c r="D73" s="35" t="s">
        <v>183</v>
      </c>
      <c r="E73" s="36">
        <f>E74</f>
        <v>489330</v>
      </c>
      <c r="F73" s="36">
        <f t="shared" ref="F73:R73" si="34">F74</f>
        <v>135690</v>
      </c>
      <c r="G73" s="36">
        <f t="shared" si="34"/>
        <v>204405</v>
      </c>
      <c r="H73" s="36">
        <f t="shared" si="34"/>
        <v>268530</v>
      </c>
      <c r="I73" s="36">
        <f t="shared" si="34"/>
        <v>386583.60000000003</v>
      </c>
      <c r="J73" s="36">
        <f t="shared" si="34"/>
        <v>196585.65</v>
      </c>
      <c r="K73" s="36">
        <f t="shared" si="34"/>
        <v>205953.60000000003</v>
      </c>
      <c r="L73" s="36">
        <f t="shared" si="34"/>
        <v>99419.4</v>
      </c>
      <c r="M73" s="36">
        <f t="shared" si="34"/>
        <v>172176.15</v>
      </c>
      <c r="N73" s="36">
        <f t="shared" si="34"/>
        <v>136753.79999999999</v>
      </c>
      <c r="O73" s="36">
        <f t="shared" si="34"/>
        <v>509998.35</v>
      </c>
      <c r="P73" s="36">
        <f t="shared" si="34"/>
        <v>34500</v>
      </c>
      <c r="Q73" s="36">
        <f t="shared" si="34"/>
        <v>199268.7</v>
      </c>
      <c r="R73" s="36">
        <f t="shared" si="34"/>
        <v>59392.800000000003</v>
      </c>
      <c r="S73" s="36">
        <f t="shared" si="31"/>
        <v>3098587.05</v>
      </c>
    </row>
    <row r="74" spans="1:19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489330</v>
      </c>
      <c r="F74" s="36">
        <f t="shared" ref="F74:R74" si="35">F108*15</f>
        <v>135690</v>
      </c>
      <c r="G74" s="36">
        <f t="shared" si="35"/>
        <v>204405</v>
      </c>
      <c r="H74" s="36">
        <f t="shared" si="35"/>
        <v>268530</v>
      </c>
      <c r="I74" s="36">
        <f t="shared" si="35"/>
        <v>386583.60000000003</v>
      </c>
      <c r="J74" s="36">
        <f t="shared" si="35"/>
        <v>196585.65</v>
      </c>
      <c r="K74" s="36">
        <f t="shared" si="35"/>
        <v>205953.60000000003</v>
      </c>
      <c r="L74" s="36">
        <f t="shared" si="35"/>
        <v>99419.4</v>
      </c>
      <c r="M74" s="36">
        <f t="shared" si="35"/>
        <v>172176.15</v>
      </c>
      <c r="N74" s="36">
        <f t="shared" si="35"/>
        <v>136753.79999999999</v>
      </c>
      <c r="O74" s="36">
        <f t="shared" si="35"/>
        <v>509998.35</v>
      </c>
      <c r="P74" s="36">
        <f t="shared" si="35"/>
        <v>34500</v>
      </c>
      <c r="Q74" s="36">
        <f t="shared" si="35"/>
        <v>199268.7</v>
      </c>
      <c r="R74" s="36">
        <f t="shared" si="35"/>
        <v>59392.800000000003</v>
      </c>
      <c r="S74" s="36">
        <f t="shared" si="31"/>
        <v>3098587.05</v>
      </c>
    </row>
    <row r="75" spans="1:19">
      <c r="A75" s="33" t="s">
        <v>348</v>
      </c>
      <c r="B75" s="34" t="s">
        <v>349</v>
      </c>
      <c r="C75" s="34"/>
      <c r="D75" s="35" t="s">
        <v>183</v>
      </c>
      <c r="E75" s="36">
        <f>E76</f>
        <v>238592</v>
      </c>
      <c r="F75" s="36">
        <f t="shared" ref="F75:R75" si="36">F76</f>
        <v>69296</v>
      </c>
      <c r="G75" s="36">
        <f t="shared" si="36"/>
        <v>64000</v>
      </c>
      <c r="H75" s="36">
        <f t="shared" si="36"/>
        <v>64000</v>
      </c>
      <c r="I75" s="36">
        <f t="shared" si="36"/>
        <v>126840</v>
      </c>
      <c r="J75" s="36">
        <f t="shared" si="36"/>
        <v>37352</v>
      </c>
      <c r="K75" s="36">
        <f t="shared" si="36"/>
        <v>51136</v>
      </c>
      <c r="L75" s="36">
        <f t="shared" si="36"/>
        <v>37310.400000000001</v>
      </c>
      <c r="M75" s="36">
        <f t="shared" si="36"/>
        <v>52681.599999999999</v>
      </c>
      <c r="N75" s="36">
        <f t="shared" si="36"/>
        <v>24480</v>
      </c>
      <c r="O75" s="36">
        <f t="shared" si="36"/>
        <v>168480</v>
      </c>
      <c r="P75" s="36">
        <f t="shared" si="36"/>
        <v>0</v>
      </c>
      <c r="Q75" s="36">
        <f t="shared" si="36"/>
        <v>54272</v>
      </c>
      <c r="R75" s="36">
        <f t="shared" si="36"/>
        <v>32104</v>
      </c>
      <c r="S75" s="36">
        <f t="shared" si="31"/>
        <v>1020544</v>
      </c>
    </row>
    <row r="76" spans="1:19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238592</v>
      </c>
      <c r="F76" s="36">
        <f t="shared" ref="F76:R76" si="37">F109*8</f>
        <v>69296</v>
      </c>
      <c r="G76" s="36">
        <f t="shared" si="37"/>
        <v>64000</v>
      </c>
      <c r="H76" s="36">
        <f t="shared" si="37"/>
        <v>64000</v>
      </c>
      <c r="I76" s="36">
        <f t="shared" si="37"/>
        <v>126840</v>
      </c>
      <c r="J76" s="36">
        <f t="shared" si="37"/>
        <v>37352</v>
      </c>
      <c r="K76" s="36">
        <f t="shared" si="37"/>
        <v>51136</v>
      </c>
      <c r="L76" s="36">
        <f t="shared" si="37"/>
        <v>37310.400000000001</v>
      </c>
      <c r="M76" s="36">
        <f t="shared" si="37"/>
        <v>52681.599999999999</v>
      </c>
      <c r="N76" s="36">
        <f t="shared" si="37"/>
        <v>24480</v>
      </c>
      <c r="O76" s="36">
        <f t="shared" si="37"/>
        <v>168480</v>
      </c>
      <c r="P76" s="36">
        <f t="shared" si="37"/>
        <v>0</v>
      </c>
      <c r="Q76" s="36">
        <f t="shared" si="37"/>
        <v>54272</v>
      </c>
      <c r="R76" s="36">
        <f t="shared" si="37"/>
        <v>32104</v>
      </c>
      <c r="S76" s="36">
        <f t="shared" si="31"/>
        <v>1020544</v>
      </c>
    </row>
    <row r="77" spans="1:19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R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1"/>
        <v>0</v>
      </c>
    </row>
    <row r="78" spans="1:19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36">
        <f t="shared" si="31"/>
        <v>0</v>
      </c>
    </row>
    <row r="79" spans="1:19">
      <c r="A79" s="33" t="s">
        <v>357</v>
      </c>
      <c r="B79" s="34" t="s">
        <v>358</v>
      </c>
      <c r="C79" s="34"/>
      <c r="D79" s="35" t="s">
        <v>183</v>
      </c>
      <c r="E79" s="36">
        <f>E80</f>
        <v>527040</v>
      </c>
      <c r="F79" s="36">
        <f t="shared" ref="F79:R79" si="39">F80</f>
        <v>302400</v>
      </c>
      <c r="G79" s="36">
        <f t="shared" si="39"/>
        <v>362880</v>
      </c>
      <c r="H79" s="36">
        <f t="shared" si="39"/>
        <v>406080</v>
      </c>
      <c r="I79" s="36">
        <f t="shared" si="39"/>
        <v>855360</v>
      </c>
      <c r="J79" s="36">
        <f t="shared" si="39"/>
        <v>142560</v>
      </c>
      <c r="K79" s="36">
        <f t="shared" si="39"/>
        <v>228960</v>
      </c>
      <c r="L79" s="36">
        <f t="shared" si="39"/>
        <v>220320</v>
      </c>
      <c r="M79" s="36">
        <f t="shared" si="39"/>
        <v>168480</v>
      </c>
      <c r="N79" s="36">
        <f t="shared" si="39"/>
        <v>185760</v>
      </c>
      <c r="O79" s="36">
        <f t="shared" si="39"/>
        <v>648000</v>
      </c>
      <c r="P79" s="36">
        <f t="shared" si="39"/>
        <v>21600</v>
      </c>
      <c r="Q79" s="36">
        <f t="shared" si="39"/>
        <v>151200</v>
      </c>
      <c r="R79" s="36">
        <f t="shared" si="39"/>
        <v>133920</v>
      </c>
      <c r="S79" s="36">
        <f t="shared" si="31"/>
        <v>4354560</v>
      </c>
    </row>
    <row r="80" spans="1:19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527040</v>
      </c>
      <c r="F80" s="36">
        <f t="shared" ref="F80:R80" si="40">F96*4320</f>
        <v>302400</v>
      </c>
      <c r="G80" s="36">
        <f t="shared" si="40"/>
        <v>362880</v>
      </c>
      <c r="H80" s="36">
        <f t="shared" si="40"/>
        <v>406080</v>
      </c>
      <c r="I80" s="36">
        <f t="shared" si="40"/>
        <v>855360</v>
      </c>
      <c r="J80" s="36">
        <f t="shared" si="40"/>
        <v>142560</v>
      </c>
      <c r="K80" s="36">
        <f t="shared" si="40"/>
        <v>228960</v>
      </c>
      <c r="L80" s="36">
        <f t="shared" si="40"/>
        <v>220320</v>
      </c>
      <c r="M80" s="36">
        <f t="shared" si="40"/>
        <v>168480</v>
      </c>
      <c r="N80" s="36">
        <f t="shared" si="40"/>
        <v>185760</v>
      </c>
      <c r="O80" s="36">
        <f t="shared" si="40"/>
        <v>648000</v>
      </c>
      <c r="P80" s="36">
        <f t="shared" si="40"/>
        <v>21600</v>
      </c>
      <c r="Q80" s="36">
        <f t="shared" si="40"/>
        <v>151200</v>
      </c>
      <c r="R80" s="36">
        <f t="shared" si="40"/>
        <v>133920</v>
      </c>
      <c r="S80" s="36">
        <f t="shared" si="31"/>
        <v>4354560</v>
      </c>
    </row>
    <row r="81" spans="1:19">
      <c r="A81" s="33" t="s">
        <v>362</v>
      </c>
      <c r="B81" s="34" t="s">
        <v>363</v>
      </c>
      <c r="C81" s="34"/>
      <c r="D81" s="35" t="s">
        <v>183</v>
      </c>
      <c r="E81" s="36">
        <f>E82</f>
        <v>484708.80000000005</v>
      </c>
      <c r="F81" s="36">
        <f t="shared" ref="F81:R81" si="41">F82</f>
        <v>282705.59999999998</v>
      </c>
      <c r="G81" s="36">
        <f t="shared" si="41"/>
        <v>320116.80000000005</v>
      </c>
      <c r="H81" s="36">
        <f t="shared" si="41"/>
        <v>341251.2</v>
      </c>
      <c r="I81" s="36">
        <f t="shared" si="41"/>
        <v>717667.2</v>
      </c>
      <c r="J81" s="36">
        <f t="shared" si="41"/>
        <v>114148.79999999999</v>
      </c>
      <c r="K81" s="36">
        <f t="shared" si="41"/>
        <v>185241.59999999998</v>
      </c>
      <c r="L81" s="36">
        <f t="shared" si="41"/>
        <v>176894.40000000002</v>
      </c>
      <c r="M81" s="36">
        <f t="shared" si="41"/>
        <v>137078.39999999999</v>
      </c>
      <c r="N81" s="36">
        <f t="shared" si="41"/>
        <v>148339.20000000001</v>
      </c>
      <c r="O81" s="36">
        <f t="shared" si="41"/>
        <v>602308.80000000005</v>
      </c>
      <c r="P81" s="36">
        <f t="shared" si="41"/>
        <v>21283.199999999997</v>
      </c>
      <c r="Q81" s="36">
        <f t="shared" si="41"/>
        <v>133824</v>
      </c>
      <c r="R81" s="36">
        <f t="shared" si="41"/>
        <v>110068.8</v>
      </c>
      <c r="S81" s="36">
        <f t="shared" si="31"/>
        <v>3775636.8</v>
      </c>
    </row>
    <row r="82" spans="1:19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484708.80000000005</v>
      </c>
      <c r="F82" s="36">
        <f t="shared" ref="F82:R82" si="42">F16*4</f>
        <v>282705.59999999998</v>
      </c>
      <c r="G82" s="36">
        <f t="shared" si="42"/>
        <v>320116.80000000005</v>
      </c>
      <c r="H82" s="36">
        <f t="shared" si="42"/>
        <v>341251.2</v>
      </c>
      <c r="I82" s="36">
        <f t="shared" si="42"/>
        <v>717667.2</v>
      </c>
      <c r="J82" s="36">
        <f t="shared" si="42"/>
        <v>114148.79999999999</v>
      </c>
      <c r="K82" s="36">
        <f t="shared" si="42"/>
        <v>185241.59999999998</v>
      </c>
      <c r="L82" s="36">
        <f t="shared" si="42"/>
        <v>176894.40000000002</v>
      </c>
      <c r="M82" s="36">
        <f t="shared" si="42"/>
        <v>137078.39999999999</v>
      </c>
      <c r="N82" s="36">
        <f t="shared" si="42"/>
        <v>148339.20000000001</v>
      </c>
      <c r="O82" s="36">
        <f t="shared" si="42"/>
        <v>602308.80000000005</v>
      </c>
      <c r="P82" s="36">
        <f t="shared" si="42"/>
        <v>21283.199999999997</v>
      </c>
      <c r="Q82" s="36">
        <f t="shared" si="42"/>
        <v>133824</v>
      </c>
      <c r="R82" s="36">
        <f t="shared" si="42"/>
        <v>110068.8</v>
      </c>
      <c r="S82" s="36">
        <f t="shared" si="31"/>
        <v>3775636.8</v>
      </c>
    </row>
    <row r="83" spans="1:19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R83" si="43">F84</f>
        <v>32000</v>
      </c>
      <c r="G83" s="36">
        <f t="shared" si="43"/>
        <v>32000</v>
      </c>
      <c r="H83" s="36">
        <f t="shared" si="43"/>
        <v>32000</v>
      </c>
      <c r="I83" s="36">
        <f t="shared" si="43"/>
        <v>64000</v>
      </c>
      <c r="J83" s="36">
        <f t="shared" si="43"/>
        <v>0</v>
      </c>
      <c r="K83" s="36">
        <f t="shared" si="43"/>
        <v>32000</v>
      </c>
      <c r="L83" s="36">
        <f t="shared" si="43"/>
        <v>32000</v>
      </c>
      <c r="M83" s="36">
        <f t="shared" si="43"/>
        <v>0</v>
      </c>
      <c r="N83" s="36">
        <f t="shared" si="43"/>
        <v>0</v>
      </c>
      <c r="O83" s="36">
        <f t="shared" si="43"/>
        <v>32000</v>
      </c>
      <c r="P83" s="36">
        <f t="shared" si="43"/>
        <v>32000</v>
      </c>
      <c r="Q83" s="36">
        <f t="shared" si="43"/>
        <v>0</v>
      </c>
      <c r="R83" s="36">
        <f t="shared" si="43"/>
        <v>0</v>
      </c>
      <c r="S83" s="36">
        <f t="shared" si="31"/>
        <v>320000</v>
      </c>
    </row>
    <row r="84" spans="1:19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>
        <v>32000</v>
      </c>
      <c r="H84" s="37">
        <v>32000</v>
      </c>
      <c r="I84" s="37">
        <v>64000</v>
      </c>
      <c r="J84" s="37"/>
      <c r="K84" s="37">
        <v>32000</v>
      </c>
      <c r="L84" s="37">
        <v>32000</v>
      </c>
      <c r="M84" s="37"/>
      <c r="N84" s="37"/>
      <c r="O84" s="37">
        <v>32000</v>
      </c>
      <c r="P84" s="37">
        <v>32000</v>
      </c>
      <c r="Q84" s="37"/>
      <c r="R84" s="37"/>
      <c r="S84" s="36">
        <f t="shared" si="31"/>
        <v>320000</v>
      </c>
    </row>
    <row r="85" spans="1:19">
      <c r="A85" s="33" t="s">
        <v>371</v>
      </c>
      <c r="B85" s="34" t="s">
        <v>372</v>
      </c>
      <c r="C85" s="34"/>
      <c r="D85" s="35" t="s">
        <v>183</v>
      </c>
      <c r="E85" s="36">
        <f>E86+E89+E92</f>
        <v>424800</v>
      </c>
      <c r="F85" s="36">
        <f t="shared" ref="F85:R85" si="44">F86+F89+F92</f>
        <v>226560</v>
      </c>
      <c r="G85" s="36">
        <f t="shared" si="44"/>
        <v>377600</v>
      </c>
      <c r="H85" s="36">
        <f t="shared" si="44"/>
        <v>226560</v>
      </c>
      <c r="I85" s="36">
        <f t="shared" si="44"/>
        <v>61360</v>
      </c>
      <c r="J85" s="36">
        <f t="shared" si="44"/>
        <v>0</v>
      </c>
      <c r="K85" s="36">
        <f t="shared" si="44"/>
        <v>56640</v>
      </c>
      <c r="L85" s="36">
        <f t="shared" si="44"/>
        <v>80240</v>
      </c>
      <c r="M85" s="36">
        <f t="shared" si="44"/>
        <v>14160</v>
      </c>
      <c r="N85" s="36">
        <f t="shared" si="44"/>
        <v>0</v>
      </c>
      <c r="O85" s="36">
        <f t="shared" si="44"/>
        <v>0</v>
      </c>
      <c r="P85" s="36">
        <f t="shared" si="44"/>
        <v>14160</v>
      </c>
      <c r="Q85" s="36">
        <f t="shared" si="44"/>
        <v>0</v>
      </c>
      <c r="R85" s="36">
        <f t="shared" si="44"/>
        <v>37760</v>
      </c>
      <c r="S85" s="36">
        <f t="shared" si="31"/>
        <v>1519840</v>
      </c>
    </row>
    <row r="86" spans="1:19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R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31"/>
        <v>0</v>
      </c>
    </row>
    <row r="87" spans="1:19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36">
        <f t="shared" si="31"/>
        <v>0</v>
      </c>
    </row>
    <row r="88" spans="1:19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36">
        <f t="shared" si="31"/>
        <v>0</v>
      </c>
    </row>
    <row r="89" spans="1:19">
      <c r="A89" s="33" t="s">
        <v>380</v>
      </c>
      <c r="B89" s="34" t="s">
        <v>381</v>
      </c>
      <c r="C89" s="34"/>
      <c r="D89" s="35" t="s">
        <v>183</v>
      </c>
      <c r="E89" s="36">
        <f>E90+E91</f>
        <v>424800</v>
      </c>
      <c r="F89" s="36">
        <f t="shared" ref="F89:R89" si="46">F90+F91</f>
        <v>226560</v>
      </c>
      <c r="G89" s="36">
        <f t="shared" si="46"/>
        <v>377600</v>
      </c>
      <c r="H89" s="36">
        <f t="shared" si="46"/>
        <v>226560</v>
      </c>
      <c r="I89" s="36">
        <f t="shared" si="46"/>
        <v>61360</v>
      </c>
      <c r="J89" s="36">
        <f t="shared" si="46"/>
        <v>0</v>
      </c>
      <c r="K89" s="36">
        <f t="shared" si="46"/>
        <v>56640</v>
      </c>
      <c r="L89" s="36">
        <f t="shared" si="46"/>
        <v>80240</v>
      </c>
      <c r="M89" s="36">
        <f t="shared" si="46"/>
        <v>14160</v>
      </c>
      <c r="N89" s="36">
        <f t="shared" si="46"/>
        <v>0</v>
      </c>
      <c r="O89" s="36">
        <f t="shared" si="46"/>
        <v>0</v>
      </c>
      <c r="P89" s="36">
        <f t="shared" si="46"/>
        <v>14160</v>
      </c>
      <c r="Q89" s="36">
        <f t="shared" si="46"/>
        <v>0</v>
      </c>
      <c r="R89" s="36">
        <f t="shared" si="46"/>
        <v>37760</v>
      </c>
      <c r="S89" s="36">
        <f t="shared" si="31"/>
        <v>1519840</v>
      </c>
    </row>
    <row r="90" spans="1:19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36000</v>
      </c>
      <c r="F90" s="36">
        <f t="shared" ref="F90:R90" si="47">F107*400</f>
        <v>19200</v>
      </c>
      <c r="G90" s="36">
        <f t="shared" si="47"/>
        <v>32000</v>
      </c>
      <c r="H90" s="36">
        <f t="shared" si="47"/>
        <v>19200</v>
      </c>
      <c r="I90" s="36">
        <f t="shared" si="47"/>
        <v>5200</v>
      </c>
      <c r="J90" s="36">
        <f t="shared" si="47"/>
        <v>0</v>
      </c>
      <c r="K90" s="36">
        <f t="shared" si="47"/>
        <v>4800</v>
      </c>
      <c r="L90" s="36">
        <f t="shared" si="47"/>
        <v>6800</v>
      </c>
      <c r="M90" s="36">
        <f t="shared" si="47"/>
        <v>1200</v>
      </c>
      <c r="N90" s="36">
        <f t="shared" si="47"/>
        <v>0</v>
      </c>
      <c r="O90" s="36">
        <f t="shared" si="47"/>
        <v>0</v>
      </c>
      <c r="P90" s="36">
        <f t="shared" si="47"/>
        <v>1200</v>
      </c>
      <c r="Q90" s="36">
        <f t="shared" si="47"/>
        <v>0</v>
      </c>
      <c r="R90" s="36">
        <f t="shared" si="47"/>
        <v>3200</v>
      </c>
      <c r="S90" s="36">
        <f t="shared" si="31"/>
        <v>128800</v>
      </c>
    </row>
    <row r="91" spans="1:19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388800</v>
      </c>
      <c r="F91" s="36">
        <f t="shared" ref="F91:R91" si="48">F107*4320</f>
        <v>207360</v>
      </c>
      <c r="G91" s="36">
        <f t="shared" si="48"/>
        <v>345600</v>
      </c>
      <c r="H91" s="36">
        <f t="shared" si="48"/>
        <v>207360</v>
      </c>
      <c r="I91" s="36">
        <f t="shared" si="48"/>
        <v>56160</v>
      </c>
      <c r="J91" s="36">
        <f t="shared" si="48"/>
        <v>0</v>
      </c>
      <c r="K91" s="36">
        <f t="shared" si="48"/>
        <v>51840</v>
      </c>
      <c r="L91" s="36">
        <f t="shared" si="48"/>
        <v>73440</v>
      </c>
      <c r="M91" s="36">
        <f t="shared" si="48"/>
        <v>12960</v>
      </c>
      <c r="N91" s="36">
        <f t="shared" si="48"/>
        <v>0</v>
      </c>
      <c r="O91" s="36">
        <f t="shared" si="48"/>
        <v>0</v>
      </c>
      <c r="P91" s="36">
        <f t="shared" si="48"/>
        <v>12960</v>
      </c>
      <c r="Q91" s="36">
        <f t="shared" si="48"/>
        <v>0</v>
      </c>
      <c r="R91" s="36">
        <f t="shared" si="48"/>
        <v>34560</v>
      </c>
      <c r="S91" s="36">
        <f t="shared" si="31"/>
        <v>1391040</v>
      </c>
    </row>
    <row r="92" spans="1:19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36">
        <f t="shared" si="31"/>
        <v>0</v>
      </c>
    </row>
    <row r="93" spans="1:19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R93" si="49">F94</f>
        <v>0</v>
      </c>
      <c r="G93" s="36">
        <f t="shared" si="49"/>
        <v>0</v>
      </c>
      <c r="H93" s="36">
        <f t="shared" si="49"/>
        <v>0</v>
      </c>
      <c r="I93" s="36">
        <f t="shared" si="49"/>
        <v>10000</v>
      </c>
      <c r="J93" s="36">
        <f t="shared" si="49"/>
        <v>32000</v>
      </c>
      <c r="K93" s="36">
        <f t="shared" si="49"/>
        <v>5000</v>
      </c>
      <c r="L93" s="36">
        <f t="shared" si="49"/>
        <v>10000</v>
      </c>
      <c r="M93" s="36">
        <f t="shared" si="49"/>
        <v>32000</v>
      </c>
      <c r="N93" s="36">
        <f t="shared" si="49"/>
        <v>32000</v>
      </c>
      <c r="O93" s="36">
        <f t="shared" si="49"/>
        <v>0</v>
      </c>
      <c r="P93" s="36">
        <f t="shared" si="49"/>
        <v>0</v>
      </c>
      <c r="Q93" s="36">
        <f t="shared" si="49"/>
        <v>32000</v>
      </c>
      <c r="R93" s="36">
        <f t="shared" si="49"/>
        <v>32000</v>
      </c>
      <c r="S93" s="36">
        <f t="shared" si="31"/>
        <v>185000</v>
      </c>
    </row>
    <row r="94" spans="1:19" ht="57" thickBot="1">
      <c r="A94" s="33" t="s">
        <v>392</v>
      </c>
      <c r="B94" s="50" t="s">
        <v>393</v>
      </c>
      <c r="C94" s="34" t="s">
        <v>189</v>
      </c>
      <c r="D94" s="51" t="s">
        <v>518</v>
      </c>
      <c r="E94" s="52"/>
      <c r="F94" s="52"/>
      <c r="G94" s="52"/>
      <c r="H94" s="52"/>
      <c r="I94" s="52">
        <v>10000</v>
      </c>
      <c r="J94" s="52">
        <v>32000</v>
      </c>
      <c r="K94" s="52">
        <v>5000</v>
      </c>
      <c r="L94" s="52">
        <v>10000</v>
      </c>
      <c r="M94" s="52">
        <v>32000</v>
      </c>
      <c r="N94" s="52">
        <v>32000</v>
      </c>
      <c r="O94" s="52"/>
      <c r="P94" s="52"/>
      <c r="Q94" s="52">
        <v>32000</v>
      </c>
      <c r="R94" s="52">
        <v>32000</v>
      </c>
      <c r="S94" s="36">
        <f t="shared" si="31"/>
        <v>185000</v>
      </c>
    </row>
    <row r="95" spans="1:19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36">
        <f t="shared" si="31"/>
        <v>0</v>
      </c>
    </row>
    <row r="96" spans="1:19" ht="22.5">
      <c r="A96" s="33" t="s">
        <v>397</v>
      </c>
      <c r="B96" s="34" t="s">
        <v>398</v>
      </c>
      <c r="C96" s="34"/>
      <c r="D96" s="35" t="s">
        <v>519</v>
      </c>
      <c r="E96" s="36">
        <f>E97+E98+E99+E100</f>
        <v>122</v>
      </c>
      <c r="F96" s="36">
        <f t="shared" ref="F96:R96" si="50">F97+F98+F99+F100</f>
        <v>70</v>
      </c>
      <c r="G96" s="36">
        <f t="shared" si="50"/>
        <v>84</v>
      </c>
      <c r="H96" s="36">
        <f t="shared" si="50"/>
        <v>94</v>
      </c>
      <c r="I96" s="36">
        <f t="shared" si="50"/>
        <v>198</v>
      </c>
      <c r="J96" s="36">
        <f t="shared" si="50"/>
        <v>33</v>
      </c>
      <c r="K96" s="36">
        <f t="shared" si="50"/>
        <v>53</v>
      </c>
      <c r="L96" s="36">
        <f t="shared" si="50"/>
        <v>51</v>
      </c>
      <c r="M96" s="36">
        <f t="shared" si="50"/>
        <v>39</v>
      </c>
      <c r="N96" s="36">
        <f t="shared" si="50"/>
        <v>43</v>
      </c>
      <c r="O96" s="36">
        <f t="shared" si="50"/>
        <v>150</v>
      </c>
      <c r="P96" s="36">
        <f t="shared" si="50"/>
        <v>5</v>
      </c>
      <c r="Q96" s="36">
        <f t="shared" si="50"/>
        <v>35</v>
      </c>
      <c r="R96" s="36">
        <f t="shared" si="50"/>
        <v>31</v>
      </c>
      <c r="S96" s="36">
        <f t="shared" si="31"/>
        <v>1008</v>
      </c>
    </row>
    <row r="97" spans="1:19">
      <c r="A97" s="33" t="s">
        <v>400</v>
      </c>
      <c r="B97" s="56" t="s">
        <v>401</v>
      </c>
      <c r="C97" s="56"/>
      <c r="D97" s="42"/>
      <c r="E97" s="43">
        <v>122</v>
      </c>
      <c r="F97" s="43">
        <v>70</v>
      </c>
      <c r="G97" s="43"/>
      <c r="H97" s="43"/>
      <c r="I97" s="43"/>
      <c r="J97" s="43"/>
      <c r="K97" s="43"/>
      <c r="L97" s="43"/>
      <c r="M97" s="43"/>
      <c r="N97" s="43"/>
      <c r="O97" s="43">
        <v>72</v>
      </c>
      <c r="P97" s="43"/>
      <c r="Q97" s="43">
        <v>35</v>
      </c>
      <c r="R97" s="43"/>
      <c r="S97" s="36">
        <f t="shared" si="31"/>
        <v>299</v>
      </c>
    </row>
    <row r="98" spans="1:19">
      <c r="A98" s="33" t="s">
        <v>402</v>
      </c>
      <c r="B98" s="56" t="s">
        <v>403</v>
      </c>
      <c r="C98" s="56"/>
      <c r="D98" s="35"/>
      <c r="E98" s="37"/>
      <c r="F98" s="37"/>
      <c r="G98" s="37">
        <v>84</v>
      </c>
      <c r="H98" s="37">
        <v>94</v>
      </c>
      <c r="I98" s="37">
        <v>198</v>
      </c>
      <c r="J98" s="37">
        <v>33</v>
      </c>
      <c r="K98" s="37"/>
      <c r="L98" s="37"/>
      <c r="M98" s="37"/>
      <c r="N98" s="37"/>
      <c r="O98" s="37">
        <v>78</v>
      </c>
      <c r="P98" s="37"/>
      <c r="Q98" s="37"/>
      <c r="R98" s="37"/>
      <c r="S98" s="36">
        <f t="shared" si="31"/>
        <v>487</v>
      </c>
    </row>
    <row r="99" spans="1:19">
      <c r="A99" s="33" t="s">
        <v>404</v>
      </c>
      <c r="B99" s="56" t="s">
        <v>405</v>
      </c>
      <c r="C99" s="56"/>
      <c r="D99" s="42"/>
      <c r="E99" s="43"/>
      <c r="F99" s="43"/>
      <c r="G99" s="43"/>
      <c r="H99" s="43"/>
      <c r="I99" s="43"/>
      <c r="J99" s="43"/>
      <c r="K99" s="43">
        <v>53</v>
      </c>
      <c r="L99" s="43">
        <v>51</v>
      </c>
      <c r="M99" s="43">
        <v>39</v>
      </c>
      <c r="N99" s="43">
        <v>43</v>
      </c>
      <c r="O99" s="43"/>
      <c r="P99" s="43"/>
      <c r="Q99" s="43">
        <v>0</v>
      </c>
      <c r="R99" s="43">
        <v>31</v>
      </c>
      <c r="S99" s="36">
        <f t="shared" si="31"/>
        <v>217</v>
      </c>
    </row>
    <row r="100" spans="1:19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>
        <v>5</v>
      </c>
      <c r="Q100" s="43"/>
      <c r="R100" s="43"/>
      <c r="S100" s="36">
        <f t="shared" si="31"/>
        <v>5</v>
      </c>
    </row>
    <row r="101" spans="1:19" ht="33.75">
      <c r="A101" s="33" t="s">
        <v>408</v>
      </c>
      <c r="B101" s="34" t="s">
        <v>409</v>
      </c>
      <c r="C101" s="34"/>
      <c r="D101" s="35" t="s">
        <v>520</v>
      </c>
      <c r="E101" s="36">
        <f>E102+E103+E104+E105</f>
        <v>1307</v>
      </c>
      <c r="F101" s="36">
        <f t="shared" ref="F101:R101" si="51">F102+F103+F104+F105</f>
        <v>689</v>
      </c>
      <c r="G101" s="36">
        <f t="shared" si="51"/>
        <v>888</v>
      </c>
      <c r="H101" s="36">
        <f t="shared" si="51"/>
        <v>1024</v>
      </c>
      <c r="I101" s="36">
        <f t="shared" si="51"/>
        <v>3283</v>
      </c>
      <c r="J101" s="36">
        <f t="shared" si="51"/>
        <v>260</v>
      </c>
      <c r="K101" s="36">
        <f t="shared" si="51"/>
        <v>831</v>
      </c>
      <c r="L101" s="36">
        <f t="shared" si="51"/>
        <v>508</v>
      </c>
      <c r="M101" s="36">
        <f t="shared" si="51"/>
        <v>471</v>
      </c>
      <c r="N101" s="36">
        <f t="shared" si="51"/>
        <v>541</v>
      </c>
      <c r="O101" s="36">
        <f t="shared" si="51"/>
        <v>1536</v>
      </c>
      <c r="P101" s="36">
        <f t="shared" si="51"/>
        <v>0</v>
      </c>
      <c r="Q101" s="36">
        <f t="shared" si="51"/>
        <v>423</v>
      </c>
      <c r="R101" s="36">
        <f t="shared" si="51"/>
        <v>452</v>
      </c>
      <c r="S101" s="36">
        <f t="shared" si="31"/>
        <v>12213</v>
      </c>
    </row>
    <row r="102" spans="1:19">
      <c r="A102" s="33" t="s">
        <v>411</v>
      </c>
      <c r="B102" s="56" t="s">
        <v>401</v>
      </c>
      <c r="C102" s="56"/>
      <c r="D102" s="42"/>
      <c r="E102" s="43">
        <v>1307</v>
      </c>
      <c r="F102" s="43">
        <v>689</v>
      </c>
      <c r="G102" s="43"/>
      <c r="H102" s="43"/>
      <c r="I102" s="43"/>
      <c r="J102" s="43"/>
      <c r="K102" s="43"/>
      <c r="L102" s="43"/>
      <c r="M102" s="43"/>
      <c r="N102" s="43"/>
      <c r="O102" s="43">
        <v>567</v>
      </c>
      <c r="P102" s="43"/>
      <c r="Q102" s="43">
        <v>423</v>
      </c>
      <c r="R102" s="43"/>
      <c r="S102" s="36">
        <f t="shared" si="31"/>
        <v>2986</v>
      </c>
    </row>
    <row r="103" spans="1:19">
      <c r="A103" s="33" t="s">
        <v>412</v>
      </c>
      <c r="B103" s="56" t="s">
        <v>403</v>
      </c>
      <c r="C103" s="56"/>
      <c r="D103" s="35"/>
      <c r="E103" s="37"/>
      <c r="F103" s="37"/>
      <c r="G103" s="37">
        <v>888</v>
      </c>
      <c r="H103" s="37">
        <v>1024</v>
      </c>
      <c r="I103" s="37">
        <v>3283</v>
      </c>
      <c r="J103" s="37">
        <v>260</v>
      </c>
      <c r="K103" s="37"/>
      <c r="L103" s="37"/>
      <c r="M103" s="37"/>
      <c r="N103" s="37"/>
      <c r="O103" s="37">
        <v>969</v>
      </c>
      <c r="P103" s="37"/>
      <c r="Q103" s="37"/>
      <c r="R103" s="37"/>
      <c r="S103" s="36">
        <f t="shared" si="31"/>
        <v>6424</v>
      </c>
    </row>
    <row r="104" spans="1:19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/>
      <c r="I104" s="43"/>
      <c r="J104" s="43"/>
      <c r="K104" s="43">
        <f>587+244</f>
        <v>831</v>
      </c>
      <c r="L104" s="43">
        <f>202+97+209</f>
        <v>508</v>
      </c>
      <c r="M104" s="43">
        <f>323+148</f>
        <v>471</v>
      </c>
      <c r="N104" s="43">
        <f>383+158</f>
        <v>541</v>
      </c>
      <c r="O104" s="43"/>
      <c r="P104" s="43"/>
      <c r="Q104" s="43"/>
      <c r="R104" s="43">
        <f>293+159</f>
        <v>452</v>
      </c>
      <c r="S104" s="36">
        <f t="shared" si="31"/>
        <v>2803</v>
      </c>
    </row>
    <row r="105" spans="1:19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36">
        <f t="shared" si="31"/>
        <v>0</v>
      </c>
    </row>
    <row r="106" spans="1:19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36">
        <f t="shared" si="31"/>
        <v>0</v>
      </c>
    </row>
    <row r="107" spans="1:19">
      <c r="A107" s="33" t="s">
        <v>417</v>
      </c>
      <c r="B107" s="34" t="s">
        <v>418</v>
      </c>
      <c r="C107" s="34"/>
      <c r="D107" s="35"/>
      <c r="E107" s="37">
        <v>90</v>
      </c>
      <c r="F107" s="37">
        <v>48</v>
      </c>
      <c r="G107" s="37">
        <v>80</v>
      </c>
      <c r="H107" s="37">
        <v>48</v>
      </c>
      <c r="I107" s="37">
        <v>13</v>
      </c>
      <c r="J107" s="37"/>
      <c r="K107" s="37">
        <v>12</v>
      </c>
      <c r="L107" s="37">
        <v>17</v>
      </c>
      <c r="M107" s="37">
        <v>3</v>
      </c>
      <c r="N107" s="37"/>
      <c r="O107" s="37"/>
      <c r="P107" s="37">
        <v>3</v>
      </c>
      <c r="Q107" s="37"/>
      <c r="R107" s="37">
        <v>8</v>
      </c>
      <c r="S107" s="36">
        <f t="shared" si="31"/>
        <v>322</v>
      </c>
    </row>
    <row r="108" spans="1:19">
      <c r="A108" s="33" t="s">
        <v>419</v>
      </c>
      <c r="B108" s="56" t="s">
        <v>420</v>
      </c>
      <c r="C108" s="56"/>
      <c r="D108" s="47"/>
      <c r="E108" s="37">
        <v>32622</v>
      </c>
      <c r="F108" s="37">
        <v>9046</v>
      </c>
      <c r="G108" s="37">
        <v>13627</v>
      </c>
      <c r="H108" s="37">
        <v>17902</v>
      </c>
      <c r="I108" s="37">
        <v>25772.240000000002</v>
      </c>
      <c r="J108" s="37">
        <v>13105.71</v>
      </c>
      <c r="K108" s="37">
        <f>10602.95+3127.29</f>
        <v>13730.240000000002</v>
      </c>
      <c r="L108" s="37">
        <v>6627.96</v>
      </c>
      <c r="M108" s="37">
        <v>11478.41</v>
      </c>
      <c r="N108" s="37">
        <v>9116.92</v>
      </c>
      <c r="O108" s="37">
        <v>33999.89</v>
      </c>
      <c r="P108" s="37">
        <v>2300</v>
      </c>
      <c r="Q108" s="37">
        <v>13284.58</v>
      </c>
      <c r="R108" s="37">
        <f>2564.98+1394.54</f>
        <v>3959.52</v>
      </c>
      <c r="S108" s="36">
        <f t="shared" si="31"/>
        <v>206572.47000000003</v>
      </c>
    </row>
    <row r="109" spans="1:19">
      <c r="A109" s="33" t="s">
        <v>421</v>
      </c>
      <c r="B109" s="56" t="s">
        <v>422</v>
      </c>
      <c r="C109" s="56"/>
      <c r="D109" s="47"/>
      <c r="E109" s="37">
        <v>29824</v>
      </c>
      <c r="F109" s="37">
        <v>8662</v>
      </c>
      <c r="G109" s="37">
        <v>8000</v>
      </c>
      <c r="H109" s="37">
        <v>8000</v>
      </c>
      <c r="I109" s="37">
        <v>15855</v>
      </c>
      <c r="J109" s="37">
        <v>4669</v>
      </c>
      <c r="K109" s="37">
        <f>4900+1492</f>
        <v>6392</v>
      </c>
      <c r="L109" s="37">
        <v>4663.8</v>
      </c>
      <c r="M109" s="37">
        <v>6585.2</v>
      </c>
      <c r="N109" s="37">
        <v>3060</v>
      </c>
      <c r="O109" s="37">
        <v>21060</v>
      </c>
      <c r="P109" s="37"/>
      <c r="Q109" s="37">
        <v>6784</v>
      </c>
      <c r="R109" s="37">
        <v>4013</v>
      </c>
      <c r="S109" s="36">
        <f t="shared" si="31"/>
        <v>127568</v>
      </c>
    </row>
    <row r="113" spans="5:7">
      <c r="E113" s="90"/>
      <c r="F113" s="90"/>
      <c r="G113" s="90"/>
    </row>
  </sheetData>
  <protectedRanges>
    <protectedRange password="E9C1" sqref="B31:D109 A4:D12 A2:S3 B13:D28 A13:A109 S4:S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S1"/>
  </mergeCells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9"/>
  <sheetViews>
    <sheetView topLeftCell="L1" workbookViewId="0">
      <selection activeCell="W3" sqref="W3:W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24" ht="25.5">
      <c r="A1" s="219" t="s">
        <v>177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</row>
    <row r="2" spans="1:24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118</v>
      </c>
      <c r="F2" s="32" t="s">
        <v>119</v>
      </c>
      <c r="G2" s="32" t="s">
        <v>447</v>
      </c>
      <c r="H2" s="32" t="s">
        <v>120</v>
      </c>
      <c r="I2" s="32" t="s">
        <v>121</v>
      </c>
      <c r="J2" s="32" t="s">
        <v>425</v>
      </c>
      <c r="K2" s="32" t="s">
        <v>123</v>
      </c>
      <c r="L2" s="32" t="s">
        <v>448</v>
      </c>
      <c r="M2" s="32" t="s">
        <v>449</v>
      </c>
      <c r="N2" s="32" t="s">
        <v>427</v>
      </c>
      <c r="O2" s="32" t="s">
        <v>569</v>
      </c>
      <c r="P2" s="32" t="s">
        <v>569</v>
      </c>
      <c r="Q2" s="32" t="s">
        <v>569</v>
      </c>
      <c r="R2" s="32" t="s">
        <v>569</v>
      </c>
      <c r="S2" s="32" t="s">
        <v>569</v>
      </c>
      <c r="T2" s="32" t="s">
        <v>569</v>
      </c>
      <c r="U2" s="32" t="s">
        <v>569</v>
      </c>
      <c r="V2" s="32" t="s">
        <v>569</v>
      </c>
      <c r="W2" s="32" t="s">
        <v>25</v>
      </c>
      <c r="X2" s="176" t="s">
        <v>570</v>
      </c>
    </row>
    <row r="3" spans="1:24">
      <c r="A3" s="33" t="s">
        <v>181</v>
      </c>
      <c r="B3" s="34" t="s">
        <v>182</v>
      </c>
      <c r="C3" s="34"/>
      <c r="D3" s="35" t="s">
        <v>183</v>
      </c>
      <c r="E3" s="36">
        <f>E4+E31+E52</f>
        <v>29918164</v>
      </c>
      <c r="F3" s="36">
        <f t="shared" ref="F3:V3" si="0">F4+F31+F52</f>
        <v>22685002</v>
      </c>
      <c r="G3" s="36">
        <f t="shared" si="0"/>
        <v>42423128.399999999</v>
      </c>
      <c r="H3" s="36">
        <f t="shared" si="0"/>
        <v>30612200.399999999</v>
      </c>
      <c r="I3" s="36">
        <f t="shared" si="0"/>
        <v>23928219.149999999</v>
      </c>
      <c r="J3" s="36">
        <f t="shared" si="0"/>
        <v>18142838.75</v>
      </c>
      <c r="K3" s="36">
        <f t="shared" si="0"/>
        <v>17048274.75</v>
      </c>
      <c r="L3" s="36">
        <f t="shared" si="0"/>
        <v>12931780.699999999</v>
      </c>
      <c r="M3" s="36">
        <f t="shared" si="0"/>
        <v>15392648.25</v>
      </c>
      <c r="N3" s="36">
        <f t="shared" si="0"/>
        <v>474754</v>
      </c>
      <c r="O3" s="36">
        <f t="shared" si="0"/>
        <v>0</v>
      </c>
      <c r="P3" s="36">
        <f t="shared" si="0"/>
        <v>0</v>
      </c>
      <c r="Q3" s="36">
        <f t="shared" si="0"/>
        <v>0</v>
      </c>
      <c r="R3" s="36">
        <f t="shared" si="0"/>
        <v>0</v>
      </c>
      <c r="S3" s="36">
        <f t="shared" si="0"/>
        <v>0</v>
      </c>
      <c r="T3" s="37"/>
      <c r="U3" s="37"/>
      <c r="V3" s="36">
        <f t="shared" si="0"/>
        <v>0</v>
      </c>
      <c r="W3" s="36">
        <f>SUM(E3:V3)</f>
        <v>213557010.40000001</v>
      </c>
      <c r="X3" s="39"/>
    </row>
    <row r="4" spans="1:24">
      <c r="A4" s="33" t="s">
        <v>184</v>
      </c>
      <c r="B4" s="34" t="s">
        <v>128</v>
      </c>
      <c r="C4" s="34"/>
      <c r="D4" s="35" t="s">
        <v>183</v>
      </c>
      <c r="E4" s="36">
        <f t="shared" ref="E4:V4" si="1">E5+E8+E13+E17+E20+E22+E25+E27+E29+E30</f>
        <v>26810115</v>
      </c>
      <c r="F4" s="36">
        <f t="shared" si="1"/>
        <v>20001922</v>
      </c>
      <c r="G4" s="36">
        <f t="shared" si="1"/>
        <v>36947444</v>
      </c>
      <c r="H4" s="36">
        <f t="shared" si="1"/>
        <v>26073918</v>
      </c>
      <c r="I4" s="36">
        <f t="shared" si="1"/>
        <v>20442345</v>
      </c>
      <c r="J4" s="36">
        <f t="shared" si="1"/>
        <v>15662234</v>
      </c>
      <c r="K4" s="36">
        <f t="shared" si="1"/>
        <v>14906996</v>
      </c>
      <c r="L4" s="36">
        <f t="shared" si="1"/>
        <v>11263700</v>
      </c>
      <c r="M4" s="36">
        <f t="shared" si="1"/>
        <v>13551542</v>
      </c>
      <c r="N4" s="36">
        <f t="shared" si="1"/>
        <v>333581</v>
      </c>
      <c r="O4" s="36">
        <f t="shared" si="1"/>
        <v>0</v>
      </c>
      <c r="P4" s="36">
        <f t="shared" si="1"/>
        <v>0</v>
      </c>
      <c r="Q4" s="36">
        <f t="shared" si="1"/>
        <v>0</v>
      </c>
      <c r="R4" s="36">
        <f t="shared" si="1"/>
        <v>0</v>
      </c>
      <c r="S4" s="36">
        <f t="shared" si="1"/>
        <v>0</v>
      </c>
      <c r="T4" s="37"/>
      <c r="U4" s="37"/>
      <c r="V4" s="36">
        <f t="shared" si="1"/>
        <v>0</v>
      </c>
      <c r="W4" s="36">
        <f t="shared" ref="W4:W67" si="2">SUM(E4:V4)</f>
        <v>185993797</v>
      </c>
      <c r="X4" s="39"/>
    </row>
    <row r="5" spans="1:24">
      <c r="A5" s="33" t="s">
        <v>185</v>
      </c>
      <c r="B5" s="34" t="s">
        <v>186</v>
      </c>
      <c r="C5" s="34"/>
      <c r="D5" s="35" t="s">
        <v>183</v>
      </c>
      <c r="E5" s="36">
        <f>E6+E7</f>
        <v>3824810</v>
      </c>
      <c r="F5" s="36">
        <f t="shared" ref="F5:V5" si="3">F6+F7</f>
        <v>2882330</v>
      </c>
      <c r="G5" s="36">
        <f t="shared" si="3"/>
        <v>5712340</v>
      </c>
      <c r="H5" s="36">
        <f t="shared" si="3"/>
        <v>3577700</v>
      </c>
      <c r="I5" s="36">
        <f t="shared" si="3"/>
        <v>2865400</v>
      </c>
      <c r="J5" s="36">
        <f t="shared" si="3"/>
        <v>1905740</v>
      </c>
      <c r="K5" s="36">
        <f t="shared" si="3"/>
        <v>1898570</v>
      </c>
      <c r="L5" s="36">
        <f t="shared" si="3"/>
        <v>1515230</v>
      </c>
      <c r="M5" s="36">
        <f t="shared" si="3"/>
        <v>1884940</v>
      </c>
      <c r="N5" s="36">
        <f t="shared" si="3"/>
        <v>60670</v>
      </c>
      <c r="O5" s="36">
        <f t="shared" si="3"/>
        <v>0</v>
      </c>
      <c r="P5" s="36">
        <f t="shared" si="3"/>
        <v>0</v>
      </c>
      <c r="Q5" s="36">
        <f t="shared" si="3"/>
        <v>0</v>
      </c>
      <c r="R5" s="36">
        <f t="shared" si="3"/>
        <v>0</v>
      </c>
      <c r="S5" s="36">
        <f t="shared" si="3"/>
        <v>0</v>
      </c>
      <c r="T5" s="37"/>
      <c r="U5" s="37"/>
      <c r="V5" s="36">
        <f t="shared" si="3"/>
        <v>0</v>
      </c>
      <c r="W5" s="36">
        <f t="shared" si="2"/>
        <v>26127730</v>
      </c>
      <c r="X5" s="39"/>
    </row>
    <row r="6" spans="1:24">
      <c r="A6" s="33" t="s">
        <v>187</v>
      </c>
      <c r="B6" s="34" t="s">
        <v>188</v>
      </c>
      <c r="C6" s="34" t="s">
        <v>189</v>
      </c>
      <c r="D6" s="35" t="s">
        <v>190</v>
      </c>
      <c r="E6" s="37">
        <v>2173800</v>
      </c>
      <c r="F6" s="37">
        <v>1661220</v>
      </c>
      <c r="G6" s="37">
        <v>3051220</v>
      </c>
      <c r="H6" s="37">
        <v>2062200</v>
      </c>
      <c r="I6" s="37">
        <v>1603200</v>
      </c>
      <c r="J6" s="37">
        <v>1212520</v>
      </c>
      <c r="K6" s="37">
        <v>1162120</v>
      </c>
      <c r="L6" s="37">
        <v>928920</v>
      </c>
      <c r="M6" s="37">
        <v>1131720</v>
      </c>
      <c r="N6" s="37">
        <v>31940</v>
      </c>
      <c r="O6" s="37"/>
      <c r="P6" s="37"/>
      <c r="Q6" s="37"/>
      <c r="R6" s="37"/>
      <c r="S6" s="37"/>
      <c r="T6" s="37"/>
      <c r="U6" s="37"/>
      <c r="V6" s="37"/>
      <c r="W6" s="36">
        <f t="shared" si="2"/>
        <v>15018860</v>
      </c>
      <c r="X6" s="177"/>
    </row>
    <row r="7" spans="1:24">
      <c r="A7" s="33" t="s">
        <v>191</v>
      </c>
      <c r="B7" s="34" t="s">
        <v>192</v>
      </c>
      <c r="C7" s="34" t="s">
        <v>189</v>
      </c>
      <c r="D7" s="35" t="s">
        <v>190</v>
      </c>
      <c r="E7" s="37">
        <v>1651010</v>
      </c>
      <c r="F7" s="37">
        <v>1221110</v>
      </c>
      <c r="G7" s="37">
        <v>2661120</v>
      </c>
      <c r="H7" s="37">
        <v>1515500</v>
      </c>
      <c r="I7" s="37">
        <v>1262200</v>
      </c>
      <c r="J7" s="37">
        <v>693220</v>
      </c>
      <c r="K7" s="37">
        <v>736450</v>
      </c>
      <c r="L7" s="37">
        <v>586310</v>
      </c>
      <c r="M7" s="37">
        <v>753220</v>
      </c>
      <c r="N7" s="37">
        <v>28730</v>
      </c>
      <c r="O7" s="37"/>
      <c r="P7" s="37"/>
      <c r="Q7" s="37"/>
      <c r="R7" s="37"/>
      <c r="S7" s="37"/>
      <c r="T7" s="37"/>
      <c r="U7" s="37"/>
      <c r="V7" s="37"/>
      <c r="W7" s="36">
        <f t="shared" si="2"/>
        <v>11108870</v>
      </c>
      <c r="X7" s="39"/>
    </row>
    <row r="8" spans="1:24">
      <c r="A8" s="33" t="s">
        <v>193</v>
      </c>
      <c r="B8" s="34" t="s">
        <v>194</v>
      </c>
      <c r="C8" s="34"/>
      <c r="D8" s="35" t="s">
        <v>183</v>
      </c>
      <c r="E8" s="36">
        <f>E9+E10</f>
        <v>460720</v>
      </c>
      <c r="F8" s="36">
        <f t="shared" ref="F8:V8" si="4">F9+F10</f>
        <v>347088</v>
      </c>
      <c r="G8" s="36">
        <f t="shared" si="4"/>
        <v>641756</v>
      </c>
      <c r="H8" s="36">
        <f t="shared" si="4"/>
        <v>466772</v>
      </c>
      <c r="I8" s="36">
        <f t="shared" si="4"/>
        <v>353380</v>
      </c>
      <c r="J8" s="36">
        <f t="shared" si="4"/>
        <v>281354</v>
      </c>
      <c r="K8" s="36">
        <f t="shared" si="4"/>
        <v>259916</v>
      </c>
      <c r="L8" s="36">
        <f t="shared" si="4"/>
        <v>216420</v>
      </c>
      <c r="M8" s="36">
        <f t="shared" si="4"/>
        <v>254712</v>
      </c>
      <c r="N8" s="36">
        <f t="shared" si="4"/>
        <v>5472</v>
      </c>
      <c r="O8" s="36">
        <f t="shared" si="4"/>
        <v>0</v>
      </c>
      <c r="P8" s="36">
        <f t="shared" si="4"/>
        <v>0</v>
      </c>
      <c r="Q8" s="36">
        <f t="shared" si="4"/>
        <v>0</v>
      </c>
      <c r="R8" s="36">
        <f t="shared" si="4"/>
        <v>0</v>
      </c>
      <c r="S8" s="36">
        <f t="shared" si="4"/>
        <v>0</v>
      </c>
      <c r="T8" s="37"/>
      <c r="U8" s="37"/>
      <c r="V8" s="36">
        <f t="shared" si="4"/>
        <v>0</v>
      </c>
      <c r="W8" s="36">
        <f t="shared" si="2"/>
        <v>3287590</v>
      </c>
      <c r="X8" s="39"/>
    </row>
    <row r="9" spans="1:24">
      <c r="A9" s="33" t="s">
        <v>195</v>
      </c>
      <c r="B9" s="34" t="s">
        <v>196</v>
      </c>
      <c r="C9" s="34" t="s">
        <v>189</v>
      </c>
      <c r="D9" s="35" t="s">
        <v>190</v>
      </c>
      <c r="E9" s="37">
        <v>5800</v>
      </c>
      <c r="F9" s="37">
        <v>4560</v>
      </c>
      <c r="G9" s="37">
        <v>10220</v>
      </c>
      <c r="H9" s="37">
        <v>6500</v>
      </c>
      <c r="I9" s="37">
        <v>5500</v>
      </c>
      <c r="J9" s="37">
        <v>3050</v>
      </c>
      <c r="K9" s="37">
        <v>3020</v>
      </c>
      <c r="L9" s="37">
        <v>2340</v>
      </c>
      <c r="M9" s="37">
        <v>3168</v>
      </c>
      <c r="N9" s="37">
        <v>120</v>
      </c>
      <c r="O9" s="37"/>
      <c r="P9" s="37"/>
      <c r="Q9" s="37"/>
      <c r="R9" s="37"/>
      <c r="S9" s="37"/>
      <c r="T9" s="37"/>
      <c r="U9" s="37"/>
      <c r="V9" s="37"/>
      <c r="W9" s="36">
        <f t="shared" si="2"/>
        <v>44278</v>
      </c>
      <c r="X9" s="39"/>
    </row>
    <row r="10" spans="1:24">
      <c r="A10" s="33" t="s">
        <v>197</v>
      </c>
      <c r="B10" s="34" t="s">
        <v>198</v>
      </c>
      <c r="C10" s="34"/>
      <c r="D10" s="35" t="s">
        <v>183</v>
      </c>
      <c r="E10" s="36">
        <f>E11+E12</f>
        <v>454920</v>
      </c>
      <c r="F10" s="36">
        <f t="shared" ref="F10:V10" si="5">F11+F12</f>
        <v>342528</v>
      </c>
      <c r="G10" s="36">
        <f t="shared" si="5"/>
        <v>631536</v>
      </c>
      <c r="H10" s="36">
        <f t="shared" si="5"/>
        <v>460272</v>
      </c>
      <c r="I10" s="36">
        <f t="shared" si="5"/>
        <v>347880</v>
      </c>
      <c r="J10" s="36">
        <f t="shared" si="5"/>
        <v>278304</v>
      </c>
      <c r="K10" s="36">
        <f t="shared" si="5"/>
        <v>256896</v>
      </c>
      <c r="L10" s="36">
        <f t="shared" si="5"/>
        <v>214080</v>
      </c>
      <c r="M10" s="36">
        <f t="shared" si="5"/>
        <v>251544</v>
      </c>
      <c r="N10" s="36">
        <f t="shared" si="5"/>
        <v>5352</v>
      </c>
      <c r="O10" s="36">
        <f t="shared" si="5"/>
        <v>0</v>
      </c>
      <c r="P10" s="36">
        <f t="shared" si="5"/>
        <v>0</v>
      </c>
      <c r="Q10" s="36">
        <f t="shared" si="5"/>
        <v>0</v>
      </c>
      <c r="R10" s="36">
        <f t="shared" si="5"/>
        <v>0</v>
      </c>
      <c r="S10" s="36">
        <f t="shared" si="5"/>
        <v>0</v>
      </c>
      <c r="T10" s="37"/>
      <c r="U10" s="37"/>
      <c r="V10" s="36">
        <f t="shared" si="5"/>
        <v>0</v>
      </c>
      <c r="W10" s="36">
        <f t="shared" si="2"/>
        <v>3243312</v>
      </c>
      <c r="X10" s="39"/>
    </row>
    <row r="11" spans="1:24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6120</v>
      </c>
      <c r="F11" s="36">
        <f t="shared" ref="F11:V11" si="6">72*F96</f>
        <v>4608</v>
      </c>
      <c r="G11" s="36">
        <f t="shared" si="6"/>
        <v>8496</v>
      </c>
      <c r="H11" s="36">
        <f t="shared" si="6"/>
        <v>6192</v>
      </c>
      <c r="I11" s="36">
        <f t="shared" si="6"/>
        <v>4680</v>
      </c>
      <c r="J11" s="36">
        <f t="shared" si="6"/>
        <v>3744</v>
      </c>
      <c r="K11" s="36">
        <f t="shared" si="6"/>
        <v>3456</v>
      </c>
      <c r="L11" s="36">
        <f t="shared" si="6"/>
        <v>2880</v>
      </c>
      <c r="M11" s="36">
        <f t="shared" si="6"/>
        <v>3384</v>
      </c>
      <c r="N11" s="36">
        <f t="shared" si="6"/>
        <v>72</v>
      </c>
      <c r="O11" s="36">
        <f t="shared" si="6"/>
        <v>0</v>
      </c>
      <c r="P11" s="36">
        <f t="shared" si="6"/>
        <v>0</v>
      </c>
      <c r="Q11" s="36">
        <f t="shared" si="6"/>
        <v>0</v>
      </c>
      <c r="R11" s="36">
        <f t="shared" si="6"/>
        <v>0</v>
      </c>
      <c r="S11" s="36">
        <f t="shared" si="6"/>
        <v>0</v>
      </c>
      <c r="T11" s="37"/>
      <c r="U11" s="37"/>
      <c r="V11" s="36">
        <f t="shared" si="6"/>
        <v>0</v>
      </c>
      <c r="W11" s="36">
        <f t="shared" si="2"/>
        <v>43632</v>
      </c>
      <c r="X11" s="39"/>
    </row>
    <row r="12" spans="1:24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448800</v>
      </c>
      <c r="F12" s="36">
        <f t="shared" ref="F12:V12" si="7">440*12*F96</f>
        <v>337920</v>
      </c>
      <c r="G12" s="36">
        <f t="shared" si="7"/>
        <v>623040</v>
      </c>
      <c r="H12" s="36">
        <f t="shared" si="7"/>
        <v>454080</v>
      </c>
      <c r="I12" s="36">
        <f t="shared" si="7"/>
        <v>343200</v>
      </c>
      <c r="J12" s="36">
        <f t="shared" si="7"/>
        <v>274560</v>
      </c>
      <c r="K12" s="36">
        <f t="shared" si="7"/>
        <v>253440</v>
      </c>
      <c r="L12" s="36">
        <f t="shared" si="7"/>
        <v>211200</v>
      </c>
      <c r="M12" s="36">
        <f t="shared" si="7"/>
        <v>248160</v>
      </c>
      <c r="N12" s="36">
        <f t="shared" si="7"/>
        <v>5280</v>
      </c>
      <c r="O12" s="36">
        <f t="shared" si="7"/>
        <v>0</v>
      </c>
      <c r="P12" s="36">
        <f t="shared" si="7"/>
        <v>0</v>
      </c>
      <c r="Q12" s="36">
        <f t="shared" si="7"/>
        <v>0</v>
      </c>
      <c r="R12" s="36">
        <f t="shared" si="7"/>
        <v>0</v>
      </c>
      <c r="S12" s="36">
        <f t="shared" si="7"/>
        <v>0</v>
      </c>
      <c r="T12" s="37"/>
      <c r="U12" s="37"/>
      <c r="V12" s="36">
        <f t="shared" si="7"/>
        <v>0</v>
      </c>
      <c r="W12" s="36">
        <f t="shared" si="2"/>
        <v>3199680</v>
      </c>
      <c r="X12" s="39"/>
    </row>
    <row r="13" spans="1:24">
      <c r="A13" s="33" t="s">
        <v>203</v>
      </c>
      <c r="B13" s="34" t="s">
        <v>204</v>
      </c>
      <c r="C13" s="34"/>
      <c r="D13" s="35" t="s">
        <v>205</v>
      </c>
      <c r="E13" s="36">
        <f>E14+E15+E16</f>
        <v>425600</v>
      </c>
      <c r="F13" s="36">
        <f t="shared" ref="F13:V13" si="8">F14+F15+F16</f>
        <v>310600</v>
      </c>
      <c r="G13" s="36">
        <f t="shared" si="8"/>
        <v>555250</v>
      </c>
      <c r="H13" s="36">
        <f t="shared" si="8"/>
        <v>390600</v>
      </c>
      <c r="I13" s="36">
        <f t="shared" si="8"/>
        <v>325400</v>
      </c>
      <c r="J13" s="36">
        <f t="shared" si="8"/>
        <v>275100</v>
      </c>
      <c r="K13" s="36">
        <f t="shared" si="8"/>
        <v>270250</v>
      </c>
      <c r="L13" s="36">
        <f t="shared" si="8"/>
        <v>167750</v>
      </c>
      <c r="M13" s="36">
        <f t="shared" si="8"/>
        <v>208250</v>
      </c>
      <c r="N13" s="36">
        <f t="shared" si="8"/>
        <v>5810</v>
      </c>
      <c r="O13" s="36">
        <f t="shared" si="8"/>
        <v>0</v>
      </c>
      <c r="P13" s="36">
        <f t="shared" si="8"/>
        <v>0</v>
      </c>
      <c r="Q13" s="36">
        <f t="shared" si="8"/>
        <v>0</v>
      </c>
      <c r="R13" s="36">
        <f t="shared" si="8"/>
        <v>0</v>
      </c>
      <c r="S13" s="36">
        <f t="shared" si="8"/>
        <v>0</v>
      </c>
      <c r="T13" s="37"/>
      <c r="U13" s="37"/>
      <c r="V13" s="36">
        <f t="shared" si="8"/>
        <v>0</v>
      </c>
      <c r="W13" s="36">
        <f t="shared" si="2"/>
        <v>2934610</v>
      </c>
      <c r="X13" s="39"/>
    </row>
    <row r="14" spans="1:24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255360</v>
      </c>
      <c r="F14" s="36">
        <f t="shared" ref="F14:V14" si="9">F16*3</f>
        <v>186360</v>
      </c>
      <c r="G14" s="36">
        <f t="shared" si="9"/>
        <v>333150</v>
      </c>
      <c r="H14" s="36">
        <f t="shared" si="9"/>
        <v>234360</v>
      </c>
      <c r="I14" s="36">
        <f t="shared" si="9"/>
        <v>195240</v>
      </c>
      <c r="J14" s="36">
        <f t="shared" si="9"/>
        <v>165060</v>
      </c>
      <c r="K14" s="36">
        <f t="shared" si="9"/>
        <v>162150</v>
      </c>
      <c r="L14" s="36">
        <f t="shared" si="9"/>
        <v>100650</v>
      </c>
      <c r="M14" s="36">
        <f t="shared" si="9"/>
        <v>124950</v>
      </c>
      <c r="N14" s="36">
        <f t="shared" si="9"/>
        <v>3486</v>
      </c>
      <c r="O14" s="36">
        <f t="shared" si="9"/>
        <v>0</v>
      </c>
      <c r="P14" s="36">
        <f t="shared" si="9"/>
        <v>0</v>
      </c>
      <c r="Q14" s="36">
        <f t="shared" si="9"/>
        <v>0</v>
      </c>
      <c r="R14" s="36">
        <f t="shared" si="9"/>
        <v>0</v>
      </c>
      <c r="S14" s="36">
        <f t="shared" si="9"/>
        <v>0</v>
      </c>
      <c r="T14" s="37"/>
      <c r="U14" s="37"/>
      <c r="V14" s="36">
        <f t="shared" si="9"/>
        <v>0</v>
      </c>
      <c r="W14" s="36">
        <f t="shared" si="2"/>
        <v>1760766</v>
      </c>
      <c r="X14" s="39"/>
    </row>
    <row r="15" spans="1:24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85120</v>
      </c>
      <c r="F15" s="36">
        <f t="shared" ref="F15:V15" si="10">F16</f>
        <v>62120</v>
      </c>
      <c r="G15" s="36">
        <f t="shared" si="10"/>
        <v>111050</v>
      </c>
      <c r="H15" s="36">
        <f t="shared" si="10"/>
        <v>78120</v>
      </c>
      <c r="I15" s="36">
        <f t="shared" si="10"/>
        <v>65080</v>
      </c>
      <c r="J15" s="36">
        <f t="shared" si="10"/>
        <v>55020</v>
      </c>
      <c r="K15" s="36">
        <f t="shared" si="10"/>
        <v>54050</v>
      </c>
      <c r="L15" s="36">
        <f t="shared" si="10"/>
        <v>33550</v>
      </c>
      <c r="M15" s="36">
        <f t="shared" si="10"/>
        <v>41650</v>
      </c>
      <c r="N15" s="36">
        <f t="shared" si="10"/>
        <v>1162</v>
      </c>
      <c r="O15" s="36">
        <f t="shared" si="10"/>
        <v>0</v>
      </c>
      <c r="P15" s="36">
        <f t="shared" si="10"/>
        <v>0</v>
      </c>
      <c r="Q15" s="36">
        <f t="shared" si="10"/>
        <v>0</v>
      </c>
      <c r="R15" s="36">
        <f t="shared" si="10"/>
        <v>0</v>
      </c>
      <c r="S15" s="36">
        <f t="shared" si="10"/>
        <v>0</v>
      </c>
      <c r="T15" s="37"/>
      <c r="U15" s="37"/>
      <c r="V15" s="36">
        <f t="shared" si="10"/>
        <v>0</v>
      </c>
      <c r="W15" s="36">
        <f t="shared" si="2"/>
        <v>586922</v>
      </c>
      <c r="X15" s="39"/>
    </row>
    <row r="16" spans="1:24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v>85120</v>
      </c>
      <c r="F16" s="37">
        <v>62120</v>
      </c>
      <c r="G16" s="37">
        <v>111050</v>
      </c>
      <c r="H16" s="37">
        <v>78120</v>
      </c>
      <c r="I16" s="37">
        <v>65080</v>
      </c>
      <c r="J16" s="37">
        <v>55020</v>
      </c>
      <c r="K16" s="37">
        <v>54050</v>
      </c>
      <c r="L16" s="37">
        <v>33550</v>
      </c>
      <c r="M16" s="37">
        <v>41650</v>
      </c>
      <c r="N16" s="37">
        <v>1162</v>
      </c>
      <c r="O16" s="37"/>
      <c r="P16" s="37"/>
      <c r="Q16" s="37"/>
      <c r="R16" s="37"/>
      <c r="S16" s="37"/>
      <c r="T16" s="37"/>
      <c r="U16" s="37"/>
      <c r="V16" s="37"/>
      <c r="W16" s="36">
        <f t="shared" si="2"/>
        <v>586922</v>
      </c>
      <c r="X16" s="39"/>
    </row>
    <row r="17" spans="1:24">
      <c r="A17" s="33" t="s">
        <v>213</v>
      </c>
      <c r="B17" s="34" t="s">
        <v>214</v>
      </c>
      <c r="C17" s="34"/>
      <c r="D17" s="35" t="s">
        <v>183</v>
      </c>
      <c r="E17" s="36">
        <f>E18+E19</f>
        <v>13622185</v>
      </c>
      <c r="F17" s="36">
        <f t="shared" ref="F17:V17" si="11">F18+F19</f>
        <v>10256704</v>
      </c>
      <c r="G17" s="36">
        <f t="shared" si="11"/>
        <v>18910798</v>
      </c>
      <c r="H17" s="36">
        <f t="shared" si="11"/>
        <v>13782446</v>
      </c>
      <c r="I17" s="36">
        <f t="shared" si="11"/>
        <v>10416965</v>
      </c>
      <c r="J17" s="36">
        <f t="shared" si="11"/>
        <v>7749040</v>
      </c>
      <c r="K17" s="36">
        <f t="shared" si="11"/>
        <v>7152960</v>
      </c>
      <c r="L17" s="36">
        <f t="shared" si="11"/>
        <v>5960800</v>
      </c>
      <c r="M17" s="36">
        <f t="shared" si="11"/>
        <v>7003940</v>
      </c>
      <c r="N17" s="36">
        <f t="shared" si="11"/>
        <v>147449</v>
      </c>
      <c r="O17" s="36">
        <f t="shared" si="11"/>
        <v>0</v>
      </c>
      <c r="P17" s="36">
        <f t="shared" si="11"/>
        <v>0</v>
      </c>
      <c r="Q17" s="36">
        <f t="shared" si="11"/>
        <v>0</v>
      </c>
      <c r="R17" s="36">
        <f t="shared" si="11"/>
        <v>0</v>
      </c>
      <c r="S17" s="36">
        <f t="shared" si="11"/>
        <v>0</v>
      </c>
      <c r="T17" s="37"/>
      <c r="U17" s="37"/>
      <c r="V17" s="36">
        <f t="shared" si="11"/>
        <v>0</v>
      </c>
      <c r="W17" s="36">
        <f t="shared" si="2"/>
        <v>95003287</v>
      </c>
      <c r="X17" s="39"/>
    </row>
    <row r="18" spans="1:24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v>13414173</v>
      </c>
      <c r="F18" s="43">
        <v>10094832</v>
      </c>
      <c r="G18" s="43">
        <v>18497654</v>
      </c>
      <c r="H18" s="43">
        <v>13427322</v>
      </c>
      <c r="I18" s="43">
        <v>10416965</v>
      </c>
      <c r="J18" s="43">
        <v>7597876</v>
      </c>
      <c r="K18" s="43">
        <v>6977251</v>
      </c>
      <c r="L18" s="43">
        <v>5801368</v>
      </c>
      <c r="M18" s="43">
        <v>6840632</v>
      </c>
      <c r="N18" s="43">
        <v>147449</v>
      </c>
      <c r="O18" s="43"/>
      <c r="P18" s="43"/>
      <c r="Q18" s="43"/>
      <c r="R18" s="43"/>
      <c r="S18" s="43"/>
      <c r="T18" s="43"/>
      <c r="U18" s="43"/>
      <c r="V18" s="43"/>
      <c r="W18" s="36">
        <f t="shared" si="2"/>
        <v>93215522</v>
      </c>
      <c r="X18" s="42"/>
    </row>
    <row r="19" spans="1:24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208012</v>
      </c>
      <c r="F19" s="43">
        <v>161872</v>
      </c>
      <c r="G19" s="43">
        <v>413144</v>
      </c>
      <c r="H19" s="43">
        <v>355124</v>
      </c>
      <c r="I19" s="43"/>
      <c r="J19" s="43">
        <v>151164</v>
      </c>
      <c r="K19" s="43">
        <v>175709</v>
      </c>
      <c r="L19" s="43">
        <v>159432</v>
      </c>
      <c r="M19" s="43">
        <v>163308</v>
      </c>
      <c r="N19" s="43"/>
      <c r="O19" s="43"/>
      <c r="P19" s="43"/>
      <c r="Q19" s="43"/>
      <c r="R19" s="43"/>
      <c r="S19" s="43"/>
      <c r="T19" s="43"/>
      <c r="U19" s="43"/>
      <c r="V19" s="43"/>
      <c r="W19" s="36">
        <f t="shared" si="2"/>
        <v>1787765</v>
      </c>
      <c r="X19" s="42"/>
    </row>
    <row r="20" spans="1:24">
      <c r="A20" s="33" t="s">
        <v>221</v>
      </c>
      <c r="B20" s="34" t="s">
        <v>222</v>
      </c>
      <c r="C20" s="34"/>
      <c r="D20" s="42" t="s">
        <v>183</v>
      </c>
      <c r="E20" s="45">
        <f>E21</f>
        <v>1702400</v>
      </c>
      <c r="F20" s="45">
        <f t="shared" ref="F20:V20" si="12">F21</f>
        <v>1242400</v>
      </c>
      <c r="G20" s="45">
        <f t="shared" si="12"/>
        <v>2221000</v>
      </c>
      <c r="H20" s="45">
        <f t="shared" si="12"/>
        <v>1562400</v>
      </c>
      <c r="I20" s="45">
        <f t="shared" si="12"/>
        <v>1301600</v>
      </c>
      <c r="J20" s="45">
        <f t="shared" si="12"/>
        <v>1100400</v>
      </c>
      <c r="K20" s="45">
        <f t="shared" si="12"/>
        <v>1081000</v>
      </c>
      <c r="L20" s="45">
        <f t="shared" si="12"/>
        <v>671000</v>
      </c>
      <c r="M20" s="45">
        <f t="shared" si="12"/>
        <v>833000</v>
      </c>
      <c r="N20" s="45">
        <f t="shared" si="12"/>
        <v>23240</v>
      </c>
      <c r="O20" s="45">
        <f t="shared" si="12"/>
        <v>0</v>
      </c>
      <c r="P20" s="45">
        <f t="shared" si="12"/>
        <v>0</v>
      </c>
      <c r="Q20" s="45">
        <f t="shared" si="12"/>
        <v>0</v>
      </c>
      <c r="R20" s="45">
        <f t="shared" si="12"/>
        <v>0</v>
      </c>
      <c r="S20" s="45">
        <f t="shared" si="12"/>
        <v>0</v>
      </c>
      <c r="T20" s="43"/>
      <c r="U20" s="43"/>
      <c r="V20" s="45">
        <f t="shared" si="12"/>
        <v>0</v>
      </c>
      <c r="W20" s="36">
        <f t="shared" si="2"/>
        <v>11738440</v>
      </c>
      <c r="X20" s="42"/>
    </row>
    <row r="21" spans="1:24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1702400</v>
      </c>
      <c r="F21" s="45">
        <f t="shared" ref="F21:V21" si="13">F16*20</f>
        <v>1242400</v>
      </c>
      <c r="G21" s="45">
        <f t="shared" si="13"/>
        <v>2221000</v>
      </c>
      <c r="H21" s="45">
        <f t="shared" si="13"/>
        <v>1562400</v>
      </c>
      <c r="I21" s="45">
        <f t="shared" si="13"/>
        <v>1301600</v>
      </c>
      <c r="J21" s="45">
        <f t="shared" si="13"/>
        <v>1100400</v>
      </c>
      <c r="K21" s="45">
        <f t="shared" si="13"/>
        <v>1081000</v>
      </c>
      <c r="L21" s="45">
        <f t="shared" si="13"/>
        <v>671000</v>
      </c>
      <c r="M21" s="45">
        <f t="shared" si="13"/>
        <v>833000</v>
      </c>
      <c r="N21" s="45">
        <f t="shared" si="13"/>
        <v>23240</v>
      </c>
      <c r="O21" s="45">
        <f t="shared" si="13"/>
        <v>0</v>
      </c>
      <c r="P21" s="45">
        <f t="shared" si="13"/>
        <v>0</v>
      </c>
      <c r="Q21" s="45">
        <f t="shared" si="13"/>
        <v>0</v>
      </c>
      <c r="R21" s="45">
        <f t="shared" si="13"/>
        <v>0</v>
      </c>
      <c r="S21" s="45">
        <f t="shared" si="13"/>
        <v>0</v>
      </c>
      <c r="T21" s="43"/>
      <c r="U21" s="43"/>
      <c r="V21" s="45">
        <f t="shared" si="13"/>
        <v>0</v>
      </c>
      <c r="W21" s="36">
        <f t="shared" si="2"/>
        <v>11738440</v>
      </c>
      <c r="X21" s="42"/>
    </row>
    <row r="22" spans="1:24">
      <c r="A22" s="33" t="s">
        <v>226</v>
      </c>
      <c r="B22" s="34" t="s">
        <v>227</v>
      </c>
      <c r="C22" s="34"/>
      <c r="D22" s="42" t="s">
        <v>208</v>
      </c>
      <c r="E22" s="45">
        <f>E23+E24</f>
        <v>680960</v>
      </c>
      <c r="F22" s="45">
        <f t="shared" ref="F22:V22" si="14">F23+F24</f>
        <v>496960</v>
      </c>
      <c r="G22" s="45">
        <f t="shared" si="14"/>
        <v>888400</v>
      </c>
      <c r="H22" s="45">
        <f t="shared" si="14"/>
        <v>624960</v>
      </c>
      <c r="I22" s="45">
        <f t="shared" si="14"/>
        <v>520640</v>
      </c>
      <c r="J22" s="45">
        <f t="shared" si="14"/>
        <v>440160</v>
      </c>
      <c r="K22" s="45">
        <f t="shared" si="14"/>
        <v>432400</v>
      </c>
      <c r="L22" s="45">
        <f t="shared" si="14"/>
        <v>268400</v>
      </c>
      <c r="M22" s="45">
        <f t="shared" si="14"/>
        <v>333200</v>
      </c>
      <c r="N22" s="45">
        <f t="shared" si="14"/>
        <v>9296</v>
      </c>
      <c r="O22" s="45">
        <f t="shared" si="14"/>
        <v>0</v>
      </c>
      <c r="P22" s="45">
        <f t="shared" si="14"/>
        <v>0</v>
      </c>
      <c r="Q22" s="45">
        <f t="shared" si="14"/>
        <v>0</v>
      </c>
      <c r="R22" s="45">
        <f t="shared" si="14"/>
        <v>0</v>
      </c>
      <c r="S22" s="45">
        <f t="shared" si="14"/>
        <v>0</v>
      </c>
      <c r="T22" s="43"/>
      <c r="U22" s="43"/>
      <c r="V22" s="45">
        <f t="shared" si="14"/>
        <v>0</v>
      </c>
      <c r="W22" s="36">
        <f t="shared" si="2"/>
        <v>4695376</v>
      </c>
      <c r="X22" s="42"/>
    </row>
    <row r="23" spans="1:24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340480</v>
      </c>
      <c r="F23" s="45">
        <f t="shared" ref="F23:V23" si="15">F16*4</f>
        <v>248480</v>
      </c>
      <c r="G23" s="45">
        <f t="shared" si="15"/>
        <v>444200</v>
      </c>
      <c r="H23" s="45">
        <f t="shared" si="15"/>
        <v>312480</v>
      </c>
      <c r="I23" s="45">
        <f t="shared" si="15"/>
        <v>260320</v>
      </c>
      <c r="J23" s="45">
        <f t="shared" si="15"/>
        <v>220080</v>
      </c>
      <c r="K23" s="45">
        <f t="shared" si="15"/>
        <v>216200</v>
      </c>
      <c r="L23" s="45">
        <f t="shared" si="15"/>
        <v>134200</v>
      </c>
      <c r="M23" s="45">
        <f t="shared" si="15"/>
        <v>166600</v>
      </c>
      <c r="N23" s="45">
        <f t="shared" si="15"/>
        <v>4648</v>
      </c>
      <c r="O23" s="45">
        <f t="shared" si="15"/>
        <v>0</v>
      </c>
      <c r="P23" s="45">
        <f t="shared" si="15"/>
        <v>0</v>
      </c>
      <c r="Q23" s="45">
        <f t="shared" si="15"/>
        <v>0</v>
      </c>
      <c r="R23" s="45">
        <f t="shared" si="15"/>
        <v>0</v>
      </c>
      <c r="S23" s="45">
        <f t="shared" si="15"/>
        <v>0</v>
      </c>
      <c r="T23" s="43"/>
      <c r="U23" s="43"/>
      <c r="V23" s="45">
        <f t="shared" si="15"/>
        <v>0</v>
      </c>
      <c r="W23" s="36">
        <f t="shared" si="2"/>
        <v>2347688</v>
      </c>
      <c r="X23" s="42"/>
    </row>
    <row r="24" spans="1:24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340480</v>
      </c>
      <c r="F24" s="45">
        <f t="shared" ref="F24:V24" si="16">F16*4</f>
        <v>248480</v>
      </c>
      <c r="G24" s="45">
        <f t="shared" si="16"/>
        <v>444200</v>
      </c>
      <c r="H24" s="45">
        <f t="shared" si="16"/>
        <v>312480</v>
      </c>
      <c r="I24" s="45">
        <f t="shared" si="16"/>
        <v>260320</v>
      </c>
      <c r="J24" s="45">
        <f t="shared" si="16"/>
        <v>220080</v>
      </c>
      <c r="K24" s="45">
        <f t="shared" si="16"/>
        <v>216200</v>
      </c>
      <c r="L24" s="45">
        <f t="shared" si="16"/>
        <v>134200</v>
      </c>
      <c r="M24" s="45">
        <f t="shared" si="16"/>
        <v>166600</v>
      </c>
      <c r="N24" s="45">
        <f t="shared" si="16"/>
        <v>4648</v>
      </c>
      <c r="O24" s="45">
        <f t="shared" si="16"/>
        <v>0</v>
      </c>
      <c r="P24" s="45">
        <f t="shared" si="16"/>
        <v>0</v>
      </c>
      <c r="Q24" s="45">
        <f t="shared" si="16"/>
        <v>0</v>
      </c>
      <c r="R24" s="45">
        <f t="shared" si="16"/>
        <v>0</v>
      </c>
      <c r="S24" s="45">
        <f t="shared" si="16"/>
        <v>0</v>
      </c>
      <c r="T24" s="43"/>
      <c r="U24" s="43"/>
      <c r="V24" s="45">
        <f t="shared" si="16"/>
        <v>0</v>
      </c>
      <c r="W24" s="36">
        <f t="shared" si="2"/>
        <v>2347688</v>
      </c>
      <c r="X24" s="42"/>
    </row>
    <row r="25" spans="1:24">
      <c r="A25" s="33" t="s">
        <v>233</v>
      </c>
      <c r="B25" s="34" t="s">
        <v>234</v>
      </c>
      <c r="C25" s="34"/>
      <c r="D25" s="35" t="s">
        <v>183</v>
      </c>
      <c r="E25" s="36">
        <f>E26</f>
        <v>2723840</v>
      </c>
      <c r="F25" s="36">
        <f t="shared" ref="F25:V25" si="17">F26</f>
        <v>1987840</v>
      </c>
      <c r="G25" s="36">
        <f t="shared" si="17"/>
        <v>3553600</v>
      </c>
      <c r="H25" s="36">
        <f t="shared" si="17"/>
        <v>2499840</v>
      </c>
      <c r="I25" s="36">
        <f t="shared" si="17"/>
        <v>2082560</v>
      </c>
      <c r="J25" s="36">
        <f t="shared" si="17"/>
        <v>1760640</v>
      </c>
      <c r="K25" s="36">
        <f t="shared" si="17"/>
        <v>1729600</v>
      </c>
      <c r="L25" s="36">
        <f t="shared" si="17"/>
        <v>1073600</v>
      </c>
      <c r="M25" s="36">
        <f t="shared" si="17"/>
        <v>1332800</v>
      </c>
      <c r="N25" s="36">
        <f t="shared" si="17"/>
        <v>37184</v>
      </c>
      <c r="O25" s="36">
        <f t="shared" si="17"/>
        <v>0</v>
      </c>
      <c r="P25" s="36">
        <f t="shared" si="17"/>
        <v>0</v>
      </c>
      <c r="Q25" s="36">
        <f t="shared" si="17"/>
        <v>0</v>
      </c>
      <c r="R25" s="36">
        <f t="shared" si="17"/>
        <v>0</v>
      </c>
      <c r="S25" s="36">
        <f t="shared" si="17"/>
        <v>0</v>
      </c>
      <c r="T25" s="37"/>
      <c r="U25" s="37"/>
      <c r="V25" s="36">
        <f t="shared" si="17"/>
        <v>0</v>
      </c>
      <c r="W25" s="36">
        <f t="shared" si="2"/>
        <v>18781504</v>
      </c>
      <c r="X25" s="39"/>
    </row>
    <row r="26" spans="1:24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2723840</v>
      </c>
      <c r="F26" s="36">
        <f t="shared" ref="F26:V26" si="18">F16*32</f>
        <v>1987840</v>
      </c>
      <c r="G26" s="36">
        <f t="shared" si="18"/>
        <v>3553600</v>
      </c>
      <c r="H26" s="36">
        <f t="shared" si="18"/>
        <v>2499840</v>
      </c>
      <c r="I26" s="36">
        <f t="shared" si="18"/>
        <v>2082560</v>
      </c>
      <c r="J26" s="36">
        <f t="shared" si="18"/>
        <v>1760640</v>
      </c>
      <c r="K26" s="36">
        <f t="shared" si="18"/>
        <v>1729600</v>
      </c>
      <c r="L26" s="36">
        <f t="shared" si="18"/>
        <v>1073600</v>
      </c>
      <c r="M26" s="36">
        <f t="shared" si="18"/>
        <v>1332800</v>
      </c>
      <c r="N26" s="36">
        <f t="shared" si="18"/>
        <v>37184</v>
      </c>
      <c r="O26" s="36">
        <f t="shared" si="18"/>
        <v>0</v>
      </c>
      <c r="P26" s="36">
        <f t="shared" si="18"/>
        <v>0</v>
      </c>
      <c r="Q26" s="36">
        <f t="shared" si="18"/>
        <v>0</v>
      </c>
      <c r="R26" s="36">
        <f t="shared" si="18"/>
        <v>0</v>
      </c>
      <c r="S26" s="36">
        <f t="shared" si="18"/>
        <v>0</v>
      </c>
      <c r="T26" s="37"/>
      <c r="U26" s="37"/>
      <c r="V26" s="36">
        <f t="shared" si="18"/>
        <v>0</v>
      </c>
      <c r="W26" s="36">
        <f t="shared" si="2"/>
        <v>18781504</v>
      </c>
      <c r="X26" s="39"/>
    </row>
    <row r="27" spans="1:24">
      <c r="A27" s="33" t="s">
        <v>238</v>
      </c>
      <c r="B27" s="34" t="s">
        <v>239</v>
      </c>
      <c r="C27" s="34"/>
      <c r="D27" s="35" t="s">
        <v>183</v>
      </c>
      <c r="E27" s="36">
        <f>E28</f>
        <v>1361920</v>
      </c>
      <c r="F27" s="36">
        <f t="shared" ref="F27:V27" si="19">F28</f>
        <v>993920</v>
      </c>
      <c r="G27" s="36">
        <f t="shared" si="19"/>
        <v>1776800</v>
      </c>
      <c r="H27" s="36">
        <f t="shared" si="19"/>
        <v>1249920</v>
      </c>
      <c r="I27" s="36">
        <f t="shared" si="19"/>
        <v>1041280</v>
      </c>
      <c r="J27" s="36">
        <f t="shared" si="19"/>
        <v>880320</v>
      </c>
      <c r="K27" s="36">
        <f t="shared" si="19"/>
        <v>864800</v>
      </c>
      <c r="L27" s="36">
        <f t="shared" si="19"/>
        <v>536800</v>
      </c>
      <c r="M27" s="36">
        <f t="shared" si="19"/>
        <v>666400</v>
      </c>
      <c r="N27" s="36">
        <f t="shared" si="19"/>
        <v>18592</v>
      </c>
      <c r="O27" s="36">
        <f t="shared" si="19"/>
        <v>0</v>
      </c>
      <c r="P27" s="36">
        <f t="shared" si="19"/>
        <v>0</v>
      </c>
      <c r="Q27" s="36">
        <f t="shared" si="19"/>
        <v>0</v>
      </c>
      <c r="R27" s="36">
        <f t="shared" si="19"/>
        <v>0</v>
      </c>
      <c r="S27" s="36">
        <f t="shared" si="19"/>
        <v>0</v>
      </c>
      <c r="T27" s="37"/>
      <c r="U27" s="37"/>
      <c r="V27" s="36">
        <f t="shared" si="19"/>
        <v>0</v>
      </c>
      <c r="W27" s="36">
        <f t="shared" si="2"/>
        <v>9390752</v>
      </c>
      <c r="X27" s="39"/>
    </row>
    <row r="28" spans="1:24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1361920</v>
      </c>
      <c r="F28" s="36">
        <f t="shared" ref="F28:V28" si="20">F16*16</f>
        <v>993920</v>
      </c>
      <c r="G28" s="36">
        <f t="shared" si="20"/>
        <v>1776800</v>
      </c>
      <c r="H28" s="36">
        <f t="shared" si="20"/>
        <v>1249920</v>
      </c>
      <c r="I28" s="36">
        <f t="shared" si="20"/>
        <v>1041280</v>
      </c>
      <c r="J28" s="36">
        <f t="shared" si="20"/>
        <v>880320</v>
      </c>
      <c r="K28" s="36">
        <f t="shared" si="20"/>
        <v>864800</v>
      </c>
      <c r="L28" s="36">
        <f t="shared" si="20"/>
        <v>536800</v>
      </c>
      <c r="M28" s="36">
        <f t="shared" si="20"/>
        <v>666400</v>
      </c>
      <c r="N28" s="36">
        <f t="shared" si="20"/>
        <v>18592</v>
      </c>
      <c r="O28" s="36">
        <f t="shared" si="20"/>
        <v>0</v>
      </c>
      <c r="P28" s="36">
        <f t="shared" si="20"/>
        <v>0</v>
      </c>
      <c r="Q28" s="36">
        <f t="shared" si="20"/>
        <v>0</v>
      </c>
      <c r="R28" s="36">
        <f t="shared" si="20"/>
        <v>0</v>
      </c>
      <c r="S28" s="36">
        <f t="shared" si="20"/>
        <v>0</v>
      </c>
      <c r="T28" s="37"/>
      <c r="U28" s="37"/>
      <c r="V28" s="36">
        <f t="shared" si="20"/>
        <v>0</v>
      </c>
      <c r="W28" s="36">
        <f t="shared" si="2"/>
        <v>9390752</v>
      </c>
      <c r="X28" s="39"/>
    </row>
    <row r="29" spans="1:24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816000</v>
      </c>
      <c r="F29" s="36">
        <f t="shared" ref="F29:V29" si="21">9600*F96</f>
        <v>614400</v>
      </c>
      <c r="G29" s="36">
        <f t="shared" si="21"/>
        <v>1132800</v>
      </c>
      <c r="H29" s="36">
        <f t="shared" si="21"/>
        <v>825600</v>
      </c>
      <c r="I29" s="36">
        <f t="shared" si="21"/>
        <v>624000</v>
      </c>
      <c r="J29" s="36">
        <f t="shared" si="21"/>
        <v>499200</v>
      </c>
      <c r="K29" s="36">
        <f t="shared" si="21"/>
        <v>460800</v>
      </c>
      <c r="L29" s="36">
        <f t="shared" si="21"/>
        <v>384000</v>
      </c>
      <c r="M29" s="36">
        <f t="shared" si="21"/>
        <v>451200</v>
      </c>
      <c r="N29" s="36">
        <f t="shared" si="21"/>
        <v>9600</v>
      </c>
      <c r="O29" s="36">
        <f t="shared" si="21"/>
        <v>0</v>
      </c>
      <c r="P29" s="36">
        <f t="shared" si="21"/>
        <v>0</v>
      </c>
      <c r="Q29" s="36">
        <f t="shared" si="21"/>
        <v>0</v>
      </c>
      <c r="R29" s="36">
        <f t="shared" si="21"/>
        <v>0</v>
      </c>
      <c r="S29" s="36">
        <f t="shared" si="21"/>
        <v>0</v>
      </c>
      <c r="T29" s="37"/>
      <c r="U29" s="37"/>
      <c r="V29" s="36">
        <f t="shared" si="21"/>
        <v>0</v>
      </c>
      <c r="W29" s="36">
        <f t="shared" si="2"/>
        <v>5817600</v>
      </c>
      <c r="X29" s="39"/>
    </row>
    <row r="30" spans="1:24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1191680</v>
      </c>
      <c r="F30" s="45">
        <f t="shared" ref="F30:V30" si="22">F16*14</f>
        <v>869680</v>
      </c>
      <c r="G30" s="45">
        <f t="shared" si="22"/>
        <v>1554700</v>
      </c>
      <c r="H30" s="45">
        <f t="shared" si="22"/>
        <v>1093680</v>
      </c>
      <c r="I30" s="45">
        <f t="shared" si="22"/>
        <v>911120</v>
      </c>
      <c r="J30" s="45">
        <f t="shared" si="22"/>
        <v>770280</v>
      </c>
      <c r="K30" s="45">
        <f t="shared" si="22"/>
        <v>756700</v>
      </c>
      <c r="L30" s="45">
        <f t="shared" si="22"/>
        <v>469700</v>
      </c>
      <c r="M30" s="45">
        <f t="shared" si="22"/>
        <v>583100</v>
      </c>
      <c r="N30" s="45">
        <f t="shared" si="22"/>
        <v>16268</v>
      </c>
      <c r="O30" s="45">
        <f t="shared" si="22"/>
        <v>0</v>
      </c>
      <c r="P30" s="45">
        <f t="shared" si="22"/>
        <v>0</v>
      </c>
      <c r="Q30" s="45">
        <f t="shared" si="22"/>
        <v>0</v>
      </c>
      <c r="R30" s="45">
        <f t="shared" si="22"/>
        <v>0</v>
      </c>
      <c r="S30" s="45">
        <f t="shared" si="22"/>
        <v>0</v>
      </c>
      <c r="T30" s="43"/>
      <c r="U30" s="43"/>
      <c r="V30" s="45">
        <f t="shared" si="22"/>
        <v>0</v>
      </c>
      <c r="W30" s="36">
        <f t="shared" si="2"/>
        <v>8216908</v>
      </c>
      <c r="X30" s="42"/>
    </row>
    <row r="31" spans="1:24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11070</v>
      </c>
      <c r="F31" s="36">
        <f t="shared" ref="F31:V31" si="23">F32+F40+F42+F45+F47</f>
        <v>9960</v>
      </c>
      <c r="G31" s="36">
        <f t="shared" si="23"/>
        <v>15200</v>
      </c>
      <c r="H31" s="36">
        <f t="shared" si="23"/>
        <v>9360</v>
      </c>
      <c r="I31" s="36">
        <f t="shared" si="23"/>
        <v>8640</v>
      </c>
      <c r="J31" s="36">
        <f t="shared" si="23"/>
        <v>3700</v>
      </c>
      <c r="K31" s="36">
        <f t="shared" si="23"/>
        <v>4010</v>
      </c>
      <c r="L31" s="36">
        <f t="shared" si="23"/>
        <v>5400</v>
      </c>
      <c r="M31" s="36">
        <f t="shared" si="23"/>
        <v>6720</v>
      </c>
      <c r="N31" s="36">
        <f t="shared" si="23"/>
        <v>960</v>
      </c>
      <c r="O31" s="36">
        <f t="shared" si="23"/>
        <v>0</v>
      </c>
      <c r="P31" s="36">
        <f t="shared" si="23"/>
        <v>0</v>
      </c>
      <c r="Q31" s="36">
        <f t="shared" si="23"/>
        <v>0</v>
      </c>
      <c r="R31" s="36">
        <f t="shared" si="23"/>
        <v>0</v>
      </c>
      <c r="S31" s="36">
        <f t="shared" si="23"/>
        <v>0</v>
      </c>
      <c r="T31" s="37"/>
      <c r="U31" s="37"/>
      <c r="V31" s="36">
        <f t="shared" si="23"/>
        <v>0</v>
      </c>
      <c r="W31" s="36">
        <f t="shared" si="2"/>
        <v>75020</v>
      </c>
      <c r="X31" s="39"/>
    </row>
    <row r="32" spans="1:24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V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24"/>
        <v>0</v>
      </c>
      <c r="T32" s="37"/>
      <c r="U32" s="37"/>
      <c r="V32" s="36">
        <f t="shared" si="24"/>
        <v>0</v>
      </c>
      <c r="W32" s="36">
        <f t="shared" si="2"/>
        <v>0</v>
      </c>
      <c r="X32" s="39"/>
    </row>
    <row r="33" spans="1:24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36">
        <f t="shared" si="2"/>
        <v>0</v>
      </c>
      <c r="X33" s="42"/>
    </row>
    <row r="34" spans="1:24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36">
        <f t="shared" si="2"/>
        <v>0</v>
      </c>
      <c r="X34" s="42"/>
    </row>
    <row r="35" spans="1:24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36">
        <f t="shared" si="2"/>
        <v>0</v>
      </c>
      <c r="X35" s="42"/>
    </row>
    <row r="36" spans="1:24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36">
        <f t="shared" si="2"/>
        <v>0</v>
      </c>
      <c r="X36" s="42"/>
    </row>
    <row r="37" spans="1:24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36">
        <f t="shared" si="2"/>
        <v>0</v>
      </c>
      <c r="X37" s="42"/>
    </row>
    <row r="38" spans="1:24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36">
        <f t="shared" si="2"/>
        <v>0</v>
      </c>
      <c r="X38" s="42"/>
    </row>
    <row r="39" spans="1:24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36">
        <f t="shared" si="2"/>
        <v>0</v>
      </c>
      <c r="X39" s="42"/>
    </row>
    <row r="40" spans="1:24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V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25"/>
        <v>0</v>
      </c>
      <c r="T40" s="37"/>
      <c r="U40" s="37"/>
      <c r="V40" s="36">
        <f t="shared" si="25"/>
        <v>0</v>
      </c>
      <c r="W40" s="36">
        <f t="shared" si="2"/>
        <v>0</v>
      </c>
      <c r="X40" s="39"/>
    </row>
    <row r="41" spans="1:24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36">
        <f t="shared" si="2"/>
        <v>0</v>
      </c>
      <c r="X41" s="39"/>
    </row>
    <row r="42" spans="1:24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V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26"/>
        <v>0</v>
      </c>
      <c r="T42" s="37"/>
      <c r="U42" s="37"/>
      <c r="V42" s="36">
        <f t="shared" si="26"/>
        <v>0</v>
      </c>
      <c r="W42" s="36">
        <f t="shared" si="2"/>
        <v>0</v>
      </c>
      <c r="X42" s="39"/>
    </row>
    <row r="43" spans="1:24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36">
        <f t="shared" si="2"/>
        <v>0</v>
      </c>
      <c r="X43" s="39"/>
    </row>
    <row r="44" spans="1:24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36">
        <f t="shared" si="2"/>
        <v>0</v>
      </c>
      <c r="X44" s="39"/>
    </row>
    <row r="45" spans="1:24">
      <c r="A45" s="33" t="s">
        <v>280</v>
      </c>
      <c r="B45" s="34" t="s">
        <v>281</v>
      </c>
      <c r="C45" s="34"/>
      <c r="D45" s="35" t="s">
        <v>183</v>
      </c>
      <c r="E45" s="36">
        <f>E46</f>
        <v>6120</v>
      </c>
      <c r="F45" s="36">
        <f t="shared" ref="F45:V45" si="27">F46</f>
        <v>5760</v>
      </c>
      <c r="G45" s="36">
        <f t="shared" si="27"/>
        <v>7200</v>
      </c>
      <c r="H45" s="36">
        <f t="shared" si="27"/>
        <v>5760</v>
      </c>
      <c r="I45" s="36">
        <f t="shared" si="27"/>
        <v>5040</v>
      </c>
      <c r="J45" s="36">
        <f t="shared" si="27"/>
        <v>1200</v>
      </c>
      <c r="K45" s="36">
        <f t="shared" si="27"/>
        <v>2010</v>
      </c>
      <c r="L45" s="36">
        <f t="shared" si="27"/>
        <v>3600</v>
      </c>
      <c r="M45" s="36">
        <f t="shared" si="27"/>
        <v>4320</v>
      </c>
      <c r="N45" s="36">
        <f t="shared" si="27"/>
        <v>360</v>
      </c>
      <c r="O45" s="36">
        <f t="shared" si="27"/>
        <v>0</v>
      </c>
      <c r="P45" s="36">
        <f t="shared" si="27"/>
        <v>0</v>
      </c>
      <c r="Q45" s="36">
        <f t="shared" si="27"/>
        <v>0</v>
      </c>
      <c r="R45" s="36">
        <f t="shared" si="27"/>
        <v>0</v>
      </c>
      <c r="S45" s="36">
        <f t="shared" si="27"/>
        <v>0</v>
      </c>
      <c r="T45" s="37"/>
      <c r="U45" s="37"/>
      <c r="V45" s="36">
        <f t="shared" si="27"/>
        <v>0</v>
      </c>
      <c r="W45" s="36">
        <f t="shared" si="2"/>
        <v>41370</v>
      </c>
      <c r="X45" s="39"/>
    </row>
    <row r="46" spans="1:24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6120</v>
      </c>
      <c r="F46" s="37">
        <v>5760</v>
      </c>
      <c r="G46" s="37">
        <v>7200</v>
      </c>
      <c r="H46" s="37">
        <v>5760</v>
      </c>
      <c r="I46" s="37">
        <v>5040</v>
      </c>
      <c r="J46" s="37">
        <v>1200</v>
      </c>
      <c r="K46" s="37">
        <v>2010</v>
      </c>
      <c r="L46" s="37">
        <v>3600</v>
      </c>
      <c r="M46" s="37">
        <v>4320</v>
      </c>
      <c r="N46" s="37">
        <v>360</v>
      </c>
      <c r="O46" s="37"/>
      <c r="P46" s="37"/>
      <c r="Q46" s="37"/>
      <c r="R46" s="37"/>
      <c r="S46" s="37"/>
      <c r="T46" s="37"/>
      <c r="U46" s="37"/>
      <c r="V46" s="37"/>
      <c r="W46" s="36">
        <f t="shared" si="2"/>
        <v>41370</v>
      </c>
      <c r="X46" s="39"/>
    </row>
    <row r="47" spans="1:24">
      <c r="A47" s="33" t="s">
        <v>284</v>
      </c>
      <c r="B47" s="34" t="s">
        <v>285</v>
      </c>
      <c r="C47" s="34"/>
      <c r="D47" s="35" t="s">
        <v>183</v>
      </c>
      <c r="E47" s="36">
        <f>SUM(E48:E51)</f>
        <v>4950</v>
      </c>
      <c r="F47" s="36">
        <f t="shared" ref="F47:V47" si="28">SUM(F48:F51)</f>
        <v>4200</v>
      </c>
      <c r="G47" s="36">
        <f t="shared" si="28"/>
        <v>8000</v>
      </c>
      <c r="H47" s="36">
        <f t="shared" si="28"/>
        <v>3600</v>
      </c>
      <c r="I47" s="36">
        <f t="shared" si="28"/>
        <v>3600</v>
      </c>
      <c r="J47" s="36">
        <f t="shared" si="28"/>
        <v>2500</v>
      </c>
      <c r="K47" s="36">
        <f t="shared" si="28"/>
        <v>2000</v>
      </c>
      <c r="L47" s="36">
        <f t="shared" si="28"/>
        <v>1800</v>
      </c>
      <c r="M47" s="36">
        <f t="shared" si="28"/>
        <v>2400</v>
      </c>
      <c r="N47" s="36">
        <f t="shared" si="28"/>
        <v>600</v>
      </c>
      <c r="O47" s="36">
        <f t="shared" si="28"/>
        <v>0</v>
      </c>
      <c r="P47" s="36">
        <f t="shared" si="28"/>
        <v>0</v>
      </c>
      <c r="Q47" s="36">
        <f t="shared" si="28"/>
        <v>0</v>
      </c>
      <c r="R47" s="36">
        <f t="shared" si="28"/>
        <v>0</v>
      </c>
      <c r="S47" s="36">
        <f t="shared" si="28"/>
        <v>0</v>
      </c>
      <c r="T47" s="37"/>
      <c r="U47" s="37"/>
      <c r="V47" s="36">
        <f t="shared" si="28"/>
        <v>0</v>
      </c>
      <c r="W47" s="36">
        <f t="shared" si="2"/>
        <v>33650</v>
      </c>
      <c r="X47" s="39"/>
    </row>
    <row r="48" spans="1:24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4950</v>
      </c>
      <c r="F48" s="37">
        <v>4200</v>
      </c>
      <c r="G48" s="37">
        <v>8000</v>
      </c>
      <c r="H48" s="37">
        <v>3600</v>
      </c>
      <c r="I48" s="37">
        <v>3600</v>
      </c>
      <c r="J48" s="37">
        <v>2500</v>
      </c>
      <c r="K48" s="37">
        <v>2000</v>
      </c>
      <c r="L48" s="37">
        <v>1800</v>
      </c>
      <c r="M48" s="37">
        <v>2400</v>
      </c>
      <c r="N48" s="37">
        <v>600</v>
      </c>
      <c r="O48" s="37"/>
      <c r="P48" s="37"/>
      <c r="Q48" s="37"/>
      <c r="R48" s="37"/>
      <c r="S48" s="37"/>
      <c r="T48" s="37"/>
      <c r="U48" s="37"/>
      <c r="V48" s="37"/>
      <c r="W48" s="36">
        <f t="shared" si="2"/>
        <v>33650</v>
      </c>
      <c r="X48" s="39"/>
    </row>
    <row r="49" spans="1:24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36">
        <f t="shared" si="2"/>
        <v>0</v>
      </c>
      <c r="X49" s="39"/>
    </row>
    <row r="50" spans="1:24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36">
        <f t="shared" si="2"/>
        <v>0</v>
      </c>
      <c r="X50" s="39"/>
    </row>
    <row r="51" spans="1:24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36">
        <f t="shared" si="2"/>
        <v>0</v>
      </c>
      <c r="X51" s="42"/>
    </row>
    <row r="52" spans="1:24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3096979</v>
      </c>
      <c r="F52" s="36">
        <f t="shared" ref="F52:V52" si="29">F53+F71+F73+F75+F77+F79+F81+F83+F85+F93</f>
        <v>2673120</v>
      </c>
      <c r="G52" s="36">
        <f t="shared" si="29"/>
        <v>5460484.4000000004</v>
      </c>
      <c r="H52" s="36">
        <f t="shared" si="29"/>
        <v>4528922.4000000004</v>
      </c>
      <c r="I52" s="36">
        <f t="shared" si="29"/>
        <v>3477234.15</v>
      </c>
      <c r="J52" s="36">
        <f t="shared" si="29"/>
        <v>2476904.75</v>
      </c>
      <c r="K52" s="36">
        <f t="shared" si="29"/>
        <v>2137268.75</v>
      </c>
      <c r="L52" s="36">
        <f t="shared" si="29"/>
        <v>1662680.7</v>
      </c>
      <c r="M52" s="36">
        <f t="shared" si="29"/>
        <v>1834386.25</v>
      </c>
      <c r="N52" s="36">
        <f t="shared" si="29"/>
        <v>140213</v>
      </c>
      <c r="O52" s="36">
        <f t="shared" si="29"/>
        <v>0</v>
      </c>
      <c r="P52" s="36">
        <f t="shared" si="29"/>
        <v>0</v>
      </c>
      <c r="Q52" s="36">
        <f t="shared" si="29"/>
        <v>0</v>
      </c>
      <c r="R52" s="36">
        <f t="shared" si="29"/>
        <v>0</v>
      </c>
      <c r="S52" s="36">
        <f t="shared" si="29"/>
        <v>0</v>
      </c>
      <c r="T52" s="37"/>
      <c r="U52" s="37"/>
      <c r="V52" s="36">
        <f t="shared" si="29"/>
        <v>0</v>
      </c>
      <c r="W52" s="36">
        <f t="shared" si="2"/>
        <v>27488193.399999999</v>
      </c>
      <c r="X52" s="39"/>
    </row>
    <row r="53" spans="1:24">
      <c r="A53" s="33" t="s">
        <v>299</v>
      </c>
      <c r="B53" s="34" t="s">
        <v>300</v>
      </c>
      <c r="C53" s="34"/>
      <c r="D53" s="35" t="s">
        <v>301</v>
      </c>
      <c r="E53" s="36">
        <f>SUM(E54:E70)</f>
        <v>1808350</v>
      </c>
      <c r="F53" s="36">
        <f t="shared" ref="F53:V53" si="30">SUM(F54:F70)</f>
        <v>1698000</v>
      </c>
      <c r="G53" s="36">
        <f t="shared" si="30"/>
        <v>3954180</v>
      </c>
      <c r="H53" s="36">
        <f t="shared" si="30"/>
        <v>2959820</v>
      </c>
      <c r="I53" s="36">
        <f t="shared" si="30"/>
        <v>2520530</v>
      </c>
      <c r="J53" s="36">
        <f t="shared" si="30"/>
        <v>1662500</v>
      </c>
      <c r="K53" s="36">
        <f t="shared" si="30"/>
        <v>1532960</v>
      </c>
      <c r="L53" s="36">
        <f t="shared" si="30"/>
        <v>1212960</v>
      </c>
      <c r="M53" s="36">
        <f t="shared" si="30"/>
        <v>1260840</v>
      </c>
      <c r="N53" s="36">
        <f t="shared" si="30"/>
        <v>32000</v>
      </c>
      <c r="O53" s="36">
        <f t="shared" si="30"/>
        <v>0</v>
      </c>
      <c r="P53" s="36">
        <f t="shared" si="30"/>
        <v>0</v>
      </c>
      <c r="Q53" s="36">
        <f t="shared" si="30"/>
        <v>0</v>
      </c>
      <c r="R53" s="36">
        <f t="shared" si="30"/>
        <v>0</v>
      </c>
      <c r="S53" s="36">
        <f t="shared" si="30"/>
        <v>0</v>
      </c>
      <c r="T53" s="37"/>
      <c r="U53" s="37"/>
      <c r="V53" s="36">
        <f t="shared" si="30"/>
        <v>0</v>
      </c>
      <c r="W53" s="36">
        <f t="shared" si="2"/>
        <v>18642140</v>
      </c>
      <c r="X53" s="39"/>
    </row>
    <row r="54" spans="1:24">
      <c r="A54" s="33" t="s">
        <v>302</v>
      </c>
      <c r="B54" s="34" t="s">
        <v>303</v>
      </c>
      <c r="C54" s="34" t="s">
        <v>189</v>
      </c>
      <c r="D54" s="47"/>
      <c r="E54" s="37">
        <f>289197+10735.5</f>
        <v>299932.5</v>
      </c>
      <c r="F54" s="37">
        <v>378355</v>
      </c>
      <c r="G54" s="37">
        <f>855834+32092</f>
        <v>887926</v>
      </c>
      <c r="H54" s="37">
        <f>599512+11210</f>
        <v>610722</v>
      </c>
      <c r="I54" s="37">
        <v>512539</v>
      </c>
      <c r="J54" s="37">
        <v>389902</v>
      </c>
      <c r="K54" s="37">
        <v>305712</v>
      </c>
      <c r="L54" s="37">
        <v>283504</v>
      </c>
      <c r="M54" s="37">
        <v>312628</v>
      </c>
      <c r="N54" s="37">
        <v>12180</v>
      </c>
      <c r="O54" s="37"/>
      <c r="P54" s="37"/>
      <c r="Q54" s="37"/>
      <c r="R54" s="37"/>
      <c r="S54" s="37"/>
      <c r="T54" s="37"/>
      <c r="U54" s="37"/>
      <c r="V54" s="37"/>
      <c r="W54" s="36">
        <f t="shared" si="2"/>
        <v>3993400.5</v>
      </c>
      <c r="X54" s="39"/>
    </row>
    <row r="55" spans="1:24">
      <c r="A55" s="33" t="s">
        <v>304</v>
      </c>
      <c r="B55" s="34" t="s">
        <v>305</v>
      </c>
      <c r="C55" s="34" t="s">
        <v>189</v>
      </c>
      <c r="D55" s="47"/>
      <c r="E55" s="37"/>
      <c r="F55" s="37"/>
      <c r="G55" s="37"/>
      <c r="H55" s="37">
        <v>0</v>
      </c>
      <c r="I55" s="37">
        <v>0</v>
      </c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6">
        <f t="shared" si="2"/>
        <v>0</v>
      </c>
      <c r="X55" s="39"/>
    </row>
    <row r="56" spans="1:24">
      <c r="A56" s="33" t="s">
        <v>306</v>
      </c>
      <c r="B56" s="34" t="s">
        <v>307</v>
      </c>
      <c r="C56" s="34" t="s">
        <v>189</v>
      </c>
      <c r="D56" s="47"/>
      <c r="E56" s="37"/>
      <c r="F56" s="37"/>
      <c r="G56" s="37"/>
      <c r="H56" s="37">
        <v>0</v>
      </c>
      <c r="I56" s="37">
        <v>0</v>
      </c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6">
        <f t="shared" si="2"/>
        <v>0</v>
      </c>
      <c r="X56" s="39"/>
    </row>
    <row r="57" spans="1:24">
      <c r="A57" s="33" t="s">
        <v>308</v>
      </c>
      <c r="B57" s="34" t="s">
        <v>309</v>
      </c>
      <c r="C57" s="34" t="s">
        <v>189</v>
      </c>
      <c r="D57" s="47"/>
      <c r="E57" s="37">
        <v>30000</v>
      </c>
      <c r="F57" s="37">
        <v>75000</v>
      </c>
      <c r="G57" s="37">
        <v>167000</v>
      </c>
      <c r="H57" s="37">
        <v>120560</v>
      </c>
      <c r="I57" s="37">
        <v>103070</v>
      </c>
      <c r="J57" s="37">
        <v>25000</v>
      </c>
      <c r="K57" s="37">
        <v>20000</v>
      </c>
      <c r="L57" s="37">
        <v>28100</v>
      </c>
      <c r="M57" s="37">
        <v>36000</v>
      </c>
      <c r="N57" s="37">
        <v>3000</v>
      </c>
      <c r="O57" s="37"/>
      <c r="P57" s="37"/>
      <c r="Q57" s="37"/>
      <c r="R57" s="37"/>
      <c r="S57" s="37"/>
      <c r="T57" s="37"/>
      <c r="U57" s="37"/>
      <c r="V57" s="37"/>
      <c r="W57" s="36">
        <f t="shared" si="2"/>
        <v>607730</v>
      </c>
      <c r="X57" s="39"/>
    </row>
    <row r="58" spans="1:24">
      <c r="A58" s="33" t="s">
        <v>310</v>
      </c>
      <c r="B58" s="34" t="s">
        <v>311</v>
      </c>
      <c r="C58" s="34" t="s">
        <v>189</v>
      </c>
      <c r="D58" s="47"/>
      <c r="E58" s="37">
        <v>100000</v>
      </c>
      <c r="F58" s="37">
        <v>108000</v>
      </c>
      <c r="G58" s="37">
        <v>242000</v>
      </c>
      <c r="H58" s="37">
        <v>175360</v>
      </c>
      <c r="I58" s="37">
        <v>149920</v>
      </c>
      <c r="J58" s="37">
        <v>147000</v>
      </c>
      <c r="K58" s="37">
        <v>120000</v>
      </c>
      <c r="L58" s="37">
        <v>72000</v>
      </c>
      <c r="M58" s="37">
        <v>81000</v>
      </c>
      <c r="N58" s="37">
        <v>13200</v>
      </c>
      <c r="O58" s="37"/>
      <c r="P58" s="37"/>
      <c r="Q58" s="37"/>
      <c r="R58" s="37"/>
      <c r="S58" s="37"/>
      <c r="T58" s="37"/>
      <c r="U58" s="37"/>
      <c r="V58" s="37"/>
      <c r="W58" s="36">
        <f t="shared" si="2"/>
        <v>1208480</v>
      </c>
      <c r="X58" s="39"/>
    </row>
    <row r="59" spans="1:24">
      <c r="A59" s="33" t="s">
        <v>312</v>
      </c>
      <c r="B59" s="34" t="s">
        <v>313</v>
      </c>
      <c r="C59" s="34" t="s">
        <v>189</v>
      </c>
      <c r="D59" s="47"/>
      <c r="E59" s="37">
        <v>12000</v>
      </c>
      <c r="F59" s="37">
        <v>36000</v>
      </c>
      <c r="G59" s="37">
        <v>78000</v>
      </c>
      <c r="H59" s="37">
        <v>54800</v>
      </c>
      <c r="I59" s="37">
        <v>46850</v>
      </c>
      <c r="J59" s="37">
        <v>10000</v>
      </c>
      <c r="K59" s="37">
        <v>10000</v>
      </c>
      <c r="L59" s="37">
        <v>8700</v>
      </c>
      <c r="M59" s="37">
        <v>9300</v>
      </c>
      <c r="N59" s="37"/>
      <c r="O59" s="37"/>
      <c r="P59" s="37"/>
      <c r="Q59" s="37"/>
      <c r="R59" s="37"/>
      <c r="S59" s="37"/>
      <c r="T59" s="37"/>
      <c r="U59" s="37"/>
      <c r="V59" s="37"/>
      <c r="W59" s="36">
        <f t="shared" si="2"/>
        <v>265650</v>
      </c>
      <c r="X59" s="39"/>
    </row>
    <row r="60" spans="1:24">
      <c r="A60" s="33" t="s">
        <v>314</v>
      </c>
      <c r="B60" s="34" t="s">
        <v>315</v>
      </c>
      <c r="C60" s="34" t="s">
        <v>189</v>
      </c>
      <c r="D60" s="47"/>
      <c r="E60" s="37">
        <v>40000</v>
      </c>
      <c r="F60" s="37">
        <v>30000</v>
      </c>
      <c r="G60" s="37">
        <v>63000</v>
      </c>
      <c r="H60" s="37">
        <v>43840</v>
      </c>
      <c r="I60" s="37">
        <v>37480</v>
      </c>
      <c r="J60" s="37">
        <v>10000</v>
      </c>
      <c r="K60" s="37">
        <v>20000</v>
      </c>
      <c r="L60" s="37">
        <v>10800</v>
      </c>
      <c r="M60" s="37">
        <v>8500</v>
      </c>
      <c r="N60" s="37"/>
      <c r="O60" s="37"/>
      <c r="P60" s="37"/>
      <c r="Q60" s="37"/>
      <c r="R60" s="37"/>
      <c r="S60" s="37"/>
      <c r="T60" s="37"/>
      <c r="U60" s="37"/>
      <c r="V60" s="37"/>
      <c r="W60" s="36">
        <f t="shared" si="2"/>
        <v>263620</v>
      </c>
      <c r="X60" s="39"/>
    </row>
    <row r="61" spans="1:24">
      <c r="A61" s="33" t="s">
        <v>316</v>
      </c>
      <c r="B61" s="34" t="s">
        <v>317</v>
      </c>
      <c r="C61" s="34" t="s">
        <v>189</v>
      </c>
      <c r="D61" s="47"/>
      <c r="E61" s="37">
        <v>240000</v>
      </c>
      <c r="F61" s="37">
        <v>144000</v>
      </c>
      <c r="G61" s="37">
        <v>258000</v>
      </c>
      <c r="H61" s="37">
        <v>219200</v>
      </c>
      <c r="I61" s="37">
        <v>187400</v>
      </c>
      <c r="J61" s="37">
        <v>180000</v>
      </c>
      <c r="K61" s="37">
        <v>350000</v>
      </c>
      <c r="L61" s="37">
        <v>169500</v>
      </c>
      <c r="M61" s="37">
        <v>197300</v>
      </c>
      <c r="N61" s="37"/>
      <c r="O61" s="37"/>
      <c r="P61" s="37"/>
      <c r="Q61" s="37"/>
      <c r="R61" s="37"/>
      <c r="S61" s="37"/>
      <c r="T61" s="37"/>
      <c r="U61" s="37"/>
      <c r="V61" s="37"/>
      <c r="W61" s="36">
        <f t="shared" si="2"/>
        <v>1945400</v>
      </c>
      <c r="X61" s="39"/>
    </row>
    <row r="62" spans="1:24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37"/>
      <c r="H62" s="37">
        <v>0</v>
      </c>
      <c r="I62" s="37">
        <v>0</v>
      </c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6">
        <f t="shared" si="2"/>
        <v>0</v>
      </c>
      <c r="X62" s="39"/>
    </row>
    <row r="63" spans="1:24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90417.5</v>
      </c>
      <c r="F63" s="37">
        <v>60845</v>
      </c>
      <c r="G63" s="37">
        <v>164757.5</v>
      </c>
      <c r="H63" s="37">
        <v>147991</v>
      </c>
      <c r="I63" s="37">
        <v>126026.5</v>
      </c>
      <c r="J63" s="37">
        <v>80598</v>
      </c>
      <c r="K63" s="37">
        <v>76648</v>
      </c>
      <c r="L63" s="37">
        <v>50540</v>
      </c>
      <c r="M63" s="37">
        <v>54264</v>
      </c>
      <c r="N63" s="37">
        <v>1620</v>
      </c>
      <c r="O63" s="37"/>
      <c r="P63" s="37"/>
      <c r="Q63" s="37"/>
      <c r="R63" s="37"/>
      <c r="S63" s="37"/>
      <c r="T63" s="37"/>
      <c r="U63" s="37"/>
      <c r="V63" s="37"/>
      <c r="W63" s="36">
        <f t="shared" si="2"/>
        <v>853707.5</v>
      </c>
      <c r="X63" s="39"/>
    </row>
    <row r="64" spans="1:24">
      <c r="A64" s="33" t="s">
        <v>324</v>
      </c>
      <c r="B64" s="34" t="s">
        <v>325</v>
      </c>
      <c r="C64" s="34" t="s">
        <v>189</v>
      </c>
      <c r="D64" s="47"/>
      <c r="E64" s="37">
        <v>16000</v>
      </c>
      <c r="F64" s="37">
        <v>16800</v>
      </c>
      <c r="G64" s="37">
        <v>36700</v>
      </c>
      <c r="H64" s="37">
        <v>26304</v>
      </c>
      <c r="I64" s="37">
        <v>22488</v>
      </c>
      <c r="J64" s="37"/>
      <c r="K64" s="37"/>
      <c r="L64" s="37">
        <v>8616</v>
      </c>
      <c r="M64" s="37">
        <v>10848</v>
      </c>
      <c r="N64" s="37"/>
      <c r="O64" s="37"/>
      <c r="P64" s="37"/>
      <c r="Q64" s="37"/>
      <c r="R64" s="37"/>
      <c r="S64" s="37"/>
      <c r="T64" s="37"/>
      <c r="U64" s="37"/>
      <c r="V64" s="37"/>
      <c r="W64" s="36">
        <f t="shared" si="2"/>
        <v>137756</v>
      </c>
      <c r="X64" s="39"/>
    </row>
    <row r="65" spans="1:24">
      <c r="A65" s="33" t="s">
        <v>326</v>
      </c>
      <c r="B65" s="34" t="s">
        <v>327</v>
      </c>
      <c r="C65" s="34" t="s">
        <v>189</v>
      </c>
      <c r="D65" s="47"/>
      <c r="E65" s="37">
        <v>230000</v>
      </c>
      <c r="F65" s="37">
        <v>90000</v>
      </c>
      <c r="G65" s="37">
        <v>217000</v>
      </c>
      <c r="H65" s="37">
        <v>164400</v>
      </c>
      <c r="I65" s="37">
        <v>140550</v>
      </c>
      <c r="J65" s="37">
        <v>250000</v>
      </c>
      <c r="K65" s="37">
        <v>120000</v>
      </c>
      <c r="L65" s="37">
        <v>57000</v>
      </c>
      <c r="M65" s="37">
        <v>40000</v>
      </c>
      <c r="N65" s="37"/>
      <c r="O65" s="37"/>
      <c r="P65" s="37"/>
      <c r="Q65" s="37"/>
      <c r="R65" s="37"/>
      <c r="S65" s="37"/>
      <c r="T65" s="37"/>
      <c r="U65" s="37"/>
      <c r="V65" s="37"/>
      <c r="W65" s="36">
        <f t="shared" si="2"/>
        <v>1308950</v>
      </c>
      <c r="X65" s="39"/>
    </row>
    <row r="66" spans="1:24">
      <c r="A66" s="33" t="s">
        <v>328</v>
      </c>
      <c r="B66" s="34" t="s">
        <v>329</v>
      </c>
      <c r="C66" s="34" t="s">
        <v>189</v>
      </c>
      <c r="D66" s="47"/>
      <c r="E66" s="37">
        <v>60000</v>
      </c>
      <c r="F66" s="37">
        <v>30000</v>
      </c>
      <c r="G66" s="37">
        <v>73000</v>
      </c>
      <c r="H66" s="37">
        <v>54800</v>
      </c>
      <c r="I66" s="37">
        <v>46850</v>
      </c>
      <c r="J66" s="37">
        <v>20000</v>
      </c>
      <c r="K66" s="37">
        <v>20000</v>
      </c>
      <c r="L66" s="37">
        <v>43000</v>
      </c>
      <c r="M66" s="37">
        <v>58000</v>
      </c>
      <c r="N66" s="37"/>
      <c r="O66" s="37"/>
      <c r="P66" s="37"/>
      <c r="Q66" s="37"/>
      <c r="R66" s="37"/>
      <c r="S66" s="37"/>
      <c r="T66" s="37"/>
      <c r="U66" s="37"/>
      <c r="V66" s="37"/>
      <c r="W66" s="36">
        <f t="shared" si="2"/>
        <v>405650</v>
      </c>
      <c r="X66" s="39"/>
    </row>
    <row r="67" spans="1:24">
      <c r="A67" s="33" t="s">
        <v>330</v>
      </c>
      <c r="B67" s="34" t="s">
        <v>331</v>
      </c>
      <c r="C67" s="34" t="s">
        <v>189</v>
      </c>
      <c r="D67" s="47"/>
      <c r="E67" s="37"/>
      <c r="F67" s="37"/>
      <c r="G67" s="37"/>
      <c r="H67" s="37">
        <v>0</v>
      </c>
      <c r="I67" s="37">
        <v>0</v>
      </c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6">
        <f t="shared" si="2"/>
        <v>0</v>
      </c>
      <c r="X67" s="39"/>
    </row>
    <row r="68" spans="1:24">
      <c r="A68" s="33" t="s">
        <v>332</v>
      </c>
      <c r="B68" s="34" t="s">
        <v>333</v>
      </c>
      <c r="C68" s="34" t="s">
        <v>189</v>
      </c>
      <c r="D68" s="47"/>
      <c r="E68" s="37">
        <v>530000</v>
      </c>
      <c r="F68" s="37">
        <v>561000</v>
      </c>
      <c r="G68" s="37">
        <f>1290000+98796.5</f>
        <v>1388796.5</v>
      </c>
      <c r="H68" s="37">
        <f>953520+114323</f>
        <v>1067843</v>
      </c>
      <c r="I68" s="37">
        <f>815190+97916.5</f>
        <v>913106.5</v>
      </c>
      <c r="J68" s="37">
        <v>350000</v>
      </c>
      <c r="K68" s="37">
        <v>317600</v>
      </c>
      <c r="L68" s="37">
        <v>361000</v>
      </c>
      <c r="M68" s="37">
        <v>324000</v>
      </c>
      <c r="N68" s="37">
        <v>2000</v>
      </c>
      <c r="O68" s="37"/>
      <c r="P68" s="37"/>
      <c r="Q68" s="37"/>
      <c r="R68" s="37"/>
      <c r="S68" s="37"/>
      <c r="T68" s="37"/>
      <c r="U68" s="37"/>
      <c r="V68" s="37"/>
      <c r="W68" s="36">
        <f t="shared" ref="W68:W109" si="31">SUM(E68:V68)</f>
        <v>5815346</v>
      </c>
      <c r="X68" s="39"/>
    </row>
    <row r="69" spans="1:24">
      <c r="A69" s="33" t="s">
        <v>334</v>
      </c>
      <c r="B69" s="34" t="s">
        <v>335</v>
      </c>
      <c r="C69" s="34" t="s">
        <v>189</v>
      </c>
      <c r="D69" s="47"/>
      <c r="E69" s="37">
        <v>80000</v>
      </c>
      <c r="F69" s="37">
        <v>60000</v>
      </c>
      <c r="G69" s="37">
        <v>145000</v>
      </c>
      <c r="H69" s="37">
        <v>109600</v>
      </c>
      <c r="I69" s="37">
        <v>93700</v>
      </c>
      <c r="J69" s="37">
        <v>80000</v>
      </c>
      <c r="K69" s="37">
        <v>95000</v>
      </c>
      <c r="L69" s="37">
        <v>84200</v>
      </c>
      <c r="M69" s="37">
        <v>77000</v>
      </c>
      <c r="N69" s="37"/>
      <c r="O69" s="37"/>
      <c r="P69" s="37"/>
      <c r="Q69" s="37"/>
      <c r="R69" s="37"/>
      <c r="S69" s="37"/>
      <c r="T69" s="37"/>
      <c r="U69" s="37"/>
      <c r="V69" s="37"/>
      <c r="W69" s="36">
        <f t="shared" si="31"/>
        <v>824500</v>
      </c>
      <c r="X69" s="39"/>
    </row>
    <row r="70" spans="1:24">
      <c r="A70" s="33" t="s">
        <v>336</v>
      </c>
      <c r="B70" s="34" t="s">
        <v>337</v>
      </c>
      <c r="C70" s="34" t="s">
        <v>189</v>
      </c>
      <c r="D70" s="47"/>
      <c r="E70" s="37">
        <v>80000</v>
      </c>
      <c r="F70" s="37">
        <v>108000</v>
      </c>
      <c r="G70" s="37">
        <v>233000</v>
      </c>
      <c r="H70" s="37">
        <v>164400</v>
      </c>
      <c r="I70" s="37">
        <v>140550</v>
      </c>
      <c r="J70" s="37">
        <v>120000</v>
      </c>
      <c r="K70" s="37">
        <v>78000</v>
      </c>
      <c r="L70" s="37">
        <v>36000</v>
      </c>
      <c r="M70" s="37">
        <v>52000</v>
      </c>
      <c r="N70" s="37"/>
      <c r="O70" s="37"/>
      <c r="P70" s="37"/>
      <c r="Q70" s="37"/>
      <c r="R70" s="37"/>
      <c r="S70" s="37"/>
      <c r="T70" s="37"/>
      <c r="U70" s="37"/>
      <c r="V70" s="37"/>
      <c r="W70" s="36">
        <f t="shared" si="31"/>
        <v>1011950</v>
      </c>
      <c r="X70" s="39"/>
    </row>
    <row r="71" spans="1:24">
      <c r="A71" s="33" t="s">
        <v>338</v>
      </c>
      <c r="B71" s="34" t="s">
        <v>339</v>
      </c>
      <c r="C71" s="34"/>
      <c r="D71" s="35"/>
      <c r="E71" s="36">
        <f>E72</f>
        <v>34000</v>
      </c>
      <c r="F71" s="36">
        <f t="shared" ref="F71:V71" si="32">F72</f>
        <v>25600</v>
      </c>
      <c r="G71" s="36">
        <f t="shared" si="32"/>
        <v>47200</v>
      </c>
      <c r="H71" s="36">
        <f t="shared" si="32"/>
        <v>34400</v>
      </c>
      <c r="I71" s="36">
        <f t="shared" si="32"/>
        <v>26000</v>
      </c>
      <c r="J71" s="36">
        <f t="shared" si="32"/>
        <v>20800</v>
      </c>
      <c r="K71" s="36">
        <f t="shared" si="32"/>
        <v>19200</v>
      </c>
      <c r="L71" s="36">
        <f t="shared" si="32"/>
        <v>16000</v>
      </c>
      <c r="M71" s="36">
        <f t="shared" si="32"/>
        <v>18800</v>
      </c>
      <c r="N71" s="36">
        <f t="shared" si="32"/>
        <v>400</v>
      </c>
      <c r="O71" s="36">
        <f t="shared" si="32"/>
        <v>0</v>
      </c>
      <c r="P71" s="36">
        <f t="shared" si="32"/>
        <v>0</v>
      </c>
      <c r="Q71" s="36">
        <f t="shared" si="32"/>
        <v>0</v>
      </c>
      <c r="R71" s="36">
        <f t="shared" si="32"/>
        <v>0</v>
      </c>
      <c r="S71" s="36">
        <f t="shared" si="32"/>
        <v>0</v>
      </c>
      <c r="T71" s="37"/>
      <c r="U71" s="37"/>
      <c r="V71" s="36">
        <f t="shared" si="32"/>
        <v>0</v>
      </c>
      <c r="W71" s="36">
        <f t="shared" si="31"/>
        <v>242400</v>
      </c>
      <c r="X71" s="39"/>
    </row>
    <row r="72" spans="1:24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34000</v>
      </c>
      <c r="F72" s="36">
        <f t="shared" ref="F72:V72" si="33">F96*400</f>
        <v>25600</v>
      </c>
      <c r="G72" s="36">
        <f t="shared" si="33"/>
        <v>47200</v>
      </c>
      <c r="H72" s="36">
        <f t="shared" si="33"/>
        <v>34400</v>
      </c>
      <c r="I72" s="36">
        <f t="shared" si="33"/>
        <v>26000</v>
      </c>
      <c r="J72" s="36">
        <f t="shared" si="33"/>
        <v>20800</v>
      </c>
      <c r="K72" s="36">
        <f t="shared" si="33"/>
        <v>19200</v>
      </c>
      <c r="L72" s="36">
        <f t="shared" si="33"/>
        <v>16000</v>
      </c>
      <c r="M72" s="36">
        <f t="shared" si="33"/>
        <v>18800</v>
      </c>
      <c r="N72" s="36">
        <f t="shared" si="33"/>
        <v>400</v>
      </c>
      <c r="O72" s="36">
        <f t="shared" si="33"/>
        <v>0</v>
      </c>
      <c r="P72" s="36">
        <f t="shared" si="33"/>
        <v>0</v>
      </c>
      <c r="Q72" s="36">
        <f t="shared" si="33"/>
        <v>0</v>
      </c>
      <c r="R72" s="36">
        <f t="shared" si="33"/>
        <v>0</v>
      </c>
      <c r="S72" s="36">
        <f t="shared" si="33"/>
        <v>0</v>
      </c>
      <c r="T72" s="37"/>
      <c r="U72" s="37"/>
      <c r="V72" s="36">
        <f t="shared" si="33"/>
        <v>0</v>
      </c>
      <c r="W72" s="36">
        <f t="shared" si="31"/>
        <v>242400</v>
      </c>
      <c r="X72" s="39"/>
    </row>
    <row r="73" spans="1:24">
      <c r="A73" s="33" t="s">
        <v>343</v>
      </c>
      <c r="B73" s="34" t="s">
        <v>344</v>
      </c>
      <c r="C73" s="34"/>
      <c r="D73" s="35" t="s">
        <v>183</v>
      </c>
      <c r="E73" s="36">
        <f>E74</f>
        <v>150573</v>
      </c>
      <c r="F73" s="36">
        <f t="shared" ref="F73:V73" si="34">F74</f>
        <v>181200</v>
      </c>
      <c r="G73" s="36">
        <f t="shared" si="34"/>
        <v>265050</v>
      </c>
      <c r="H73" s="36">
        <f t="shared" si="34"/>
        <v>202718.4</v>
      </c>
      <c r="I73" s="36">
        <f t="shared" si="34"/>
        <v>179640.15</v>
      </c>
      <c r="J73" s="36">
        <f t="shared" si="34"/>
        <v>187524.75</v>
      </c>
      <c r="K73" s="36">
        <f t="shared" si="34"/>
        <v>86520.75</v>
      </c>
      <c r="L73" s="36">
        <f t="shared" si="34"/>
        <v>41792.699999999997</v>
      </c>
      <c r="M73" s="36">
        <f t="shared" si="34"/>
        <v>98666.25</v>
      </c>
      <c r="N73" s="36">
        <f t="shared" si="34"/>
        <v>64605</v>
      </c>
      <c r="O73" s="36">
        <f t="shared" si="34"/>
        <v>0</v>
      </c>
      <c r="P73" s="36">
        <f t="shared" si="34"/>
        <v>0</v>
      </c>
      <c r="Q73" s="36">
        <f t="shared" si="34"/>
        <v>0</v>
      </c>
      <c r="R73" s="36">
        <f t="shared" si="34"/>
        <v>0</v>
      </c>
      <c r="S73" s="36">
        <f t="shared" si="34"/>
        <v>0</v>
      </c>
      <c r="T73" s="37"/>
      <c r="U73" s="37"/>
      <c r="V73" s="36">
        <f t="shared" si="34"/>
        <v>0</v>
      </c>
      <c r="W73" s="36">
        <f t="shared" si="31"/>
        <v>1458291</v>
      </c>
      <c r="X73" s="39"/>
    </row>
    <row r="74" spans="1:24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150573</v>
      </c>
      <c r="F74" s="36">
        <f t="shared" ref="F74:V74" si="35">F108*15</f>
        <v>181200</v>
      </c>
      <c r="G74" s="36">
        <f t="shared" si="35"/>
        <v>265050</v>
      </c>
      <c r="H74" s="36">
        <f t="shared" si="35"/>
        <v>202718.4</v>
      </c>
      <c r="I74" s="36">
        <f t="shared" si="35"/>
        <v>179640.15</v>
      </c>
      <c r="J74" s="36">
        <f t="shared" si="35"/>
        <v>187524.75</v>
      </c>
      <c r="K74" s="36">
        <f t="shared" si="35"/>
        <v>86520.75</v>
      </c>
      <c r="L74" s="36">
        <f t="shared" si="35"/>
        <v>41792.699999999997</v>
      </c>
      <c r="M74" s="36">
        <f t="shared" si="35"/>
        <v>98666.25</v>
      </c>
      <c r="N74" s="36">
        <f t="shared" si="35"/>
        <v>64605</v>
      </c>
      <c r="O74" s="36">
        <f t="shared" si="35"/>
        <v>0</v>
      </c>
      <c r="P74" s="36">
        <f t="shared" si="35"/>
        <v>0</v>
      </c>
      <c r="Q74" s="36">
        <f t="shared" si="35"/>
        <v>0</v>
      </c>
      <c r="R74" s="36">
        <f t="shared" si="35"/>
        <v>0</v>
      </c>
      <c r="S74" s="36">
        <f t="shared" si="35"/>
        <v>0</v>
      </c>
      <c r="T74" s="37"/>
      <c r="U74" s="37"/>
      <c r="V74" s="36">
        <f t="shared" si="35"/>
        <v>0</v>
      </c>
      <c r="W74" s="36">
        <f t="shared" si="31"/>
        <v>1458291</v>
      </c>
      <c r="X74" s="39"/>
    </row>
    <row r="75" spans="1:24">
      <c r="A75" s="33" t="s">
        <v>348</v>
      </c>
      <c r="B75" s="34" t="s">
        <v>349</v>
      </c>
      <c r="C75" s="34"/>
      <c r="D75" s="35" t="s">
        <v>183</v>
      </c>
      <c r="E75" s="36">
        <f>E76</f>
        <v>29256</v>
      </c>
      <c r="F75" s="36">
        <f t="shared" ref="F75:V75" si="36">F76</f>
        <v>50880</v>
      </c>
      <c r="G75" s="36">
        <f t="shared" si="36"/>
        <v>71214.399999999994</v>
      </c>
      <c r="H75" s="36">
        <f t="shared" si="36"/>
        <v>63744</v>
      </c>
      <c r="I75" s="36">
        <f t="shared" si="36"/>
        <v>26904</v>
      </c>
      <c r="J75" s="36">
        <f t="shared" si="36"/>
        <v>30240</v>
      </c>
      <c r="K75" s="36">
        <f t="shared" si="36"/>
        <v>23868</v>
      </c>
      <c r="L75" s="36">
        <f t="shared" si="36"/>
        <v>5728</v>
      </c>
      <c r="M75" s="36">
        <f t="shared" si="36"/>
        <v>21120</v>
      </c>
      <c r="N75" s="36">
        <f t="shared" si="36"/>
        <v>2240</v>
      </c>
      <c r="O75" s="36">
        <f t="shared" si="36"/>
        <v>0</v>
      </c>
      <c r="P75" s="36">
        <f t="shared" si="36"/>
        <v>0</v>
      </c>
      <c r="Q75" s="36">
        <f t="shared" si="36"/>
        <v>0</v>
      </c>
      <c r="R75" s="36">
        <f t="shared" si="36"/>
        <v>0</v>
      </c>
      <c r="S75" s="36">
        <f t="shared" si="36"/>
        <v>0</v>
      </c>
      <c r="T75" s="37"/>
      <c r="U75" s="37"/>
      <c r="V75" s="36">
        <f t="shared" si="36"/>
        <v>0</v>
      </c>
      <c r="W75" s="36">
        <f t="shared" si="31"/>
        <v>325194.40000000002</v>
      </c>
      <c r="X75" s="39"/>
    </row>
    <row r="76" spans="1:24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29256</v>
      </c>
      <c r="F76" s="36">
        <f t="shared" ref="F76:V76" si="37">F109*8</f>
        <v>50880</v>
      </c>
      <c r="G76" s="36">
        <f t="shared" si="37"/>
        <v>71214.399999999994</v>
      </c>
      <c r="H76" s="36">
        <f t="shared" si="37"/>
        <v>63744</v>
      </c>
      <c r="I76" s="36">
        <f t="shared" si="37"/>
        <v>26904</v>
      </c>
      <c r="J76" s="36">
        <f t="shared" si="37"/>
        <v>30240</v>
      </c>
      <c r="K76" s="36">
        <f t="shared" si="37"/>
        <v>23868</v>
      </c>
      <c r="L76" s="36">
        <f t="shared" si="37"/>
        <v>5728</v>
      </c>
      <c r="M76" s="36">
        <f t="shared" si="37"/>
        <v>21120</v>
      </c>
      <c r="N76" s="36">
        <f t="shared" si="37"/>
        <v>2240</v>
      </c>
      <c r="O76" s="36">
        <f t="shared" si="37"/>
        <v>0</v>
      </c>
      <c r="P76" s="36">
        <f t="shared" si="37"/>
        <v>0</v>
      </c>
      <c r="Q76" s="36">
        <f t="shared" si="37"/>
        <v>0</v>
      </c>
      <c r="R76" s="36">
        <f t="shared" si="37"/>
        <v>0</v>
      </c>
      <c r="S76" s="36">
        <f t="shared" si="37"/>
        <v>0</v>
      </c>
      <c r="T76" s="37"/>
      <c r="U76" s="37"/>
      <c r="V76" s="36">
        <f t="shared" si="37"/>
        <v>0</v>
      </c>
      <c r="W76" s="36">
        <f t="shared" si="31"/>
        <v>325194.40000000002</v>
      </c>
      <c r="X76" s="39"/>
    </row>
    <row r="77" spans="1:24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V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8"/>
        <v>0</v>
      </c>
      <c r="T77" s="37"/>
      <c r="U77" s="37"/>
      <c r="V77" s="36">
        <f t="shared" si="38"/>
        <v>0</v>
      </c>
      <c r="W77" s="36">
        <f t="shared" si="31"/>
        <v>0</v>
      </c>
      <c r="X77" s="39"/>
    </row>
    <row r="78" spans="1:24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36">
        <f t="shared" si="31"/>
        <v>0</v>
      </c>
      <c r="X78" s="39"/>
    </row>
    <row r="79" spans="1:24">
      <c r="A79" s="33" t="s">
        <v>357</v>
      </c>
      <c r="B79" s="34" t="s">
        <v>358</v>
      </c>
      <c r="C79" s="34"/>
      <c r="D79" s="35" t="s">
        <v>183</v>
      </c>
      <c r="E79" s="36">
        <f>E80</f>
        <v>367200</v>
      </c>
      <c r="F79" s="36">
        <f t="shared" ref="F79:V79" si="39">F80</f>
        <v>276480</v>
      </c>
      <c r="G79" s="36">
        <f t="shared" si="39"/>
        <v>509760</v>
      </c>
      <c r="H79" s="36">
        <f t="shared" si="39"/>
        <v>371520</v>
      </c>
      <c r="I79" s="36">
        <f t="shared" si="39"/>
        <v>280800</v>
      </c>
      <c r="J79" s="36">
        <f t="shared" si="39"/>
        <v>224640</v>
      </c>
      <c r="K79" s="36">
        <f t="shared" si="39"/>
        <v>207360</v>
      </c>
      <c r="L79" s="36">
        <f t="shared" si="39"/>
        <v>172800</v>
      </c>
      <c r="M79" s="36">
        <f t="shared" si="39"/>
        <v>203040</v>
      </c>
      <c r="N79" s="36">
        <f t="shared" si="39"/>
        <v>4320</v>
      </c>
      <c r="O79" s="36">
        <f t="shared" si="39"/>
        <v>0</v>
      </c>
      <c r="P79" s="36">
        <f t="shared" si="39"/>
        <v>0</v>
      </c>
      <c r="Q79" s="36">
        <f t="shared" si="39"/>
        <v>0</v>
      </c>
      <c r="R79" s="36">
        <f t="shared" si="39"/>
        <v>0</v>
      </c>
      <c r="S79" s="36">
        <f t="shared" si="39"/>
        <v>0</v>
      </c>
      <c r="T79" s="37"/>
      <c r="U79" s="37"/>
      <c r="V79" s="36">
        <f t="shared" si="39"/>
        <v>0</v>
      </c>
      <c r="W79" s="36">
        <f t="shared" si="31"/>
        <v>2617920</v>
      </c>
      <c r="X79" s="39"/>
    </row>
    <row r="80" spans="1:24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367200</v>
      </c>
      <c r="F80" s="36">
        <f t="shared" ref="F80:V80" si="40">F96*4320</f>
        <v>276480</v>
      </c>
      <c r="G80" s="36">
        <f t="shared" si="40"/>
        <v>509760</v>
      </c>
      <c r="H80" s="36">
        <f t="shared" si="40"/>
        <v>371520</v>
      </c>
      <c r="I80" s="36">
        <f t="shared" si="40"/>
        <v>280800</v>
      </c>
      <c r="J80" s="36">
        <f t="shared" si="40"/>
        <v>224640</v>
      </c>
      <c r="K80" s="36">
        <f t="shared" si="40"/>
        <v>207360</v>
      </c>
      <c r="L80" s="36">
        <f t="shared" si="40"/>
        <v>172800</v>
      </c>
      <c r="M80" s="36">
        <f t="shared" si="40"/>
        <v>203040</v>
      </c>
      <c r="N80" s="36">
        <f t="shared" si="40"/>
        <v>4320</v>
      </c>
      <c r="O80" s="36">
        <f t="shared" si="40"/>
        <v>0</v>
      </c>
      <c r="P80" s="36">
        <f t="shared" si="40"/>
        <v>0</v>
      </c>
      <c r="Q80" s="36">
        <f t="shared" si="40"/>
        <v>0</v>
      </c>
      <c r="R80" s="36">
        <f t="shared" si="40"/>
        <v>0</v>
      </c>
      <c r="S80" s="36">
        <f t="shared" si="40"/>
        <v>0</v>
      </c>
      <c r="T80" s="37"/>
      <c r="U80" s="37"/>
      <c r="V80" s="36">
        <f t="shared" si="40"/>
        <v>0</v>
      </c>
      <c r="W80" s="36">
        <f t="shared" si="31"/>
        <v>2617920</v>
      </c>
      <c r="X80" s="39"/>
    </row>
    <row r="81" spans="1:24">
      <c r="A81" s="33" t="s">
        <v>362</v>
      </c>
      <c r="B81" s="34" t="s">
        <v>363</v>
      </c>
      <c r="C81" s="34"/>
      <c r="D81" s="35" t="s">
        <v>183</v>
      </c>
      <c r="E81" s="36">
        <f>E82</f>
        <v>340480</v>
      </c>
      <c r="F81" s="36">
        <f t="shared" ref="F81:V81" si="41">F82</f>
        <v>248480</v>
      </c>
      <c r="G81" s="36">
        <f t="shared" si="41"/>
        <v>444200</v>
      </c>
      <c r="H81" s="36">
        <f t="shared" si="41"/>
        <v>312480</v>
      </c>
      <c r="I81" s="36">
        <f t="shared" si="41"/>
        <v>260320</v>
      </c>
      <c r="J81" s="36">
        <f t="shared" si="41"/>
        <v>220080</v>
      </c>
      <c r="K81" s="36">
        <f t="shared" si="41"/>
        <v>216200</v>
      </c>
      <c r="L81" s="36">
        <f t="shared" si="41"/>
        <v>134200</v>
      </c>
      <c r="M81" s="36">
        <f t="shared" si="41"/>
        <v>166600</v>
      </c>
      <c r="N81" s="36">
        <f t="shared" si="41"/>
        <v>4648</v>
      </c>
      <c r="O81" s="36">
        <f t="shared" si="41"/>
        <v>0</v>
      </c>
      <c r="P81" s="36">
        <f t="shared" si="41"/>
        <v>0</v>
      </c>
      <c r="Q81" s="36">
        <f t="shared" si="41"/>
        <v>0</v>
      </c>
      <c r="R81" s="36">
        <f t="shared" si="41"/>
        <v>0</v>
      </c>
      <c r="S81" s="36">
        <f t="shared" si="41"/>
        <v>0</v>
      </c>
      <c r="T81" s="37"/>
      <c r="U81" s="37"/>
      <c r="V81" s="36">
        <f t="shared" si="41"/>
        <v>0</v>
      </c>
      <c r="W81" s="36">
        <f t="shared" si="31"/>
        <v>2347688</v>
      </c>
      <c r="X81" s="39"/>
    </row>
    <row r="82" spans="1:24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340480</v>
      </c>
      <c r="F82" s="36">
        <f t="shared" ref="F82:V82" si="42">F16*4</f>
        <v>248480</v>
      </c>
      <c r="G82" s="36">
        <f t="shared" si="42"/>
        <v>444200</v>
      </c>
      <c r="H82" s="36">
        <f t="shared" si="42"/>
        <v>312480</v>
      </c>
      <c r="I82" s="36">
        <f t="shared" si="42"/>
        <v>260320</v>
      </c>
      <c r="J82" s="36">
        <f t="shared" si="42"/>
        <v>220080</v>
      </c>
      <c r="K82" s="36">
        <f t="shared" si="42"/>
        <v>216200</v>
      </c>
      <c r="L82" s="36">
        <f t="shared" si="42"/>
        <v>134200</v>
      </c>
      <c r="M82" s="36">
        <f t="shared" si="42"/>
        <v>166600</v>
      </c>
      <c r="N82" s="36">
        <f t="shared" si="42"/>
        <v>4648</v>
      </c>
      <c r="O82" s="36">
        <f t="shared" si="42"/>
        <v>0</v>
      </c>
      <c r="P82" s="36">
        <f t="shared" si="42"/>
        <v>0</v>
      </c>
      <c r="Q82" s="36">
        <f t="shared" si="42"/>
        <v>0</v>
      </c>
      <c r="R82" s="36">
        <f t="shared" si="42"/>
        <v>0</v>
      </c>
      <c r="S82" s="36">
        <f t="shared" si="42"/>
        <v>0</v>
      </c>
      <c r="T82" s="37"/>
      <c r="U82" s="37"/>
      <c r="V82" s="36">
        <f t="shared" si="42"/>
        <v>0</v>
      </c>
      <c r="W82" s="36">
        <f t="shared" si="31"/>
        <v>2347688</v>
      </c>
      <c r="X82" s="39"/>
    </row>
    <row r="83" spans="1:24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V83" si="43">F84</f>
        <v>32000</v>
      </c>
      <c r="G83" s="36">
        <f t="shared" si="43"/>
        <v>32000</v>
      </c>
      <c r="H83" s="36">
        <f t="shared" si="43"/>
        <v>32000</v>
      </c>
      <c r="I83" s="36">
        <f t="shared" si="43"/>
        <v>32000</v>
      </c>
      <c r="J83" s="36">
        <f t="shared" si="43"/>
        <v>0</v>
      </c>
      <c r="K83" s="36">
        <f t="shared" si="43"/>
        <v>32000</v>
      </c>
      <c r="L83" s="36">
        <f t="shared" si="43"/>
        <v>0</v>
      </c>
      <c r="M83" s="36">
        <f t="shared" si="43"/>
        <v>32000</v>
      </c>
      <c r="N83" s="36">
        <f t="shared" si="43"/>
        <v>0</v>
      </c>
      <c r="O83" s="36">
        <f t="shared" si="43"/>
        <v>0</v>
      </c>
      <c r="P83" s="36">
        <f t="shared" si="43"/>
        <v>0</v>
      </c>
      <c r="Q83" s="36">
        <f t="shared" si="43"/>
        <v>0</v>
      </c>
      <c r="R83" s="36">
        <f t="shared" si="43"/>
        <v>0</v>
      </c>
      <c r="S83" s="36">
        <f t="shared" si="43"/>
        <v>0</v>
      </c>
      <c r="T83" s="37"/>
      <c r="U83" s="37"/>
      <c r="V83" s="36">
        <f t="shared" si="43"/>
        <v>0</v>
      </c>
      <c r="W83" s="36">
        <f t="shared" si="31"/>
        <v>224000</v>
      </c>
      <c r="X83" s="39"/>
    </row>
    <row r="84" spans="1:24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>
        <v>32000</v>
      </c>
      <c r="H84" s="37">
        <v>32000</v>
      </c>
      <c r="I84" s="37">
        <v>32000</v>
      </c>
      <c r="J84" s="37"/>
      <c r="K84" s="37">
        <v>32000</v>
      </c>
      <c r="L84" s="37"/>
      <c r="M84" s="37">
        <v>32000</v>
      </c>
      <c r="N84" s="37"/>
      <c r="O84" s="37"/>
      <c r="P84" s="37"/>
      <c r="Q84" s="37"/>
      <c r="R84" s="37"/>
      <c r="S84" s="37"/>
      <c r="T84" s="37"/>
      <c r="U84" s="37"/>
      <c r="V84" s="37"/>
      <c r="W84" s="36">
        <f t="shared" si="31"/>
        <v>224000</v>
      </c>
      <c r="X84" s="39"/>
    </row>
    <row r="85" spans="1:24">
      <c r="A85" s="33" t="s">
        <v>371</v>
      </c>
      <c r="B85" s="34" t="s">
        <v>372</v>
      </c>
      <c r="C85" s="34"/>
      <c r="D85" s="35" t="s">
        <v>183</v>
      </c>
      <c r="E85" s="36">
        <f>E86+E89+E92</f>
        <v>335120</v>
      </c>
      <c r="F85" s="36">
        <f t="shared" ref="F85:V85" si="44">F86+F89+F92</f>
        <v>160480</v>
      </c>
      <c r="G85" s="36">
        <f t="shared" si="44"/>
        <v>136880</v>
      </c>
      <c r="H85" s="36">
        <f t="shared" si="44"/>
        <v>552240</v>
      </c>
      <c r="I85" s="36">
        <f t="shared" si="44"/>
        <v>151040</v>
      </c>
      <c r="J85" s="36">
        <f t="shared" si="44"/>
        <v>99120</v>
      </c>
      <c r="K85" s="36">
        <f t="shared" si="44"/>
        <v>14160</v>
      </c>
      <c r="L85" s="36">
        <f t="shared" si="44"/>
        <v>47200</v>
      </c>
      <c r="M85" s="36">
        <f t="shared" si="44"/>
        <v>28320</v>
      </c>
      <c r="N85" s="36">
        <f t="shared" si="44"/>
        <v>0</v>
      </c>
      <c r="O85" s="36">
        <f t="shared" si="44"/>
        <v>0</v>
      </c>
      <c r="P85" s="36">
        <f t="shared" si="44"/>
        <v>0</v>
      </c>
      <c r="Q85" s="36">
        <f t="shared" si="44"/>
        <v>0</v>
      </c>
      <c r="R85" s="36">
        <f t="shared" si="44"/>
        <v>0</v>
      </c>
      <c r="S85" s="36">
        <f t="shared" si="44"/>
        <v>0</v>
      </c>
      <c r="T85" s="37"/>
      <c r="U85" s="37"/>
      <c r="V85" s="36">
        <f t="shared" si="44"/>
        <v>0</v>
      </c>
      <c r="W85" s="36">
        <f t="shared" si="31"/>
        <v>1524560</v>
      </c>
      <c r="X85" s="39"/>
    </row>
    <row r="86" spans="1:24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V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45"/>
        <v>0</v>
      </c>
      <c r="T86" s="37"/>
      <c r="U86" s="37"/>
      <c r="V86" s="36">
        <f t="shared" si="45"/>
        <v>0</v>
      </c>
      <c r="W86" s="36">
        <f t="shared" si="31"/>
        <v>0</v>
      </c>
      <c r="X86" s="39"/>
    </row>
    <row r="87" spans="1:24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36">
        <f t="shared" si="31"/>
        <v>0</v>
      </c>
      <c r="X87" s="42"/>
    </row>
    <row r="88" spans="1:24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36">
        <f t="shared" si="31"/>
        <v>0</v>
      </c>
      <c r="X88" s="42"/>
    </row>
    <row r="89" spans="1:24">
      <c r="A89" s="33" t="s">
        <v>380</v>
      </c>
      <c r="B89" s="34" t="s">
        <v>381</v>
      </c>
      <c r="C89" s="34"/>
      <c r="D89" s="35" t="s">
        <v>183</v>
      </c>
      <c r="E89" s="36">
        <f>E90+E91</f>
        <v>335120</v>
      </c>
      <c r="F89" s="36">
        <f t="shared" ref="F89:V89" si="46">F90+F91</f>
        <v>160480</v>
      </c>
      <c r="G89" s="36">
        <f t="shared" si="46"/>
        <v>136880</v>
      </c>
      <c r="H89" s="36">
        <f t="shared" si="46"/>
        <v>552240</v>
      </c>
      <c r="I89" s="36">
        <f t="shared" si="46"/>
        <v>151040</v>
      </c>
      <c r="J89" s="36">
        <f t="shared" si="46"/>
        <v>99120</v>
      </c>
      <c r="K89" s="36">
        <f t="shared" si="46"/>
        <v>14160</v>
      </c>
      <c r="L89" s="36">
        <f t="shared" si="46"/>
        <v>47200</v>
      </c>
      <c r="M89" s="36">
        <f t="shared" si="46"/>
        <v>28320</v>
      </c>
      <c r="N89" s="36">
        <f t="shared" si="46"/>
        <v>0</v>
      </c>
      <c r="O89" s="36">
        <f t="shared" si="46"/>
        <v>0</v>
      </c>
      <c r="P89" s="36">
        <f t="shared" si="46"/>
        <v>0</v>
      </c>
      <c r="Q89" s="36">
        <f t="shared" si="46"/>
        <v>0</v>
      </c>
      <c r="R89" s="36">
        <f t="shared" si="46"/>
        <v>0</v>
      </c>
      <c r="S89" s="36">
        <f t="shared" si="46"/>
        <v>0</v>
      </c>
      <c r="T89" s="37"/>
      <c r="U89" s="37"/>
      <c r="V89" s="36">
        <f t="shared" si="46"/>
        <v>0</v>
      </c>
      <c r="W89" s="36">
        <f t="shared" si="31"/>
        <v>1524560</v>
      </c>
      <c r="X89" s="39"/>
    </row>
    <row r="90" spans="1:24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28400</v>
      </c>
      <c r="F90" s="36">
        <f t="shared" ref="F90:V90" si="47">F107*400</f>
        <v>13600</v>
      </c>
      <c r="G90" s="36">
        <f t="shared" si="47"/>
        <v>11600</v>
      </c>
      <c r="H90" s="36">
        <f t="shared" si="47"/>
        <v>46800</v>
      </c>
      <c r="I90" s="36">
        <f t="shared" si="47"/>
        <v>12800</v>
      </c>
      <c r="J90" s="36">
        <f t="shared" si="47"/>
        <v>8400</v>
      </c>
      <c r="K90" s="36">
        <f t="shared" si="47"/>
        <v>1200</v>
      </c>
      <c r="L90" s="36">
        <f t="shared" si="47"/>
        <v>4000</v>
      </c>
      <c r="M90" s="36">
        <f t="shared" si="47"/>
        <v>2400</v>
      </c>
      <c r="N90" s="36">
        <f t="shared" si="47"/>
        <v>0</v>
      </c>
      <c r="O90" s="36">
        <f t="shared" si="47"/>
        <v>0</v>
      </c>
      <c r="P90" s="36">
        <f t="shared" si="47"/>
        <v>0</v>
      </c>
      <c r="Q90" s="36">
        <f t="shared" si="47"/>
        <v>0</v>
      </c>
      <c r="R90" s="36">
        <f t="shared" si="47"/>
        <v>0</v>
      </c>
      <c r="S90" s="36">
        <f t="shared" si="47"/>
        <v>0</v>
      </c>
      <c r="T90" s="37"/>
      <c r="U90" s="37"/>
      <c r="V90" s="36">
        <f t="shared" si="47"/>
        <v>0</v>
      </c>
      <c r="W90" s="36">
        <f t="shared" si="31"/>
        <v>129200</v>
      </c>
      <c r="X90" s="39"/>
    </row>
    <row r="91" spans="1:24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306720</v>
      </c>
      <c r="F91" s="36">
        <f t="shared" ref="F91:V91" si="48">F107*4320</f>
        <v>146880</v>
      </c>
      <c r="G91" s="36">
        <f t="shared" si="48"/>
        <v>125280</v>
      </c>
      <c r="H91" s="36">
        <f t="shared" si="48"/>
        <v>505440</v>
      </c>
      <c r="I91" s="36">
        <f t="shared" si="48"/>
        <v>138240</v>
      </c>
      <c r="J91" s="36">
        <f t="shared" si="48"/>
        <v>90720</v>
      </c>
      <c r="K91" s="36">
        <f t="shared" si="48"/>
        <v>12960</v>
      </c>
      <c r="L91" s="36">
        <f t="shared" si="48"/>
        <v>43200</v>
      </c>
      <c r="M91" s="36">
        <f t="shared" si="48"/>
        <v>25920</v>
      </c>
      <c r="N91" s="36">
        <f t="shared" si="48"/>
        <v>0</v>
      </c>
      <c r="O91" s="36">
        <f t="shared" si="48"/>
        <v>0</v>
      </c>
      <c r="P91" s="36">
        <f t="shared" si="48"/>
        <v>0</v>
      </c>
      <c r="Q91" s="36">
        <f t="shared" si="48"/>
        <v>0</v>
      </c>
      <c r="R91" s="36">
        <f t="shared" si="48"/>
        <v>0</v>
      </c>
      <c r="S91" s="36">
        <f t="shared" si="48"/>
        <v>0</v>
      </c>
      <c r="T91" s="37"/>
      <c r="U91" s="37"/>
      <c r="V91" s="36">
        <f t="shared" si="48"/>
        <v>0</v>
      </c>
      <c r="W91" s="36">
        <f t="shared" si="31"/>
        <v>1395360</v>
      </c>
      <c r="X91" s="39"/>
    </row>
    <row r="92" spans="1:24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36">
        <f t="shared" si="31"/>
        <v>0</v>
      </c>
      <c r="X92" s="42"/>
    </row>
    <row r="93" spans="1:24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V93" si="49">F94</f>
        <v>0</v>
      </c>
      <c r="G93" s="36">
        <f t="shared" si="49"/>
        <v>0</v>
      </c>
      <c r="H93" s="36">
        <f t="shared" si="49"/>
        <v>0</v>
      </c>
      <c r="I93" s="36">
        <f t="shared" si="49"/>
        <v>0</v>
      </c>
      <c r="J93" s="36">
        <f t="shared" si="49"/>
        <v>32000</v>
      </c>
      <c r="K93" s="36">
        <f t="shared" si="49"/>
        <v>5000</v>
      </c>
      <c r="L93" s="36">
        <f t="shared" si="49"/>
        <v>32000</v>
      </c>
      <c r="M93" s="36">
        <f t="shared" si="49"/>
        <v>5000</v>
      </c>
      <c r="N93" s="36">
        <f t="shared" si="49"/>
        <v>32000</v>
      </c>
      <c r="O93" s="36">
        <f t="shared" si="49"/>
        <v>0</v>
      </c>
      <c r="P93" s="36">
        <f t="shared" si="49"/>
        <v>0</v>
      </c>
      <c r="Q93" s="36">
        <f t="shared" si="49"/>
        <v>0</v>
      </c>
      <c r="R93" s="36">
        <f t="shared" si="49"/>
        <v>0</v>
      </c>
      <c r="S93" s="36">
        <f t="shared" si="49"/>
        <v>0</v>
      </c>
      <c r="T93" s="37"/>
      <c r="U93" s="37"/>
      <c r="V93" s="36">
        <f t="shared" si="49"/>
        <v>0</v>
      </c>
      <c r="W93" s="36">
        <f t="shared" si="31"/>
        <v>106000</v>
      </c>
      <c r="X93" s="39"/>
    </row>
    <row r="94" spans="1:24" ht="68.25" thickBot="1">
      <c r="A94" s="33" t="s">
        <v>392</v>
      </c>
      <c r="B94" s="50" t="s">
        <v>393</v>
      </c>
      <c r="C94" s="34" t="s">
        <v>189</v>
      </c>
      <c r="D94" s="51" t="s">
        <v>571</v>
      </c>
      <c r="E94" s="52"/>
      <c r="F94" s="52"/>
      <c r="G94" s="52"/>
      <c r="H94" s="52"/>
      <c r="I94" s="52"/>
      <c r="J94" s="52">
        <v>32000</v>
      </c>
      <c r="K94" s="52">
        <v>5000</v>
      </c>
      <c r="L94" s="52">
        <v>32000</v>
      </c>
      <c r="M94" s="52">
        <v>5000</v>
      </c>
      <c r="N94" s="52">
        <v>32000</v>
      </c>
      <c r="O94" s="52"/>
      <c r="P94" s="52"/>
      <c r="Q94" s="52"/>
      <c r="R94" s="52"/>
      <c r="S94" s="52"/>
      <c r="T94" s="52"/>
      <c r="U94" s="52"/>
      <c r="V94" s="52"/>
      <c r="W94" s="36">
        <f t="shared" si="31"/>
        <v>106000</v>
      </c>
      <c r="X94" s="178"/>
    </row>
    <row r="95" spans="1:24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36">
        <f t="shared" si="31"/>
        <v>0</v>
      </c>
      <c r="X95" s="179"/>
    </row>
    <row r="96" spans="1:24" ht="22.5">
      <c r="A96" s="33" t="s">
        <v>397</v>
      </c>
      <c r="B96" s="34" t="s">
        <v>398</v>
      </c>
      <c r="C96" s="34"/>
      <c r="D96" s="35" t="s">
        <v>399</v>
      </c>
      <c r="E96" s="36">
        <f>E97+E98+E99+E100</f>
        <v>85</v>
      </c>
      <c r="F96" s="36">
        <f t="shared" ref="F96:V96" si="50">F97+F98+F99+F100</f>
        <v>64</v>
      </c>
      <c r="G96" s="36">
        <f t="shared" si="50"/>
        <v>118</v>
      </c>
      <c r="H96" s="36">
        <f t="shared" si="50"/>
        <v>86</v>
      </c>
      <c r="I96" s="36">
        <f t="shared" si="50"/>
        <v>65</v>
      </c>
      <c r="J96" s="36">
        <f t="shared" si="50"/>
        <v>52</v>
      </c>
      <c r="K96" s="36">
        <f t="shared" si="50"/>
        <v>48</v>
      </c>
      <c r="L96" s="36">
        <f t="shared" si="50"/>
        <v>40</v>
      </c>
      <c r="M96" s="36">
        <f t="shared" si="50"/>
        <v>47</v>
      </c>
      <c r="N96" s="36">
        <f t="shared" si="50"/>
        <v>1</v>
      </c>
      <c r="O96" s="36">
        <f t="shared" si="50"/>
        <v>0</v>
      </c>
      <c r="P96" s="36">
        <f t="shared" si="50"/>
        <v>0</v>
      </c>
      <c r="Q96" s="36">
        <f t="shared" si="50"/>
        <v>0</v>
      </c>
      <c r="R96" s="36">
        <f t="shared" si="50"/>
        <v>0</v>
      </c>
      <c r="S96" s="36">
        <f t="shared" si="50"/>
        <v>0</v>
      </c>
      <c r="T96" s="37"/>
      <c r="U96" s="37"/>
      <c r="V96" s="36">
        <f t="shared" si="50"/>
        <v>0</v>
      </c>
      <c r="W96" s="36">
        <f t="shared" si="31"/>
        <v>606</v>
      </c>
      <c r="X96" s="39"/>
    </row>
    <row r="97" spans="1:24">
      <c r="A97" s="33" t="s">
        <v>400</v>
      </c>
      <c r="B97" s="56" t="s">
        <v>401</v>
      </c>
      <c r="C97" s="56"/>
      <c r="D97" s="42"/>
      <c r="E97" s="43">
        <v>85</v>
      </c>
      <c r="F97" s="43">
        <v>64</v>
      </c>
      <c r="G97" s="43">
        <v>58</v>
      </c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36">
        <f t="shared" si="31"/>
        <v>207</v>
      </c>
      <c r="X97" s="39"/>
    </row>
    <row r="98" spans="1:24">
      <c r="A98" s="33" t="s">
        <v>402</v>
      </c>
      <c r="B98" s="56" t="s">
        <v>403</v>
      </c>
      <c r="C98" s="56"/>
      <c r="D98" s="35"/>
      <c r="E98" s="37"/>
      <c r="F98" s="37"/>
      <c r="G98" s="37">
        <v>60</v>
      </c>
      <c r="H98" s="37">
        <v>86</v>
      </c>
      <c r="I98" s="37">
        <v>65</v>
      </c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6">
        <f t="shared" si="31"/>
        <v>211</v>
      </c>
      <c r="X98" s="39"/>
    </row>
    <row r="99" spans="1:24">
      <c r="A99" s="33" t="s">
        <v>404</v>
      </c>
      <c r="B99" s="56" t="s">
        <v>405</v>
      </c>
      <c r="C99" s="56"/>
      <c r="D99" s="42"/>
      <c r="E99" s="43"/>
      <c r="F99" s="43"/>
      <c r="G99" s="43"/>
      <c r="H99" s="43"/>
      <c r="I99" s="43"/>
      <c r="J99" s="43">
        <v>52</v>
      </c>
      <c r="K99" s="43">
        <v>48</v>
      </c>
      <c r="L99" s="43">
        <v>40</v>
      </c>
      <c r="M99" s="43">
        <v>47</v>
      </c>
      <c r="N99" s="43"/>
      <c r="O99" s="43"/>
      <c r="P99" s="43"/>
      <c r="Q99" s="43"/>
      <c r="R99" s="43"/>
      <c r="S99" s="43"/>
      <c r="T99" s="43"/>
      <c r="U99" s="43"/>
      <c r="V99" s="43"/>
      <c r="W99" s="36">
        <f t="shared" si="31"/>
        <v>187</v>
      </c>
      <c r="X99" s="39"/>
    </row>
    <row r="100" spans="1:24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>
        <v>1</v>
      </c>
      <c r="O100" s="43"/>
      <c r="P100" s="43"/>
      <c r="Q100" s="43"/>
      <c r="R100" s="43"/>
      <c r="S100" s="43"/>
      <c r="T100" s="43"/>
      <c r="U100" s="43"/>
      <c r="V100" s="43"/>
      <c r="W100" s="36">
        <f t="shared" si="31"/>
        <v>1</v>
      </c>
      <c r="X100" s="39"/>
    </row>
    <row r="101" spans="1:24" ht="33.75">
      <c r="A101" s="33" t="s">
        <v>408</v>
      </c>
      <c r="B101" s="34" t="s">
        <v>409</v>
      </c>
      <c r="C101" s="34"/>
      <c r="D101" s="35" t="s">
        <v>410</v>
      </c>
      <c r="E101" s="36">
        <f>E102+E103+E104+E105</f>
        <v>635</v>
      </c>
      <c r="F101" s="36">
        <f t="shared" ref="F101:V101" si="51">F102+F103+F104+F105</f>
        <v>430</v>
      </c>
      <c r="G101" s="36">
        <f t="shared" si="51"/>
        <v>1203</v>
      </c>
      <c r="H101" s="36">
        <f t="shared" si="51"/>
        <v>1096</v>
      </c>
      <c r="I101" s="36">
        <f t="shared" si="51"/>
        <v>937</v>
      </c>
      <c r="J101" s="36">
        <f t="shared" si="51"/>
        <v>606</v>
      </c>
      <c r="K101" s="36">
        <f t="shared" si="51"/>
        <v>536</v>
      </c>
      <c r="L101" s="36">
        <f t="shared" si="51"/>
        <v>380</v>
      </c>
      <c r="M101" s="36">
        <f t="shared" si="51"/>
        <v>408</v>
      </c>
      <c r="N101" s="36">
        <f t="shared" si="51"/>
        <v>0</v>
      </c>
      <c r="O101" s="36">
        <f t="shared" si="51"/>
        <v>0</v>
      </c>
      <c r="P101" s="36">
        <f t="shared" si="51"/>
        <v>0</v>
      </c>
      <c r="Q101" s="36">
        <f t="shared" si="51"/>
        <v>0</v>
      </c>
      <c r="R101" s="36">
        <f t="shared" si="51"/>
        <v>0</v>
      </c>
      <c r="S101" s="36">
        <f t="shared" si="51"/>
        <v>0</v>
      </c>
      <c r="T101" s="37"/>
      <c r="U101" s="37"/>
      <c r="V101" s="36">
        <f t="shared" si="51"/>
        <v>0</v>
      </c>
      <c r="W101" s="36">
        <f t="shared" si="31"/>
        <v>6231</v>
      </c>
      <c r="X101" s="39"/>
    </row>
    <row r="102" spans="1:24">
      <c r="A102" s="33" t="s">
        <v>411</v>
      </c>
      <c r="B102" s="56" t="s">
        <v>401</v>
      </c>
      <c r="C102" s="56"/>
      <c r="D102" s="42"/>
      <c r="E102" s="43">
        <v>635</v>
      </c>
      <c r="F102" s="43">
        <v>430</v>
      </c>
      <c r="G102" s="43">
        <v>422</v>
      </c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36">
        <f t="shared" si="31"/>
        <v>1487</v>
      </c>
      <c r="X102" s="39"/>
    </row>
    <row r="103" spans="1:24">
      <c r="A103" s="33" t="s">
        <v>412</v>
      </c>
      <c r="B103" s="56" t="s">
        <v>403</v>
      </c>
      <c r="C103" s="56"/>
      <c r="D103" s="35"/>
      <c r="E103" s="37"/>
      <c r="F103" s="37"/>
      <c r="G103" s="37">
        <v>781</v>
      </c>
      <c r="H103" s="37">
        <v>1096</v>
      </c>
      <c r="I103" s="37">
        <v>937</v>
      </c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6">
        <f t="shared" si="31"/>
        <v>2814</v>
      </c>
      <c r="X103" s="39"/>
    </row>
    <row r="104" spans="1:24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/>
      <c r="I104" s="43"/>
      <c r="J104" s="43">
        <v>606</v>
      </c>
      <c r="K104" s="43">
        <v>536</v>
      </c>
      <c r="L104" s="43">
        <v>380</v>
      </c>
      <c r="M104" s="43">
        <v>408</v>
      </c>
      <c r="N104" s="43"/>
      <c r="O104" s="43"/>
      <c r="P104" s="43"/>
      <c r="Q104" s="43"/>
      <c r="R104" s="43"/>
      <c r="S104" s="43"/>
      <c r="T104" s="43"/>
      <c r="U104" s="43"/>
      <c r="V104" s="43"/>
      <c r="W104" s="36">
        <f t="shared" si="31"/>
        <v>1930</v>
      </c>
      <c r="X104" s="39"/>
    </row>
    <row r="105" spans="1:24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36">
        <f t="shared" si="31"/>
        <v>0</v>
      </c>
      <c r="X105" s="39"/>
    </row>
    <row r="106" spans="1:24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36">
        <f t="shared" si="31"/>
        <v>0</v>
      </c>
      <c r="X106" s="39"/>
    </row>
    <row r="107" spans="1:24">
      <c r="A107" s="33" t="s">
        <v>417</v>
      </c>
      <c r="B107" s="34" t="s">
        <v>418</v>
      </c>
      <c r="C107" s="34"/>
      <c r="D107" s="35"/>
      <c r="E107" s="37">
        <v>71</v>
      </c>
      <c r="F107" s="37">
        <v>34</v>
      </c>
      <c r="G107" s="37">
        <v>29</v>
      </c>
      <c r="H107" s="37">
        <v>117</v>
      </c>
      <c r="I107" s="37">
        <v>32</v>
      </c>
      <c r="J107" s="37">
        <v>21</v>
      </c>
      <c r="K107" s="37">
        <v>3</v>
      </c>
      <c r="L107" s="37">
        <v>10</v>
      </c>
      <c r="M107" s="37">
        <v>6</v>
      </c>
      <c r="N107" s="37"/>
      <c r="O107" s="37"/>
      <c r="P107" s="37"/>
      <c r="Q107" s="37"/>
      <c r="R107" s="37"/>
      <c r="S107" s="37"/>
      <c r="T107" s="37"/>
      <c r="U107" s="37"/>
      <c r="V107" s="37"/>
      <c r="W107" s="36">
        <f t="shared" si="31"/>
        <v>323</v>
      </c>
      <c r="X107" s="39"/>
    </row>
    <row r="108" spans="1:24">
      <c r="A108" s="33" t="s">
        <v>419</v>
      </c>
      <c r="B108" s="56" t="s">
        <v>420</v>
      </c>
      <c r="C108" s="56"/>
      <c r="D108" s="47"/>
      <c r="E108" s="37">
        <v>10038.200000000001</v>
      </c>
      <c r="F108" s="37">
        <v>12080</v>
      </c>
      <c r="G108" s="37">
        <v>17670</v>
      </c>
      <c r="H108" s="37">
        <v>13514.56</v>
      </c>
      <c r="I108" s="37">
        <v>11976.01</v>
      </c>
      <c r="J108" s="37">
        <v>12501.65</v>
      </c>
      <c r="K108" s="37">
        <v>5768.05</v>
      </c>
      <c r="L108" s="37">
        <v>2786.18</v>
      </c>
      <c r="M108" s="37">
        <v>6577.75</v>
      </c>
      <c r="N108" s="37">
        <v>4307</v>
      </c>
      <c r="O108" s="37"/>
      <c r="P108" s="37"/>
      <c r="Q108" s="37"/>
      <c r="R108" s="37"/>
      <c r="S108" s="37"/>
      <c r="T108" s="37"/>
      <c r="U108" s="37"/>
      <c r="V108" s="37"/>
      <c r="W108" s="36">
        <f t="shared" si="31"/>
        <v>97219.4</v>
      </c>
      <c r="X108" s="39"/>
    </row>
    <row r="109" spans="1:24">
      <c r="A109" s="33" t="s">
        <v>421</v>
      </c>
      <c r="B109" s="56" t="s">
        <v>422</v>
      </c>
      <c r="C109" s="56"/>
      <c r="D109" s="47"/>
      <c r="E109" s="37">
        <v>3657</v>
      </c>
      <c r="F109" s="37">
        <v>6360</v>
      </c>
      <c r="G109" s="37">
        <v>8901.7999999999993</v>
      </c>
      <c r="H109" s="37">
        <v>7968</v>
      </c>
      <c r="I109" s="37">
        <v>3363</v>
      </c>
      <c r="J109" s="37">
        <v>3780</v>
      </c>
      <c r="K109" s="37">
        <v>2983.5</v>
      </c>
      <c r="L109" s="37">
        <v>716</v>
      </c>
      <c r="M109" s="37">
        <v>2640</v>
      </c>
      <c r="N109" s="37">
        <v>280</v>
      </c>
      <c r="O109" s="37"/>
      <c r="P109" s="37"/>
      <c r="Q109" s="37"/>
      <c r="R109" s="37"/>
      <c r="S109" s="37"/>
      <c r="T109" s="37"/>
      <c r="U109" s="37"/>
      <c r="V109" s="37"/>
      <c r="W109" s="36">
        <f t="shared" si="31"/>
        <v>40649.300000000003</v>
      </c>
      <c r="X109" s="39"/>
    </row>
  </sheetData>
  <protectedRanges>
    <protectedRange password="E9C1" sqref="B31:D109 A4:D12 W4:X109 B13:D28 A13:A109 A2:X3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X1"/>
  </mergeCells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H4" sqref="H4"/>
    </sheetView>
  </sheetViews>
  <sheetFormatPr defaultColWidth="9" defaultRowHeight="13.5"/>
  <cols>
    <col min="1" max="1" width="10.625" style="184" customWidth="1"/>
    <col min="2" max="4" width="20.625" style="185" customWidth="1"/>
    <col min="5" max="5" width="20.625" style="184" customWidth="1"/>
    <col min="6" max="6" width="20.5" style="184" bestFit="1" customWidth="1"/>
    <col min="7" max="7" width="18.625" style="184" hidden="1" customWidth="1"/>
    <col min="8" max="8" width="18.375" style="184" bestFit="1" customWidth="1"/>
    <col min="9" max="9" width="14.375" style="184" hidden="1" customWidth="1"/>
    <col min="10" max="10" width="14.25" style="184" hidden="1" customWidth="1"/>
    <col min="11" max="254" width="9" style="184"/>
    <col min="255" max="255" width="6.625" style="184" customWidth="1"/>
    <col min="256" max="257" width="21.625" style="184" customWidth="1"/>
    <col min="258" max="258" width="16.125" style="184" bestFit="1" customWidth="1"/>
    <col min="259" max="259" width="13.875" style="184" bestFit="1" customWidth="1"/>
    <col min="260" max="260" width="17.25" style="184" bestFit="1" customWidth="1"/>
    <col min="261" max="262" width="20.5" style="184" bestFit="1" customWidth="1"/>
    <col min="263" max="263" width="0" style="184" hidden="1" customWidth="1"/>
    <col min="264" max="264" width="18.375" style="184" bestFit="1" customWidth="1"/>
    <col min="265" max="266" width="0" style="184" hidden="1" customWidth="1"/>
    <col min="267" max="510" width="9" style="184"/>
    <col min="511" max="511" width="6.625" style="184" customWidth="1"/>
    <col min="512" max="513" width="21.625" style="184" customWidth="1"/>
    <col min="514" max="514" width="16.125" style="184" bestFit="1" customWidth="1"/>
    <col min="515" max="515" width="13.875" style="184" bestFit="1" customWidth="1"/>
    <col min="516" max="516" width="17.25" style="184" bestFit="1" customWidth="1"/>
    <col min="517" max="518" width="20.5" style="184" bestFit="1" customWidth="1"/>
    <col min="519" max="519" width="0" style="184" hidden="1" customWidth="1"/>
    <col min="520" max="520" width="18.375" style="184" bestFit="1" customWidth="1"/>
    <col min="521" max="522" width="0" style="184" hidden="1" customWidth="1"/>
    <col min="523" max="766" width="9" style="184"/>
    <col min="767" max="767" width="6.625" style="184" customWidth="1"/>
    <col min="768" max="769" width="21.625" style="184" customWidth="1"/>
    <col min="770" max="770" width="16.125" style="184" bestFit="1" customWidth="1"/>
    <col min="771" max="771" width="13.875" style="184" bestFit="1" customWidth="1"/>
    <col min="772" max="772" width="17.25" style="184" bestFit="1" customWidth="1"/>
    <col min="773" max="774" width="20.5" style="184" bestFit="1" customWidth="1"/>
    <col min="775" max="775" width="0" style="184" hidden="1" customWidth="1"/>
    <col min="776" max="776" width="18.375" style="184" bestFit="1" customWidth="1"/>
    <col min="777" max="778" width="0" style="184" hidden="1" customWidth="1"/>
    <col min="779" max="1022" width="9" style="184"/>
    <col min="1023" max="1023" width="6.625" style="184" customWidth="1"/>
    <col min="1024" max="1025" width="21.625" style="184" customWidth="1"/>
    <col min="1026" max="1026" width="16.125" style="184" bestFit="1" customWidth="1"/>
    <col min="1027" max="1027" width="13.875" style="184" bestFit="1" customWidth="1"/>
    <col min="1028" max="1028" width="17.25" style="184" bestFit="1" customWidth="1"/>
    <col min="1029" max="1030" width="20.5" style="184" bestFit="1" customWidth="1"/>
    <col min="1031" max="1031" width="0" style="184" hidden="1" customWidth="1"/>
    <col min="1032" max="1032" width="18.375" style="184" bestFit="1" customWidth="1"/>
    <col min="1033" max="1034" width="0" style="184" hidden="1" customWidth="1"/>
    <col min="1035" max="1278" width="9" style="184"/>
    <col min="1279" max="1279" width="6.625" style="184" customWidth="1"/>
    <col min="1280" max="1281" width="21.625" style="184" customWidth="1"/>
    <col min="1282" max="1282" width="16.125" style="184" bestFit="1" customWidth="1"/>
    <col min="1283" max="1283" width="13.875" style="184" bestFit="1" customWidth="1"/>
    <col min="1284" max="1284" width="17.25" style="184" bestFit="1" customWidth="1"/>
    <col min="1285" max="1286" width="20.5" style="184" bestFit="1" customWidth="1"/>
    <col min="1287" max="1287" width="0" style="184" hidden="1" customWidth="1"/>
    <col min="1288" max="1288" width="18.375" style="184" bestFit="1" customWidth="1"/>
    <col min="1289" max="1290" width="0" style="184" hidden="1" customWidth="1"/>
    <col min="1291" max="1534" width="9" style="184"/>
    <col min="1535" max="1535" width="6.625" style="184" customWidth="1"/>
    <col min="1536" max="1537" width="21.625" style="184" customWidth="1"/>
    <col min="1538" max="1538" width="16.125" style="184" bestFit="1" customWidth="1"/>
    <col min="1539" max="1539" width="13.875" style="184" bestFit="1" customWidth="1"/>
    <col min="1540" max="1540" width="17.25" style="184" bestFit="1" customWidth="1"/>
    <col min="1541" max="1542" width="20.5" style="184" bestFit="1" customWidth="1"/>
    <col min="1543" max="1543" width="0" style="184" hidden="1" customWidth="1"/>
    <col min="1544" max="1544" width="18.375" style="184" bestFit="1" customWidth="1"/>
    <col min="1545" max="1546" width="0" style="184" hidden="1" customWidth="1"/>
    <col min="1547" max="1790" width="9" style="184"/>
    <col min="1791" max="1791" width="6.625" style="184" customWidth="1"/>
    <col min="1792" max="1793" width="21.625" style="184" customWidth="1"/>
    <col min="1794" max="1794" width="16.125" style="184" bestFit="1" customWidth="1"/>
    <col min="1795" max="1795" width="13.875" style="184" bestFit="1" customWidth="1"/>
    <col min="1796" max="1796" width="17.25" style="184" bestFit="1" customWidth="1"/>
    <col min="1797" max="1798" width="20.5" style="184" bestFit="1" customWidth="1"/>
    <col min="1799" max="1799" width="0" style="184" hidden="1" customWidth="1"/>
    <col min="1800" max="1800" width="18.375" style="184" bestFit="1" customWidth="1"/>
    <col min="1801" max="1802" width="0" style="184" hidden="1" customWidth="1"/>
    <col min="1803" max="2046" width="9" style="184"/>
    <col min="2047" max="2047" width="6.625" style="184" customWidth="1"/>
    <col min="2048" max="2049" width="21.625" style="184" customWidth="1"/>
    <col min="2050" max="2050" width="16.125" style="184" bestFit="1" customWidth="1"/>
    <col min="2051" max="2051" width="13.875" style="184" bestFit="1" customWidth="1"/>
    <col min="2052" max="2052" width="17.25" style="184" bestFit="1" customWidth="1"/>
    <col min="2053" max="2054" width="20.5" style="184" bestFit="1" customWidth="1"/>
    <col min="2055" max="2055" width="0" style="184" hidden="1" customWidth="1"/>
    <col min="2056" max="2056" width="18.375" style="184" bestFit="1" customWidth="1"/>
    <col min="2057" max="2058" width="0" style="184" hidden="1" customWidth="1"/>
    <col min="2059" max="2302" width="9" style="184"/>
    <col min="2303" max="2303" width="6.625" style="184" customWidth="1"/>
    <col min="2304" max="2305" width="21.625" style="184" customWidth="1"/>
    <col min="2306" max="2306" width="16.125" style="184" bestFit="1" customWidth="1"/>
    <col min="2307" max="2307" width="13.875" style="184" bestFit="1" customWidth="1"/>
    <col min="2308" max="2308" width="17.25" style="184" bestFit="1" customWidth="1"/>
    <col min="2309" max="2310" width="20.5" style="184" bestFit="1" customWidth="1"/>
    <col min="2311" max="2311" width="0" style="184" hidden="1" customWidth="1"/>
    <col min="2312" max="2312" width="18.375" style="184" bestFit="1" customWidth="1"/>
    <col min="2313" max="2314" width="0" style="184" hidden="1" customWidth="1"/>
    <col min="2315" max="2558" width="9" style="184"/>
    <col min="2559" max="2559" width="6.625" style="184" customWidth="1"/>
    <col min="2560" max="2561" width="21.625" style="184" customWidth="1"/>
    <col min="2562" max="2562" width="16.125" style="184" bestFit="1" customWidth="1"/>
    <col min="2563" max="2563" width="13.875" style="184" bestFit="1" customWidth="1"/>
    <col min="2564" max="2564" width="17.25" style="184" bestFit="1" customWidth="1"/>
    <col min="2565" max="2566" width="20.5" style="184" bestFit="1" customWidth="1"/>
    <col min="2567" max="2567" width="0" style="184" hidden="1" customWidth="1"/>
    <col min="2568" max="2568" width="18.375" style="184" bestFit="1" customWidth="1"/>
    <col min="2569" max="2570" width="0" style="184" hidden="1" customWidth="1"/>
    <col min="2571" max="2814" width="9" style="184"/>
    <col min="2815" max="2815" width="6.625" style="184" customWidth="1"/>
    <col min="2816" max="2817" width="21.625" style="184" customWidth="1"/>
    <col min="2818" max="2818" width="16.125" style="184" bestFit="1" customWidth="1"/>
    <col min="2819" max="2819" width="13.875" style="184" bestFit="1" customWidth="1"/>
    <col min="2820" max="2820" width="17.25" style="184" bestFit="1" customWidth="1"/>
    <col min="2821" max="2822" width="20.5" style="184" bestFit="1" customWidth="1"/>
    <col min="2823" max="2823" width="0" style="184" hidden="1" customWidth="1"/>
    <col min="2824" max="2824" width="18.375" style="184" bestFit="1" customWidth="1"/>
    <col min="2825" max="2826" width="0" style="184" hidden="1" customWidth="1"/>
    <col min="2827" max="3070" width="9" style="184"/>
    <col min="3071" max="3071" width="6.625" style="184" customWidth="1"/>
    <col min="3072" max="3073" width="21.625" style="184" customWidth="1"/>
    <col min="3074" max="3074" width="16.125" style="184" bestFit="1" customWidth="1"/>
    <col min="3075" max="3075" width="13.875" style="184" bestFit="1" customWidth="1"/>
    <col min="3076" max="3076" width="17.25" style="184" bestFit="1" customWidth="1"/>
    <col min="3077" max="3078" width="20.5" style="184" bestFit="1" customWidth="1"/>
    <col min="3079" max="3079" width="0" style="184" hidden="1" customWidth="1"/>
    <col min="3080" max="3080" width="18.375" style="184" bestFit="1" customWidth="1"/>
    <col min="3081" max="3082" width="0" style="184" hidden="1" customWidth="1"/>
    <col min="3083" max="3326" width="9" style="184"/>
    <col min="3327" max="3327" width="6.625" style="184" customWidth="1"/>
    <col min="3328" max="3329" width="21.625" style="184" customWidth="1"/>
    <col min="3330" max="3330" width="16.125" style="184" bestFit="1" customWidth="1"/>
    <col min="3331" max="3331" width="13.875" style="184" bestFit="1" customWidth="1"/>
    <col min="3332" max="3332" width="17.25" style="184" bestFit="1" customWidth="1"/>
    <col min="3333" max="3334" width="20.5" style="184" bestFit="1" customWidth="1"/>
    <col min="3335" max="3335" width="0" style="184" hidden="1" customWidth="1"/>
    <col min="3336" max="3336" width="18.375" style="184" bestFit="1" customWidth="1"/>
    <col min="3337" max="3338" width="0" style="184" hidden="1" customWidth="1"/>
    <col min="3339" max="3582" width="9" style="184"/>
    <col min="3583" max="3583" width="6.625" style="184" customWidth="1"/>
    <col min="3584" max="3585" width="21.625" style="184" customWidth="1"/>
    <col min="3586" max="3586" width="16.125" style="184" bestFit="1" customWidth="1"/>
    <col min="3587" max="3587" width="13.875" style="184" bestFit="1" customWidth="1"/>
    <col min="3588" max="3588" width="17.25" style="184" bestFit="1" customWidth="1"/>
    <col min="3589" max="3590" width="20.5" style="184" bestFit="1" customWidth="1"/>
    <col min="3591" max="3591" width="0" style="184" hidden="1" customWidth="1"/>
    <col min="3592" max="3592" width="18.375" style="184" bestFit="1" customWidth="1"/>
    <col min="3593" max="3594" width="0" style="184" hidden="1" customWidth="1"/>
    <col min="3595" max="3838" width="9" style="184"/>
    <col min="3839" max="3839" width="6.625" style="184" customWidth="1"/>
    <col min="3840" max="3841" width="21.625" style="184" customWidth="1"/>
    <col min="3842" max="3842" width="16.125" style="184" bestFit="1" customWidth="1"/>
    <col min="3843" max="3843" width="13.875" style="184" bestFit="1" customWidth="1"/>
    <col min="3844" max="3844" width="17.25" style="184" bestFit="1" customWidth="1"/>
    <col min="3845" max="3846" width="20.5" style="184" bestFit="1" customWidth="1"/>
    <col min="3847" max="3847" width="0" style="184" hidden="1" customWidth="1"/>
    <col min="3848" max="3848" width="18.375" style="184" bestFit="1" customWidth="1"/>
    <col min="3849" max="3850" width="0" style="184" hidden="1" customWidth="1"/>
    <col min="3851" max="4094" width="9" style="184"/>
    <col min="4095" max="4095" width="6.625" style="184" customWidth="1"/>
    <col min="4096" max="4097" width="21.625" style="184" customWidth="1"/>
    <col min="4098" max="4098" width="16.125" style="184" bestFit="1" customWidth="1"/>
    <col min="4099" max="4099" width="13.875" style="184" bestFit="1" customWidth="1"/>
    <col min="4100" max="4100" width="17.25" style="184" bestFit="1" customWidth="1"/>
    <col min="4101" max="4102" width="20.5" style="184" bestFit="1" customWidth="1"/>
    <col min="4103" max="4103" width="0" style="184" hidden="1" customWidth="1"/>
    <col min="4104" max="4104" width="18.375" style="184" bestFit="1" customWidth="1"/>
    <col min="4105" max="4106" width="0" style="184" hidden="1" customWidth="1"/>
    <col min="4107" max="4350" width="9" style="184"/>
    <col min="4351" max="4351" width="6.625" style="184" customWidth="1"/>
    <col min="4352" max="4353" width="21.625" style="184" customWidth="1"/>
    <col min="4354" max="4354" width="16.125" style="184" bestFit="1" customWidth="1"/>
    <col min="4355" max="4355" width="13.875" style="184" bestFit="1" customWidth="1"/>
    <col min="4356" max="4356" width="17.25" style="184" bestFit="1" customWidth="1"/>
    <col min="4357" max="4358" width="20.5" style="184" bestFit="1" customWidth="1"/>
    <col min="4359" max="4359" width="0" style="184" hidden="1" customWidth="1"/>
    <col min="4360" max="4360" width="18.375" style="184" bestFit="1" customWidth="1"/>
    <col min="4361" max="4362" width="0" style="184" hidden="1" customWidth="1"/>
    <col min="4363" max="4606" width="9" style="184"/>
    <col min="4607" max="4607" width="6.625" style="184" customWidth="1"/>
    <col min="4608" max="4609" width="21.625" style="184" customWidth="1"/>
    <col min="4610" max="4610" width="16.125" style="184" bestFit="1" customWidth="1"/>
    <col min="4611" max="4611" width="13.875" style="184" bestFit="1" customWidth="1"/>
    <col min="4612" max="4612" width="17.25" style="184" bestFit="1" customWidth="1"/>
    <col min="4613" max="4614" width="20.5" style="184" bestFit="1" customWidth="1"/>
    <col min="4615" max="4615" width="0" style="184" hidden="1" customWidth="1"/>
    <col min="4616" max="4616" width="18.375" style="184" bestFit="1" customWidth="1"/>
    <col min="4617" max="4618" width="0" style="184" hidden="1" customWidth="1"/>
    <col min="4619" max="4862" width="9" style="184"/>
    <col min="4863" max="4863" width="6.625" style="184" customWidth="1"/>
    <col min="4864" max="4865" width="21.625" style="184" customWidth="1"/>
    <col min="4866" max="4866" width="16.125" style="184" bestFit="1" customWidth="1"/>
    <col min="4867" max="4867" width="13.875" style="184" bestFit="1" customWidth="1"/>
    <col min="4868" max="4868" width="17.25" style="184" bestFit="1" customWidth="1"/>
    <col min="4869" max="4870" width="20.5" style="184" bestFit="1" customWidth="1"/>
    <col min="4871" max="4871" width="0" style="184" hidden="1" customWidth="1"/>
    <col min="4872" max="4872" width="18.375" style="184" bestFit="1" customWidth="1"/>
    <col min="4873" max="4874" width="0" style="184" hidden="1" customWidth="1"/>
    <col min="4875" max="5118" width="9" style="184"/>
    <col min="5119" max="5119" width="6.625" style="184" customWidth="1"/>
    <col min="5120" max="5121" width="21.625" style="184" customWidth="1"/>
    <col min="5122" max="5122" width="16.125" style="184" bestFit="1" customWidth="1"/>
    <col min="5123" max="5123" width="13.875" style="184" bestFit="1" customWidth="1"/>
    <col min="5124" max="5124" width="17.25" style="184" bestFit="1" customWidth="1"/>
    <col min="5125" max="5126" width="20.5" style="184" bestFit="1" customWidth="1"/>
    <col min="5127" max="5127" width="0" style="184" hidden="1" customWidth="1"/>
    <col min="5128" max="5128" width="18.375" style="184" bestFit="1" customWidth="1"/>
    <col min="5129" max="5130" width="0" style="184" hidden="1" customWidth="1"/>
    <col min="5131" max="5374" width="9" style="184"/>
    <col min="5375" max="5375" width="6.625" style="184" customWidth="1"/>
    <col min="5376" max="5377" width="21.625" style="184" customWidth="1"/>
    <col min="5378" max="5378" width="16.125" style="184" bestFit="1" customWidth="1"/>
    <col min="5379" max="5379" width="13.875" style="184" bestFit="1" customWidth="1"/>
    <col min="5380" max="5380" width="17.25" style="184" bestFit="1" customWidth="1"/>
    <col min="5381" max="5382" width="20.5" style="184" bestFit="1" customWidth="1"/>
    <col min="5383" max="5383" width="0" style="184" hidden="1" customWidth="1"/>
    <col min="5384" max="5384" width="18.375" style="184" bestFit="1" customWidth="1"/>
    <col min="5385" max="5386" width="0" style="184" hidden="1" customWidth="1"/>
    <col min="5387" max="5630" width="9" style="184"/>
    <col min="5631" max="5631" width="6.625" style="184" customWidth="1"/>
    <col min="5632" max="5633" width="21.625" style="184" customWidth="1"/>
    <col min="5634" max="5634" width="16.125" style="184" bestFit="1" customWidth="1"/>
    <col min="5635" max="5635" width="13.875" style="184" bestFit="1" customWidth="1"/>
    <col min="5636" max="5636" width="17.25" style="184" bestFit="1" customWidth="1"/>
    <col min="5637" max="5638" width="20.5" style="184" bestFit="1" customWidth="1"/>
    <col min="5639" max="5639" width="0" style="184" hidden="1" customWidth="1"/>
    <col min="5640" max="5640" width="18.375" style="184" bestFit="1" customWidth="1"/>
    <col min="5641" max="5642" width="0" style="184" hidden="1" customWidth="1"/>
    <col min="5643" max="5886" width="9" style="184"/>
    <col min="5887" max="5887" width="6.625" style="184" customWidth="1"/>
    <col min="5888" max="5889" width="21.625" style="184" customWidth="1"/>
    <col min="5890" max="5890" width="16.125" style="184" bestFit="1" customWidth="1"/>
    <col min="5891" max="5891" width="13.875" style="184" bestFit="1" customWidth="1"/>
    <col min="5892" max="5892" width="17.25" style="184" bestFit="1" customWidth="1"/>
    <col min="5893" max="5894" width="20.5" style="184" bestFit="1" customWidth="1"/>
    <col min="5895" max="5895" width="0" style="184" hidden="1" customWidth="1"/>
    <col min="5896" max="5896" width="18.375" style="184" bestFit="1" customWidth="1"/>
    <col min="5897" max="5898" width="0" style="184" hidden="1" customWidth="1"/>
    <col min="5899" max="6142" width="9" style="184"/>
    <col min="6143" max="6143" width="6.625" style="184" customWidth="1"/>
    <col min="6144" max="6145" width="21.625" style="184" customWidth="1"/>
    <col min="6146" max="6146" width="16.125" style="184" bestFit="1" customWidth="1"/>
    <col min="6147" max="6147" width="13.875" style="184" bestFit="1" customWidth="1"/>
    <col min="6148" max="6148" width="17.25" style="184" bestFit="1" customWidth="1"/>
    <col min="6149" max="6150" width="20.5" style="184" bestFit="1" customWidth="1"/>
    <col min="6151" max="6151" width="0" style="184" hidden="1" customWidth="1"/>
    <col min="6152" max="6152" width="18.375" style="184" bestFit="1" customWidth="1"/>
    <col min="6153" max="6154" width="0" style="184" hidden="1" customWidth="1"/>
    <col min="6155" max="6398" width="9" style="184"/>
    <col min="6399" max="6399" width="6.625" style="184" customWidth="1"/>
    <col min="6400" max="6401" width="21.625" style="184" customWidth="1"/>
    <col min="6402" max="6402" width="16.125" style="184" bestFit="1" customWidth="1"/>
    <col min="6403" max="6403" width="13.875" style="184" bestFit="1" customWidth="1"/>
    <col min="6404" max="6404" width="17.25" style="184" bestFit="1" customWidth="1"/>
    <col min="6405" max="6406" width="20.5" style="184" bestFit="1" customWidth="1"/>
    <col min="6407" max="6407" width="0" style="184" hidden="1" customWidth="1"/>
    <col min="6408" max="6408" width="18.375" style="184" bestFit="1" customWidth="1"/>
    <col min="6409" max="6410" width="0" style="184" hidden="1" customWidth="1"/>
    <col min="6411" max="6654" width="9" style="184"/>
    <col min="6655" max="6655" width="6.625" style="184" customWidth="1"/>
    <col min="6656" max="6657" width="21.625" style="184" customWidth="1"/>
    <col min="6658" max="6658" width="16.125" style="184" bestFit="1" customWidth="1"/>
    <col min="6659" max="6659" width="13.875" style="184" bestFit="1" customWidth="1"/>
    <col min="6660" max="6660" width="17.25" style="184" bestFit="1" customWidth="1"/>
    <col min="6661" max="6662" width="20.5" style="184" bestFit="1" customWidth="1"/>
    <col min="6663" max="6663" width="0" style="184" hidden="1" customWidth="1"/>
    <col min="6664" max="6664" width="18.375" style="184" bestFit="1" customWidth="1"/>
    <col min="6665" max="6666" width="0" style="184" hidden="1" customWidth="1"/>
    <col min="6667" max="6910" width="9" style="184"/>
    <col min="6911" max="6911" width="6.625" style="184" customWidth="1"/>
    <col min="6912" max="6913" width="21.625" style="184" customWidth="1"/>
    <col min="6914" max="6914" width="16.125" style="184" bestFit="1" customWidth="1"/>
    <col min="6915" max="6915" width="13.875" style="184" bestFit="1" customWidth="1"/>
    <col min="6916" max="6916" width="17.25" style="184" bestFit="1" customWidth="1"/>
    <col min="6917" max="6918" width="20.5" style="184" bestFit="1" customWidth="1"/>
    <col min="6919" max="6919" width="0" style="184" hidden="1" customWidth="1"/>
    <col min="6920" max="6920" width="18.375" style="184" bestFit="1" customWidth="1"/>
    <col min="6921" max="6922" width="0" style="184" hidden="1" customWidth="1"/>
    <col min="6923" max="7166" width="9" style="184"/>
    <col min="7167" max="7167" width="6.625" style="184" customWidth="1"/>
    <col min="7168" max="7169" width="21.625" style="184" customWidth="1"/>
    <col min="7170" max="7170" width="16.125" style="184" bestFit="1" customWidth="1"/>
    <col min="7171" max="7171" width="13.875" style="184" bestFit="1" customWidth="1"/>
    <col min="7172" max="7172" width="17.25" style="184" bestFit="1" customWidth="1"/>
    <col min="7173" max="7174" width="20.5" style="184" bestFit="1" customWidth="1"/>
    <col min="7175" max="7175" width="0" style="184" hidden="1" customWidth="1"/>
    <col min="7176" max="7176" width="18.375" style="184" bestFit="1" customWidth="1"/>
    <col min="7177" max="7178" width="0" style="184" hidden="1" customWidth="1"/>
    <col min="7179" max="7422" width="9" style="184"/>
    <col min="7423" max="7423" width="6.625" style="184" customWidth="1"/>
    <col min="7424" max="7425" width="21.625" style="184" customWidth="1"/>
    <col min="7426" max="7426" width="16.125" style="184" bestFit="1" customWidth="1"/>
    <col min="7427" max="7427" width="13.875" style="184" bestFit="1" customWidth="1"/>
    <col min="7428" max="7428" width="17.25" style="184" bestFit="1" customWidth="1"/>
    <col min="7429" max="7430" width="20.5" style="184" bestFit="1" customWidth="1"/>
    <col min="7431" max="7431" width="0" style="184" hidden="1" customWidth="1"/>
    <col min="7432" max="7432" width="18.375" style="184" bestFit="1" customWidth="1"/>
    <col min="7433" max="7434" width="0" style="184" hidden="1" customWidth="1"/>
    <col min="7435" max="7678" width="9" style="184"/>
    <col min="7679" max="7679" width="6.625" style="184" customWidth="1"/>
    <col min="7680" max="7681" width="21.625" style="184" customWidth="1"/>
    <col min="7682" max="7682" width="16.125" style="184" bestFit="1" customWidth="1"/>
    <col min="7683" max="7683" width="13.875" style="184" bestFit="1" customWidth="1"/>
    <col min="7684" max="7684" width="17.25" style="184" bestFit="1" customWidth="1"/>
    <col min="7685" max="7686" width="20.5" style="184" bestFit="1" customWidth="1"/>
    <col min="7687" max="7687" width="0" style="184" hidden="1" customWidth="1"/>
    <col min="7688" max="7688" width="18.375" style="184" bestFit="1" customWidth="1"/>
    <col min="7689" max="7690" width="0" style="184" hidden="1" customWidth="1"/>
    <col min="7691" max="7934" width="9" style="184"/>
    <col min="7935" max="7935" width="6.625" style="184" customWidth="1"/>
    <col min="7936" max="7937" width="21.625" style="184" customWidth="1"/>
    <col min="7938" max="7938" width="16.125" style="184" bestFit="1" customWidth="1"/>
    <col min="7939" max="7939" width="13.875" style="184" bestFit="1" customWidth="1"/>
    <col min="7940" max="7940" width="17.25" style="184" bestFit="1" customWidth="1"/>
    <col min="7941" max="7942" width="20.5" style="184" bestFit="1" customWidth="1"/>
    <col min="7943" max="7943" width="0" style="184" hidden="1" customWidth="1"/>
    <col min="7944" max="7944" width="18.375" style="184" bestFit="1" customWidth="1"/>
    <col min="7945" max="7946" width="0" style="184" hidden="1" customWidth="1"/>
    <col min="7947" max="8190" width="9" style="184"/>
    <col min="8191" max="8191" width="6.625" style="184" customWidth="1"/>
    <col min="8192" max="8193" width="21.625" style="184" customWidth="1"/>
    <col min="8194" max="8194" width="16.125" style="184" bestFit="1" customWidth="1"/>
    <col min="8195" max="8195" width="13.875" style="184" bestFit="1" customWidth="1"/>
    <col min="8196" max="8196" width="17.25" style="184" bestFit="1" customWidth="1"/>
    <col min="8197" max="8198" width="20.5" style="184" bestFit="1" customWidth="1"/>
    <col min="8199" max="8199" width="0" style="184" hidden="1" customWidth="1"/>
    <col min="8200" max="8200" width="18.375" style="184" bestFit="1" customWidth="1"/>
    <col min="8201" max="8202" width="0" style="184" hidden="1" customWidth="1"/>
    <col min="8203" max="8446" width="9" style="184"/>
    <col min="8447" max="8447" width="6.625" style="184" customWidth="1"/>
    <col min="8448" max="8449" width="21.625" style="184" customWidth="1"/>
    <col min="8450" max="8450" width="16.125" style="184" bestFit="1" customWidth="1"/>
    <col min="8451" max="8451" width="13.875" style="184" bestFit="1" customWidth="1"/>
    <col min="8452" max="8452" width="17.25" style="184" bestFit="1" customWidth="1"/>
    <col min="8453" max="8454" width="20.5" style="184" bestFit="1" customWidth="1"/>
    <col min="8455" max="8455" width="0" style="184" hidden="1" customWidth="1"/>
    <col min="8456" max="8456" width="18.375" style="184" bestFit="1" customWidth="1"/>
    <col min="8457" max="8458" width="0" style="184" hidden="1" customWidth="1"/>
    <col min="8459" max="8702" width="9" style="184"/>
    <col min="8703" max="8703" width="6.625" style="184" customWidth="1"/>
    <col min="8704" max="8705" width="21.625" style="184" customWidth="1"/>
    <col min="8706" max="8706" width="16.125" style="184" bestFit="1" customWidth="1"/>
    <col min="8707" max="8707" width="13.875" style="184" bestFit="1" customWidth="1"/>
    <col min="8708" max="8708" width="17.25" style="184" bestFit="1" customWidth="1"/>
    <col min="8709" max="8710" width="20.5" style="184" bestFit="1" customWidth="1"/>
    <col min="8711" max="8711" width="0" style="184" hidden="1" customWidth="1"/>
    <col min="8712" max="8712" width="18.375" style="184" bestFit="1" customWidth="1"/>
    <col min="8713" max="8714" width="0" style="184" hidden="1" customWidth="1"/>
    <col min="8715" max="8958" width="9" style="184"/>
    <col min="8959" max="8959" width="6.625" style="184" customWidth="1"/>
    <col min="8960" max="8961" width="21.625" style="184" customWidth="1"/>
    <col min="8962" max="8962" width="16.125" style="184" bestFit="1" customWidth="1"/>
    <col min="8963" max="8963" width="13.875" style="184" bestFit="1" customWidth="1"/>
    <col min="8964" max="8964" width="17.25" style="184" bestFit="1" customWidth="1"/>
    <col min="8965" max="8966" width="20.5" style="184" bestFit="1" customWidth="1"/>
    <col min="8967" max="8967" width="0" style="184" hidden="1" customWidth="1"/>
    <col min="8968" max="8968" width="18.375" style="184" bestFit="1" customWidth="1"/>
    <col min="8969" max="8970" width="0" style="184" hidden="1" customWidth="1"/>
    <col min="8971" max="9214" width="9" style="184"/>
    <col min="9215" max="9215" width="6.625" style="184" customWidth="1"/>
    <col min="9216" max="9217" width="21.625" style="184" customWidth="1"/>
    <col min="9218" max="9218" width="16.125" style="184" bestFit="1" customWidth="1"/>
    <col min="9219" max="9219" width="13.875" style="184" bestFit="1" customWidth="1"/>
    <col min="9220" max="9220" width="17.25" style="184" bestFit="1" customWidth="1"/>
    <col min="9221" max="9222" width="20.5" style="184" bestFit="1" customWidth="1"/>
    <col min="9223" max="9223" width="0" style="184" hidden="1" customWidth="1"/>
    <col min="9224" max="9224" width="18.375" style="184" bestFit="1" customWidth="1"/>
    <col min="9225" max="9226" width="0" style="184" hidden="1" customWidth="1"/>
    <col min="9227" max="9470" width="9" style="184"/>
    <col min="9471" max="9471" width="6.625" style="184" customWidth="1"/>
    <col min="9472" max="9473" width="21.625" style="184" customWidth="1"/>
    <col min="9474" max="9474" width="16.125" style="184" bestFit="1" customWidth="1"/>
    <col min="9475" max="9475" width="13.875" style="184" bestFit="1" customWidth="1"/>
    <col min="9476" max="9476" width="17.25" style="184" bestFit="1" customWidth="1"/>
    <col min="9477" max="9478" width="20.5" style="184" bestFit="1" customWidth="1"/>
    <col min="9479" max="9479" width="0" style="184" hidden="1" customWidth="1"/>
    <col min="9480" max="9480" width="18.375" style="184" bestFit="1" customWidth="1"/>
    <col min="9481" max="9482" width="0" style="184" hidden="1" customWidth="1"/>
    <col min="9483" max="9726" width="9" style="184"/>
    <col min="9727" max="9727" width="6.625" style="184" customWidth="1"/>
    <col min="9728" max="9729" width="21.625" style="184" customWidth="1"/>
    <col min="9730" max="9730" width="16.125" style="184" bestFit="1" customWidth="1"/>
    <col min="9731" max="9731" width="13.875" style="184" bestFit="1" customWidth="1"/>
    <col min="9732" max="9732" width="17.25" style="184" bestFit="1" customWidth="1"/>
    <col min="9733" max="9734" width="20.5" style="184" bestFit="1" customWidth="1"/>
    <col min="9735" max="9735" width="0" style="184" hidden="1" customWidth="1"/>
    <col min="9736" max="9736" width="18.375" style="184" bestFit="1" customWidth="1"/>
    <col min="9737" max="9738" width="0" style="184" hidden="1" customWidth="1"/>
    <col min="9739" max="9982" width="9" style="184"/>
    <col min="9983" max="9983" width="6.625" style="184" customWidth="1"/>
    <col min="9984" max="9985" width="21.625" style="184" customWidth="1"/>
    <col min="9986" max="9986" width="16.125" style="184" bestFit="1" customWidth="1"/>
    <col min="9987" max="9987" width="13.875" style="184" bestFit="1" customWidth="1"/>
    <col min="9988" max="9988" width="17.25" style="184" bestFit="1" customWidth="1"/>
    <col min="9989" max="9990" width="20.5" style="184" bestFit="1" customWidth="1"/>
    <col min="9991" max="9991" width="0" style="184" hidden="1" customWidth="1"/>
    <col min="9992" max="9992" width="18.375" style="184" bestFit="1" customWidth="1"/>
    <col min="9993" max="9994" width="0" style="184" hidden="1" customWidth="1"/>
    <col min="9995" max="10238" width="9" style="184"/>
    <col min="10239" max="10239" width="6.625" style="184" customWidth="1"/>
    <col min="10240" max="10241" width="21.625" style="184" customWidth="1"/>
    <col min="10242" max="10242" width="16.125" style="184" bestFit="1" customWidth="1"/>
    <col min="10243" max="10243" width="13.875" style="184" bestFit="1" customWidth="1"/>
    <col min="10244" max="10244" width="17.25" style="184" bestFit="1" customWidth="1"/>
    <col min="10245" max="10246" width="20.5" style="184" bestFit="1" customWidth="1"/>
    <col min="10247" max="10247" width="0" style="184" hidden="1" customWidth="1"/>
    <col min="10248" max="10248" width="18.375" style="184" bestFit="1" customWidth="1"/>
    <col min="10249" max="10250" width="0" style="184" hidden="1" customWidth="1"/>
    <col min="10251" max="10494" width="9" style="184"/>
    <col min="10495" max="10495" width="6.625" style="184" customWidth="1"/>
    <col min="10496" max="10497" width="21.625" style="184" customWidth="1"/>
    <col min="10498" max="10498" width="16.125" style="184" bestFit="1" customWidth="1"/>
    <col min="10499" max="10499" width="13.875" style="184" bestFit="1" customWidth="1"/>
    <col min="10500" max="10500" width="17.25" style="184" bestFit="1" customWidth="1"/>
    <col min="10501" max="10502" width="20.5" style="184" bestFit="1" customWidth="1"/>
    <col min="10503" max="10503" width="0" style="184" hidden="1" customWidth="1"/>
    <col min="10504" max="10504" width="18.375" style="184" bestFit="1" customWidth="1"/>
    <col min="10505" max="10506" width="0" style="184" hidden="1" customWidth="1"/>
    <col min="10507" max="10750" width="9" style="184"/>
    <col min="10751" max="10751" width="6.625" style="184" customWidth="1"/>
    <col min="10752" max="10753" width="21.625" style="184" customWidth="1"/>
    <col min="10754" max="10754" width="16.125" style="184" bestFit="1" customWidth="1"/>
    <col min="10755" max="10755" width="13.875" style="184" bestFit="1" customWidth="1"/>
    <col min="10756" max="10756" width="17.25" style="184" bestFit="1" customWidth="1"/>
    <col min="10757" max="10758" width="20.5" style="184" bestFit="1" customWidth="1"/>
    <col min="10759" max="10759" width="0" style="184" hidden="1" customWidth="1"/>
    <col min="10760" max="10760" width="18.375" style="184" bestFit="1" customWidth="1"/>
    <col min="10761" max="10762" width="0" style="184" hidden="1" customWidth="1"/>
    <col min="10763" max="11006" width="9" style="184"/>
    <col min="11007" max="11007" width="6.625" style="184" customWidth="1"/>
    <col min="11008" max="11009" width="21.625" style="184" customWidth="1"/>
    <col min="11010" max="11010" width="16.125" style="184" bestFit="1" customWidth="1"/>
    <col min="11011" max="11011" width="13.875" style="184" bestFit="1" customWidth="1"/>
    <col min="11012" max="11012" width="17.25" style="184" bestFit="1" customWidth="1"/>
    <col min="11013" max="11014" width="20.5" style="184" bestFit="1" customWidth="1"/>
    <col min="11015" max="11015" width="0" style="184" hidden="1" customWidth="1"/>
    <col min="11016" max="11016" width="18.375" style="184" bestFit="1" customWidth="1"/>
    <col min="11017" max="11018" width="0" style="184" hidden="1" customWidth="1"/>
    <col min="11019" max="11262" width="9" style="184"/>
    <col min="11263" max="11263" width="6.625" style="184" customWidth="1"/>
    <col min="11264" max="11265" width="21.625" style="184" customWidth="1"/>
    <col min="11266" max="11266" width="16.125" style="184" bestFit="1" customWidth="1"/>
    <col min="11267" max="11267" width="13.875" style="184" bestFit="1" customWidth="1"/>
    <col min="11268" max="11268" width="17.25" style="184" bestFit="1" customWidth="1"/>
    <col min="11269" max="11270" width="20.5" style="184" bestFit="1" customWidth="1"/>
    <col min="11271" max="11271" width="0" style="184" hidden="1" customWidth="1"/>
    <col min="11272" max="11272" width="18.375" style="184" bestFit="1" customWidth="1"/>
    <col min="11273" max="11274" width="0" style="184" hidden="1" customWidth="1"/>
    <col min="11275" max="11518" width="9" style="184"/>
    <col min="11519" max="11519" width="6.625" style="184" customWidth="1"/>
    <col min="11520" max="11521" width="21.625" style="184" customWidth="1"/>
    <col min="11522" max="11522" width="16.125" style="184" bestFit="1" customWidth="1"/>
    <col min="11523" max="11523" width="13.875" style="184" bestFit="1" customWidth="1"/>
    <col min="11524" max="11524" width="17.25" style="184" bestFit="1" customWidth="1"/>
    <col min="11525" max="11526" width="20.5" style="184" bestFit="1" customWidth="1"/>
    <col min="11527" max="11527" width="0" style="184" hidden="1" customWidth="1"/>
    <col min="11528" max="11528" width="18.375" style="184" bestFit="1" customWidth="1"/>
    <col min="11529" max="11530" width="0" style="184" hidden="1" customWidth="1"/>
    <col min="11531" max="11774" width="9" style="184"/>
    <col min="11775" max="11775" width="6.625" style="184" customWidth="1"/>
    <col min="11776" max="11777" width="21.625" style="184" customWidth="1"/>
    <col min="11778" max="11778" width="16.125" style="184" bestFit="1" customWidth="1"/>
    <col min="11779" max="11779" width="13.875" style="184" bestFit="1" customWidth="1"/>
    <col min="11780" max="11780" width="17.25" style="184" bestFit="1" customWidth="1"/>
    <col min="11781" max="11782" width="20.5" style="184" bestFit="1" customWidth="1"/>
    <col min="11783" max="11783" width="0" style="184" hidden="1" customWidth="1"/>
    <col min="11784" max="11784" width="18.375" style="184" bestFit="1" customWidth="1"/>
    <col min="11785" max="11786" width="0" style="184" hidden="1" customWidth="1"/>
    <col min="11787" max="12030" width="9" style="184"/>
    <col min="12031" max="12031" width="6.625" style="184" customWidth="1"/>
    <col min="12032" max="12033" width="21.625" style="184" customWidth="1"/>
    <col min="12034" max="12034" width="16.125" style="184" bestFit="1" customWidth="1"/>
    <col min="12035" max="12035" width="13.875" style="184" bestFit="1" customWidth="1"/>
    <col min="12036" max="12036" width="17.25" style="184" bestFit="1" customWidth="1"/>
    <col min="12037" max="12038" width="20.5" style="184" bestFit="1" customWidth="1"/>
    <col min="12039" max="12039" width="0" style="184" hidden="1" customWidth="1"/>
    <col min="12040" max="12040" width="18.375" style="184" bestFit="1" customWidth="1"/>
    <col min="12041" max="12042" width="0" style="184" hidden="1" customWidth="1"/>
    <col min="12043" max="12286" width="9" style="184"/>
    <col min="12287" max="12287" width="6.625" style="184" customWidth="1"/>
    <col min="12288" max="12289" width="21.625" style="184" customWidth="1"/>
    <col min="12290" max="12290" width="16.125" style="184" bestFit="1" customWidth="1"/>
    <col min="12291" max="12291" width="13.875" style="184" bestFit="1" customWidth="1"/>
    <col min="12292" max="12292" width="17.25" style="184" bestFit="1" customWidth="1"/>
    <col min="12293" max="12294" width="20.5" style="184" bestFit="1" customWidth="1"/>
    <col min="12295" max="12295" width="0" style="184" hidden="1" customWidth="1"/>
    <col min="12296" max="12296" width="18.375" style="184" bestFit="1" customWidth="1"/>
    <col min="12297" max="12298" width="0" style="184" hidden="1" customWidth="1"/>
    <col min="12299" max="12542" width="9" style="184"/>
    <col min="12543" max="12543" width="6.625" style="184" customWidth="1"/>
    <col min="12544" max="12545" width="21.625" style="184" customWidth="1"/>
    <col min="12546" max="12546" width="16.125" style="184" bestFit="1" customWidth="1"/>
    <col min="12547" max="12547" width="13.875" style="184" bestFit="1" customWidth="1"/>
    <col min="12548" max="12548" width="17.25" style="184" bestFit="1" customWidth="1"/>
    <col min="12549" max="12550" width="20.5" style="184" bestFit="1" customWidth="1"/>
    <col min="12551" max="12551" width="0" style="184" hidden="1" customWidth="1"/>
    <col min="12552" max="12552" width="18.375" style="184" bestFit="1" customWidth="1"/>
    <col min="12553" max="12554" width="0" style="184" hidden="1" customWidth="1"/>
    <col min="12555" max="12798" width="9" style="184"/>
    <col min="12799" max="12799" width="6.625" style="184" customWidth="1"/>
    <col min="12800" max="12801" width="21.625" style="184" customWidth="1"/>
    <col min="12802" max="12802" width="16.125" style="184" bestFit="1" customWidth="1"/>
    <col min="12803" max="12803" width="13.875" style="184" bestFit="1" customWidth="1"/>
    <col min="12804" max="12804" width="17.25" style="184" bestFit="1" customWidth="1"/>
    <col min="12805" max="12806" width="20.5" style="184" bestFit="1" customWidth="1"/>
    <col min="12807" max="12807" width="0" style="184" hidden="1" customWidth="1"/>
    <col min="12808" max="12808" width="18.375" style="184" bestFit="1" customWidth="1"/>
    <col min="12809" max="12810" width="0" style="184" hidden="1" customWidth="1"/>
    <col min="12811" max="13054" width="9" style="184"/>
    <col min="13055" max="13055" width="6.625" style="184" customWidth="1"/>
    <col min="13056" max="13057" width="21.625" style="184" customWidth="1"/>
    <col min="13058" max="13058" width="16.125" style="184" bestFit="1" customWidth="1"/>
    <col min="13059" max="13059" width="13.875" style="184" bestFit="1" customWidth="1"/>
    <col min="13060" max="13060" width="17.25" style="184" bestFit="1" customWidth="1"/>
    <col min="13061" max="13062" width="20.5" style="184" bestFit="1" customWidth="1"/>
    <col min="13063" max="13063" width="0" style="184" hidden="1" customWidth="1"/>
    <col min="13064" max="13064" width="18.375" style="184" bestFit="1" customWidth="1"/>
    <col min="13065" max="13066" width="0" style="184" hidden="1" customWidth="1"/>
    <col min="13067" max="13310" width="9" style="184"/>
    <col min="13311" max="13311" width="6.625" style="184" customWidth="1"/>
    <col min="13312" max="13313" width="21.625" style="184" customWidth="1"/>
    <col min="13314" max="13314" width="16.125" style="184" bestFit="1" customWidth="1"/>
    <col min="13315" max="13315" width="13.875" style="184" bestFit="1" customWidth="1"/>
    <col min="13316" max="13316" width="17.25" style="184" bestFit="1" customWidth="1"/>
    <col min="13317" max="13318" width="20.5" style="184" bestFit="1" customWidth="1"/>
    <col min="13319" max="13319" width="0" style="184" hidden="1" customWidth="1"/>
    <col min="13320" max="13320" width="18.375" style="184" bestFit="1" customWidth="1"/>
    <col min="13321" max="13322" width="0" style="184" hidden="1" customWidth="1"/>
    <col min="13323" max="13566" width="9" style="184"/>
    <col min="13567" max="13567" width="6.625" style="184" customWidth="1"/>
    <col min="13568" max="13569" width="21.625" style="184" customWidth="1"/>
    <col min="13570" max="13570" width="16.125" style="184" bestFit="1" customWidth="1"/>
    <col min="13571" max="13571" width="13.875" style="184" bestFit="1" customWidth="1"/>
    <col min="13572" max="13572" width="17.25" style="184" bestFit="1" customWidth="1"/>
    <col min="13573" max="13574" width="20.5" style="184" bestFit="1" customWidth="1"/>
    <col min="13575" max="13575" width="0" style="184" hidden="1" customWidth="1"/>
    <col min="13576" max="13576" width="18.375" style="184" bestFit="1" customWidth="1"/>
    <col min="13577" max="13578" width="0" style="184" hidden="1" customWidth="1"/>
    <col min="13579" max="13822" width="9" style="184"/>
    <col min="13823" max="13823" width="6.625" style="184" customWidth="1"/>
    <col min="13824" max="13825" width="21.625" style="184" customWidth="1"/>
    <col min="13826" max="13826" width="16.125" style="184" bestFit="1" customWidth="1"/>
    <col min="13827" max="13827" width="13.875" style="184" bestFit="1" customWidth="1"/>
    <col min="13828" max="13828" width="17.25" style="184" bestFit="1" customWidth="1"/>
    <col min="13829" max="13830" width="20.5" style="184" bestFit="1" customWidth="1"/>
    <col min="13831" max="13831" width="0" style="184" hidden="1" customWidth="1"/>
    <col min="13832" max="13832" width="18.375" style="184" bestFit="1" customWidth="1"/>
    <col min="13833" max="13834" width="0" style="184" hidden="1" customWidth="1"/>
    <col min="13835" max="14078" width="9" style="184"/>
    <col min="14079" max="14079" width="6.625" style="184" customWidth="1"/>
    <col min="14080" max="14081" width="21.625" style="184" customWidth="1"/>
    <col min="14082" max="14082" width="16.125" style="184" bestFit="1" customWidth="1"/>
    <col min="14083" max="14083" width="13.875" style="184" bestFit="1" customWidth="1"/>
    <col min="14084" max="14084" width="17.25" style="184" bestFit="1" customWidth="1"/>
    <col min="14085" max="14086" width="20.5" style="184" bestFit="1" customWidth="1"/>
    <col min="14087" max="14087" width="0" style="184" hidden="1" customWidth="1"/>
    <col min="14088" max="14088" width="18.375" style="184" bestFit="1" customWidth="1"/>
    <col min="14089" max="14090" width="0" style="184" hidden="1" customWidth="1"/>
    <col min="14091" max="14334" width="9" style="184"/>
    <col min="14335" max="14335" width="6.625" style="184" customWidth="1"/>
    <col min="14336" max="14337" width="21.625" style="184" customWidth="1"/>
    <col min="14338" max="14338" width="16.125" style="184" bestFit="1" customWidth="1"/>
    <col min="14339" max="14339" width="13.875" style="184" bestFit="1" customWidth="1"/>
    <col min="14340" max="14340" width="17.25" style="184" bestFit="1" customWidth="1"/>
    <col min="14341" max="14342" width="20.5" style="184" bestFit="1" customWidth="1"/>
    <col min="14343" max="14343" width="0" style="184" hidden="1" customWidth="1"/>
    <col min="14344" max="14344" width="18.375" style="184" bestFit="1" customWidth="1"/>
    <col min="14345" max="14346" width="0" style="184" hidden="1" customWidth="1"/>
    <col min="14347" max="14590" width="9" style="184"/>
    <col min="14591" max="14591" width="6.625" style="184" customWidth="1"/>
    <col min="14592" max="14593" width="21.625" style="184" customWidth="1"/>
    <col min="14594" max="14594" width="16.125" style="184" bestFit="1" customWidth="1"/>
    <col min="14595" max="14595" width="13.875" style="184" bestFit="1" customWidth="1"/>
    <col min="14596" max="14596" width="17.25" style="184" bestFit="1" customWidth="1"/>
    <col min="14597" max="14598" width="20.5" style="184" bestFit="1" customWidth="1"/>
    <col min="14599" max="14599" width="0" style="184" hidden="1" customWidth="1"/>
    <col min="14600" max="14600" width="18.375" style="184" bestFit="1" customWidth="1"/>
    <col min="14601" max="14602" width="0" style="184" hidden="1" customWidth="1"/>
    <col min="14603" max="14846" width="9" style="184"/>
    <col min="14847" max="14847" width="6.625" style="184" customWidth="1"/>
    <col min="14848" max="14849" width="21.625" style="184" customWidth="1"/>
    <col min="14850" max="14850" width="16.125" style="184" bestFit="1" customWidth="1"/>
    <col min="14851" max="14851" width="13.875" style="184" bestFit="1" customWidth="1"/>
    <col min="14852" max="14852" width="17.25" style="184" bestFit="1" customWidth="1"/>
    <col min="14853" max="14854" width="20.5" style="184" bestFit="1" customWidth="1"/>
    <col min="14855" max="14855" width="0" style="184" hidden="1" customWidth="1"/>
    <col min="14856" max="14856" width="18.375" style="184" bestFit="1" customWidth="1"/>
    <col min="14857" max="14858" width="0" style="184" hidden="1" customWidth="1"/>
    <col min="14859" max="15102" width="9" style="184"/>
    <col min="15103" max="15103" width="6.625" style="184" customWidth="1"/>
    <col min="15104" max="15105" width="21.625" style="184" customWidth="1"/>
    <col min="15106" max="15106" width="16.125" style="184" bestFit="1" customWidth="1"/>
    <col min="15107" max="15107" width="13.875" style="184" bestFit="1" customWidth="1"/>
    <col min="15108" max="15108" width="17.25" style="184" bestFit="1" customWidth="1"/>
    <col min="15109" max="15110" width="20.5" style="184" bestFit="1" customWidth="1"/>
    <col min="15111" max="15111" width="0" style="184" hidden="1" customWidth="1"/>
    <col min="15112" max="15112" width="18.375" style="184" bestFit="1" customWidth="1"/>
    <col min="15113" max="15114" width="0" style="184" hidden="1" customWidth="1"/>
    <col min="15115" max="15358" width="9" style="184"/>
    <col min="15359" max="15359" width="6.625" style="184" customWidth="1"/>
    <col min="15360" max="15361" width="21.625" style="184" customWidth="1"/>
    <col min="15362" max="15362" width="16.125" style="184" bestFit="1" customWidth="1"/>
    <col min="15363" max="15363" width="13.875" style="184" bestFit="1" customWidth="1"/>
    <col min="15364" max="15364" width="17.25" style="184" bestFit="1" customWidth="1"/>
    <col min="15365" max="15366" width="20.5" style="184" bestFit="1" customWidth="1"/>
    <col min="15367" max="15367" width="0" style="184" hidden="1" customWidth="1"/>
    <col min="15368" max="15368" width="18.375" style="184" bestFit="1" customWidth="1"/>
    <col min="15369" max="15370" width="0" style="184" hidden="1" customWidth="1"/>
    <col min="15371" max="15614" width="9" style="184"/>
    <col min="15615" max="15615" width="6.625" style="184" customWidth="1"/>
    <col min="15616" max="15617" width="21.625" style="184" customWidth="1"/>
    <col min="15618" max="15618" width="16.125" style="184" bestFit="1" customWidth="1"/>
    <col min="15619" max="15619" width="13.875" style="184" bestFit="1" customWidth="1"/>
    <col min="15620" max="15620" width="17.25" style="184" bestFit="1" customWidth="1"/>
    <col min="15621" max="15622" width="20.5" style="184" bestFit="1" customWidth="1"/>
    <col min="15623" max="15623" width="0" style="184" hidden="1" customWidth="1"/>
    <col min="15624" max="15624" width="18.375" style="184" bestFit="1" customWidth="1"/>
    <col min="15625" max="15626" width="0" style="184" hidden="1" customWidth="1"/>
    <col min="15627" max="15870" width="9" style="184"/>
    <col min="15871" max="15871" width="6.625" style="184" customWidth="1"/>
    <col min="15872" max="15873" width="21.625" style="184" customWidth="1"/>
    <col min="15874" max="15874" width="16.125" style="184" bestFit="1" customWidth="1"/>
    <col min="15875" max="15875" width="13.875" style="184" bestFit="1" customWidth="1"/>
    <col min="15876" max="15876" width="17.25" style="184" bestFit="1" customWidth="1"/>
    <col min="15877" max="15878" width="20.5" style="184" bestFit="1" customWidth="1"/>
    <col min="15879" max="15879" width="0" style="184" hidden="1" customWidth="1"/>
    <col min="15880" max="15880" width="18.375" style="184" bestFit="1" customWidth="1"/>
    <col min="15881" max="15882" width="0" style="184" hidden="1" customWidth="1"/>
    <col min="15883" max="16126" width="9" style="184"/>
    <col min="16127" max="16127" width="6.625" style="184" customWidth="1"/>
    <col min="16128" max="16129" width="21.625" style="184" customWidth="1"/>
    <col min="16130" max="16130" width="16.125" style="184" bestFit="1" customWidth="1"/>
    <col min="16131" max="16131" width="13.875" style="184" bestFit="1" customWidth="1"/>
    <col min="16132" max="16132" width="17.25" style="184" bestFit="1" customWidth="1"/>
    <col min="16133" max="16134" width="20.5" style="184" bestFit="1" customWidth="1"/>
    <col min="16135" max="16135" width="0" style="184" hidden="1" customWidth="1"/>
    <col min="16136" max="16136" width="18.375" style="184" bestFit="1" customWidth="1"/>
    <col min="16137" max="16138" width="0" style="184" hidden="1" customWidth="1"/>
    <col min="16139" max="16384" width="9" style="184"/>
  </cols>
  <sheetData>
    <row r="1" spans="1:5" ht="35.1" customHeight="1">
      <c r="A1" s="239" t="s">
        <v>576</v>
      </c>
      <c r="B1" s="240"/>
      <c r="C1" s="240"/>
      <c r="D1" s="240"/>
      <c r="E1" s="240"/>
    </row>
    <row r="2" spans="1:5" ht="35.1" customHeight="1">
      <c r="A2" s="235" t="s">
        <v>584</v>
      </c>
      <c r="B2" s="236"/>
      <c r="C2" s="218"/>
      <c r="D2" s="218"/>
    </row>
    <row r="3" spans="1:5" ht="30" customHeight="1">
      <c r="A3" s="180" t="s">
        <v>573</v>
      </c>
      <c r="B3" s="180" t="s">
        <v>574</v>
      </c>
      <c r="C3" s="180" t="s">
        <v>604</v>
      </c>
      <c r="D3" s="180" t="s">
        <v>605</v>
      </c>
      <c r="E3" s="181" t="s">
        <v>606</v>
      </c>
    </row>
    <row r="4" spans="1:5" ht="30" customHeight="1">
      <c r="A4" s="180">
        <v>1</v>
      </c>
      <c r="B4" s="180" t="s">
        <v>575</v>
      </c>
      <c r="C4" s="180">
        <f>设备更新及购置!J8</f>
        <v>372000</v>
      </c>
      <c r="D4" s="180">
        <v>372000</v>
      </c>
      <c r="E4" s="182">
        <f>C4-D4</f>
        <v>0</v>
      </c>
    </row>
    <row r="5" spans="1:5" ht="30" customHeight="1">
      <c r="A5" s="180"/>
      <c r="B5" s="180" t="s">
        <v>572</v>
      </c>
      <c r="C5" s="180"/>
      <c r="D5" s="180"/>
      <c r="E5" s="183">
        <f>SUM(E4:E4)</f>
        <v>0</v>
      </c>
    </row>
    <row r="6" spans="1:5" ht="30" customHeight="1"/>
    <row r="7" spans="1:5" ht="30" customHeight="1"/>
  </sheetData>
  <mergeCells count="2">
    <mergeCell ref="A1:E1"/>
    <mergeCell ref="A2:B2"/>
  </mergeCells>
  <phoneticPr fontId="1" type="noConversion"/>
  <printOptions horizontalCentered="1"/>
  <pageMargins left="0.70866141732283472" right="0.70866141732283472" top="1.3385826771653544" bottom="0.74803149606299213" header="0.31496062992125984" footer="0.31496062992125984"/>
  <pageSetup paperSize="9" scale="9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sqref="A1:XFD1048576"/>
    </sheetView>
  </sheetViews>
  <sheetFormatPr defaultColWidth="7.75" defaultRowHeight="12.75"/>
  <cols>
    <col min="1" max="1" width="3.375" style="193" customWidth="1"/>
    <col min="2" max="2" width="7" style="216" customWidth="1"/>
    <col min="3" max="3" width="23.875" style="193" customWidth="1"/>
    <col min="4" max="4" width="20.75" style="193" customWidth="1"/>
    <col min="5" max="5" width="17.25" style="193" customWidth="1"/>
    <col min="6" max="6" width="19.125" style="193" customWidth="1"/>
    <col min="7" max="7" width="6.5" style="193" customWidth="1"/>
    <col min="8" max="8" width="5.125" style="201" customWidth="1"/>
    <col min="9" max="9" width="9.25" style="217" customWidth="1"/>
    <col min="10" max="10" width="11.625" style="202" customWidth="1"/>
    <col min="11" max="11" width="7.75" style="200" customWidth="1"/>
    <col min="12" max="256" width="7.75" style="193"/>
    <col min="257" max="257" width="3.375" style="193" customWidth="1"/>
    <col min="258" max="258" width="5.625" style="193" customWidth="1"/>
    <col min="259" max="259" width="23.875" style="193" customWidth="1"/>
    <col min="260" max="260" width="20.75" style="193" customWidth="1"/>
    <col min="261" max="261" width="17.25" style="193" customWidth="1"/>
    <col min="262" max="262" width="19.125" style="193" customWidth="1"/>
    <col min="263" max="263" width="6.5" style="193" customWidth="1"/>
    <col min="264" max="264" width="5.125" style="193" customWidth="1"/>
    <col min="265" max="265" width="9.25" style="193" customWidth="1"/>
    <col min="266" max="266" width="9.875" style="193" customWidth="1"/>
    <col min="267" max="267" width="7.75" style="193" customWidth="1"/>
    <col min="268" max="512" width="7.75" style="193"/>
    <col min="513" max="513" width="3.375" style="193" customWidth="1"/>
    <col min="514" max="514" width="5.625" style="193" customWidth="1"/>
    <col min="515" max="515" width="23.875" style="193" customWidth="1"/>
    <col min="516" max="516" width="20.75" style="193" customWidth="1"/>
    <col min="517" max="517" width="17.25" style="193" customWidth="1"/>
    <col min="518" max="518" width="19.125" style="193" customWidth="1"/>
    <col min="519" max="519" width="6.5" style="193" customWidth="1"/>
    <col min="520" max="520" width="5.125" style="193" customWidth="1"/>
    <col min="521" max="521" width="9.25" style="193" customWidth="1"/>
    <col min="522" max="522" width="9.875" style="193" customWidth="1"/>
    <col min="523" max="523" width="7.75" style="193" customWidth="1"/>
    <col min="524" max="768" width="7.75" style="193"/>
    <col min="769" max="769" width="3.375" style="193" customWidth="1"/>
    <col min="770" max="770" width="5.625" style="193" customWidth="1"/>
    <col min="771" max="771" width="23.875" style="193" customWidth="1"/>
    <col min="772" max="772" width="20.75" style="193" customWidth="1"/>
    <col min="773" max="773" width="17.25" style="193" customWidth="1"/>
    <col min="774" max="774" width="19.125" style="193" customWidth="1"/>
    <col min="775" max="775" width="6.5" style="193" customWidth="1"/>
    <col min="776" max="776" width="5.125" style="193" customWidth="1"/>
    <col min="777" max="777" width="9.25" style="193" customWidth="1"/>
    <col min="778" max="778" width="9.875" style="193" customWidth="1"/>
    <col min="779" max="779" width="7.75" style="193" customWidth="1"/>
    <col min="780" max="1024" width="7.75" style="193"/>
    <col min="1025" max="1025" width="3.375" style="193" customWidth="1"/>
    <col min="1026" max="1026" width="5.625" style="193" customWidth="1"/>
    <col min="1027" max="1027" width="23.875" style="193" customWidth="1"/>
    <col min="1028" max="1028" width="20.75" style="193" customWidth="1"/>
    <col min="1029" max="1029" width="17.25" style="193" customWidth="1"/>
    <col min="1030" max="1030" width="19.125" style="193" customWidth="1"/>
    <col min="1031" max="1031" width="6.5" style="193" customWidth="1"/>
    <col min="1032" max="1032" width="5.125" style="193" customWidth="1"/>
    <col min="1033" max="1033" width="9.25" style="193" customWidth="1"/>
    <col min="1034" max="1034" width="9.875" style="193" customWidth="1"/>
    <col min="1035" max="1035" width="7.75" style="193" customWidth="1"/>
    <col min="1036" max="1280" width="7.75" style="193"/>
    <col min="1281" max="1281" width="3.375" style="193" customWidth="1"/>
    <col min="1282" max="1282" width="5.625" style="193" customWidth="1"/>
    <col min="1283" max="1283" width="23.875" style="193" customWidth="1"/>
    <col min="1284" max="1284" width="20.75" style="193" customWidth="1"/>
    <col min="1285" max="1285" width="17.25" style="193" customWidth="1"/>
    <col min="1286" max="1286" width="19.125" style="193" customWidth="1"/>
    <col min="1287" max="1287" width="6.5" style="193" customWidth="1"/>
    <col min="1288" max="1288" width="5.125" style="193" customWidth="1"/>
    <col min="1289" max="1289" width="9.25" style="193" customWidth="1"/>
    <col min="1290" max="1290" width="9.875" style="193" customWidth="1"/>
    <col min="1291" max="1291" width="7.75" style="193" customWidth="1"/>
    <col min="1292" max="1536" width="7.75" style="193"/>
    <col min="1537" max="1537" width="3.375" style="193" customWidth="1"/>
    <col min="1538" max="1538" width="5.625" style="193" customWidth="1"/>
    <col min="1539" max="1539" width="23.875" style="193" customWidth="1"/>
    <col min="1540" max="1540" width="20.75" style="193" customWidth="1"/>
    <col min="1541" max="1541" width="17.25" style="193" customWidth="1"/>
    <col min="1542" max="1542" width="19.125" style="193" customWidth="1"/>
    <col min="1543" max="1543" width="6.5" style="193" customWidth="1"/>
    <col min="1544" max="1544" width="5.125" style="193" customWidth="1"/>
    <col min="1545" max="1545" width="9.25" style="193" customWidth="1"/>
    <col min="1546" max="1546" width="9.875" style="193" customWidth="1"/>
    <col min="1547" max="1547" width="7.75" style="193" customWidth="1"/>
    <col min="1548" max="1792" width="7.75" style="193"/>
    <col min="1793" max="1793" width="3.375" style="193" customWidth="1"/>
    <col min="1794" max="1794" width="5.625" style="193" customWidth="1"/>
    <col min="1795" max="1795" width="23.875" style="193" customWidth="1"/>
    <col min="1796" max="1796" width="20.75" style="193" customWidth="1"/>
    <col min="1797" max="1797" width="17.25" style="193" customWidth="1"/>
    <col min="1798" max="1798" width="19.125" style="193" customWidth="1"/>
    <col min="1799" max="1799" width="6.5" style="193" customWidth="1"/>
    <col min="1800" max="1800" width="5.125" style="193" customWidth="1"/>
    <col min="1801" max="1801" width="9.25" style="193" customWidth="1"/>
    <col min="1802" max="1802" width="9.875" style="193" customWidth="1"/>
    <col min="1803" max="1803" width="7.75" style="193" customWidth="1"/>
    <col min="1804" max="2048" width="7.75" style="193"/>
    <col min="2049" max="2049" width="3.375" style="193" customWidth="1"/>
    <col min="2050" max="2050" width="5.625" style="193" customWidth="1"/>
    <col min="2051" max="2051" width="23.875" style="193" customWidth="1"/>
    <col min="2052" max="2052" width="20.75" style="193" customWidth="1"/>
    <col min="2053" max="2053" width="17.25" style="193" customWidth="1"/>
    <col min="2054" max="2054" width="19.125" style="193" customWidth="1"/>
    <col min="2055" max="2055" width="6.5" style="193" customWidth="1"/>
    <col min="2056" max="2056" width="5.125" style="193" customWidth="1"/>
    <col min="2057" max="2057" width="9.25" style="193" customWidth="1"/>
    <col min="2058" max="2058" width="9.875" style="193" customWidth="1"/>
    <col min="2059" max="2059" width="7.75" style="193" customWidth="1"/>
    <col min="2060" max="2304" width="7.75" style="193"/>
    <col min="2305" max="2305" width="3.375" style="193" customWidth="1"/>
    <col min="2306" max="2306" width="5.625" style="193" customWidth="1"/>
    <col min="2307" max="2307" width="23.875" style="193" customWidth="1"/>
    <col min="2308" max="2308" width="20.75" style="193" customWidth="1"/>
    <col min="2309" max="2309" width="17.25" style="193" customWidth="1"/>
    <col min="2310" max="2310" width="19.125" style="193" customWidth="1"/>
    <col min="2311" max="2311" width="6.5" style="193" customWidth="1"/>
    <col min="2312" max="2312" width="5.125" style="193" customWidth="1"/>
    <col min="2313" max="2313" width="9.25" style="193" customWidth="1"/>
    <col min="2314" max="2314" width="9.875" style="193" customWidth="1"/>
    <col min="2315" max="2315" width="7.75" style="193" customWidth="1"/>
    <col min="2316" max="2560" width="7.75" style="193"/>
    <col min="2561" max="2561" width="3.375" style="193" customWidth="1"/>
    <col min="2562" max="2562" width="5.625" style="193" customWidth="1"/>
    <col min="2563" max="2563" width="23.875" style="193" customWidth="1"/>
    <col min="2564" max="2564" width="20.75" style="193" customWidth="1"/>
    <col min="2565" max="2565" width="17.25" style="193" customWidth="1"/>
    <col min="2566" max="2566" width="19.125" style="193" customWidth="1"/>
    <col min="2567" max="2567" width="6.5" style="193" customWidth="1"/>
    <col min="2568" max="2568" width="5.125" style="193" customWidth="1"/>
    <col min="2569" max="2569" width="9.25" style="193" customWidth="1"/>
    <col min="2570" max="2570" width="9.875" style="193" customWidth="1"/>
    <col min="2571" max="2571" width="7.75" style="193" customWidth="1"/>
    <col min="2572" max="2816" width="7.75" style="193"/>
    <col min="2817" max="2817" width="3.375" style="193" customWidth="1"/>
    <col min="2818" max="2818" width="5.625" style="193" customWidth="1"/>
    <col min="2819" max="2819" width="23.875" style="193" customWidth="1"/>
    <col min="2820" max="2820" width="20.75" style="193" customWidth="1"/>
    <col min="2821" max="2821" width="17.25" style="193" customWidth="1"/>
    <col min="2822" max="2822" width="19.125" style="193" customWidth="1"/>
    <col min="2823" max="2823" width="6.5" style="193" customWidth="1"/>
    <col min="2824" max="2824" width="5.125" style="193" customWidth="1"/>
    <col min="2825" max="2825" width="9.25" style="193" customWidth="1"/>
    <col min="2826" max="2826" width="9.875" style="193" customWidth="1"/>
    <col min="2827" max="2827" width="7.75" style="193" customWidth="1"/>
    <col min="2828" max="3072" width="7.75" style="193"/>
    <col min="3073" max="3073" width="3.375" style="193" customWidth="1"/>
    <col min="3074" max="3074" width="5.625" style="193" customWidth="1"/>
    <col min="3075" max="3075" width="23.875" style="193" customWidth="1"/>
    <col min="3076" max="3076" width="20.75" style="193" customWidth="1"/>
    <col min="3077" max="3077" width="17.25" style="193" customWidth="1"/>
    <col min="3078" max="3078" width="19.125" style="193" customWidth="1"/>
    <col min="3079" max="3079" width="6.5" style="193" customWidth="1"/>
    <col min="3080" max="3080" width="5.125" style="193" customWidth="1"/>
    <col min="3081" max="3081" width="9.25" style="193" customWidth="1"/>
    <col min="3082" max="3082" width="9.875" style="193" customWidth="1"/>
    <col min="3083" max="3083" width="7.75" style="193" customWidth="1"/>
    <col min="3084" max="3328" width="7.75" style="193"/>
    <col min="3329" max="3329" width="3.375" style="193" customWidth="1"/>
    <col min="3330" max="3330" width="5.625" style="193" customWidth="1"/>
    <col min="3331" max="3331" width="23.875" style="193" customWidth="1"/>
    <col min="3332" max="3332" width="20.75" style="193" customWidth="1"/>
    <col min="3333" max="3333" width="17.25" style="193" customWidth="1"/>
    <col min="3334" max="3334" width="19.125" style="193" customWidth="1"/>
    <col min="3335" max="3335" width="6.5" style="193" customWidth="1"/>
    <col min="3336" max="3336" width="5.125" style="193" customWidth="1"/>
    <col min="3337" max="3337" width="9.25" style="193" customWidth="1"/>
    <col min="3338" max="3338" width="9.875" style="193" customWidth="1"/>
    <col min="3339" max="3339" width="7.75" style="193" customWidth="1"/>
    <col min="3340" max="3584" width="7.75" style="193"/>
    <col min="3585" max="3585" width="3.375" style="193" customWidth="1"/>
    <col min="3586" max="3586" width="5.625" style="193" customWidth="1"/>
    <col min="3587" max="3587" width="23.875" style="193" customWidth="1"/>
    <col min="3588" max="3588" width="20.75" style="193" customWidth="1"/>
    <col min="3589" max="3589" width="17.25" style="193" customWidth="1"/>
    <col min="3590" max="3590" width="19.125" style="193" customWidth="1"/>
    <col min="3591" max="3591" width="6.5" style="193" customWidth="1"/>
    <col min="3592" max="3592" width="5.125" style="193" customWidth="1"/>
    <col min="3593" max="3593" width="9.25" style="193" customWidth="1"/>
    <col min="3594" max="3594" width="9.875" style="193" customWidth="1"/>
    <col min="3595" max="3595" width="7.75" style="193" customWidth="1"/>
    <col min="3596" max="3840" width="7.75" style="193"/>
    <col min="3841" max="3841" width="3.375" style="193" customWidth="1"/>
    <col min="3842" max="3842" width="5.625" style="193" customWidth="1"/>
    <col min="3843" max="3843" width="23.875" style="193" customWidth="1"/>
    <col min="3844" max="3844" width="20.75" style="193" customWidth="1"/>
    <col min="3845" max="3845" width="17.25" style="193" customWidth="1"/>
    <col min="3846" max="3846" width="19.125" style="193" customWidth="1"/>
    <col min="3847" max="3847" width="6.5" style="193" customWidth="1"/>
    <col min="3848" max="3848" width="5.125" style="193" customWidth="1"/>
    <col min="3849" max="3849" width="9.25" style="193" customWidth="1"/>
    <col min="3850" max="3850" width="9.875" style="193" customWidth="1"/>
    <col min="3851" max="3851" width="7.75" style="193" customWidth="1"/>
    <col min="3852" max="4096" width="7.75" style="193"/>
    <col min="4097" max="4097" width="3.375" style="193" customWidth="1"/>
    <col min="4098" max="4098" width="5.625" style="193" customWidth="1"/>
    <col min="4099" max="4099" width="23.875" style="193" customWidth="1"/>
    <col min="4100" max="4100" width="20.75" style="193" customWidth="1"/>
    <col min="4101" max="4101" width="17.25" style="193" customWidth="1"/>
    <col min="4102" max="4102" width="19.125" style="193" customWidth="1"/>
    <col min="4103" max="4103" width="6.5" style="193" customWidth="1"/>
    <col min="4104" max="4104" width="5.125" style="193" customWidth="1"/>
    <col min="4105" max="4105" width="9.25" style="193" customWidth="1"/>
    <col min="4106" max="4106" width="9.875" style="193" customWidth="1"/>
    <col min="4107" max="4107" width="7.75" style="193" customWidth="1"/>
    <col min="4108" max="4352" width="7.75" style="193"/>
    <col min="4353" max="4353" width="3.375" style="193" customWidth="1"/>
    <col min="4354" max="4354" width="5.625" style="193" customWidth="1"/>
    <col min="4355" max="4355" width="23.875" style="193" customWidth="1"/>
    <col min="4356" max="4356" width="20.75" style="193" customWidth="1"/>
    <col min="4357" max="4357" width="17.25" style="193" customWidth="1"/>
    <col min="4358" max="4358" width="19.125" style="193" customWidth="1"/>
    <col min="4359" max="4359" width="6.5" style="193" customWidth="1"/>
    <col min="4360" max="4360" width="5.125" style="193" customWidth="1"/>
    <col min="4361" max="4361" width="9.25" style="193" customWidth="1"/>
    <col min="4362" max="4362" width="9.875" style="193" customWidth="1"/>
    <col min="4363" max="4363" width="7.75" style="193" customWidth="1"/>
    <col min="4364" max="4608" width="7.75" style="193"/>
    <col min="4609" max="4609" width="3.375" style="193" customWidth="1"/>
    <col min="4610" max="4610" width="5.625" style="193" customWidth="1"/>
    <col min="4611" max="4611" width="23.875" style="193" customWidth="1"/>
    <col min="4612" max="4612" width="20.75" style="193" customWidth="1"/>
    <col min="4613" max="4613" width="17.25" style="193" customWidth="1"/>
    <col min="4614" max="4614" width="19.125" style="193" customWidth="1"/>
    <col min="4615" max="4615" width="6.5" style="193" customWidth="1"/>
    <col min="4616" max="4616" width="5.125" style="193" customWidth="1"/>
    <col min="4617" max="4617" width="9.25" style="193" customWidth="1"/>
    <col min="4618" max="4618" width="9.875" style="193" customWidth="1"/>
    <col min="4619" max="4619" width="7.75" style="193" customWidth="1"/>
    <col min="4620" max="4864" width="7.75" style="193"/>
    <col min="4865" max="4865" width="3.375" style="193" customWidth="1"/>
    <col min="4866" max="4866" width="5.625" style="193" customWidth="1"/>
    <col min="4867" max="4867" width="23.875" style="193" customWidth="1"/>
    <col min="4868" max="4868" width="20.75" style="193" customWidth="1"/>
    <col min="4869" max="4869" width="17.25" style="193" customWidth="1"/>
    <col min="4870" max="4870" width="19.125" style="193" customWidth="1"/>
    <col min="4871" max="4871" width="6.5" style="193" customWidth="1"/>
    <col min="4872" max="4872" width="5.125" style="193" customWidth="1"/>
    <col min="4873" max="4873" width="9.25" style="193" customWidth="1"/>
    <col min="4874" max="4874" width="9.875" style="193" customWidth="1"/>
    <col min="4875" max="4875" width="7.75" style="193" customWidth="1"/>
    <col min="4876" max="5120" width="7.75" style="193"/>
    <col min="5121" max="5121" width="3.375" style="193" customWidth="1"/>
    <col min="5122" max="5122" width="5.625" style="193" customWidth="1"/>
    <col min="5123" max="5123" width="23.875" style="193" customWidth="1"/>
    <col min="5124" max="5124" width="20.75" style="193" customWidth="1"/>
    <col min="5125" max="5125" width="17.25" style="193" customWidth="1"/>
    <col min="5126" max="5126" width="19.125" style="193" customWidth="1"/>
    <col min="5127" max="5127" width="6.5" style="193" customWidth="1"/>
    <col min="5128" max="5128" width="5.125" style="193" customWidth="1"/>
    <col min="5129" max="5129" width="9.25" style="193" customWidth="1"/>
    <col min="5130" max="5130" width="9.875" style="193" customWidth="1"/>
    <col min="5131" max="5131" width="7.75" style="193" customWidth="1"/>
    <col min="5132" max="5376" width="7.75" style="193"/>
    <col min="5377" max="5377" width="3.375" style="193" customWidth="1"/>
    <col min="5378" max="5378" width="5.625" style="193" customWidth="1"/>
    <col min="5379" max="5379" width="23.875" style="193" customWidth="1"/>
    <col min="5380" max="5380" width="20.75" style="193" customWidth="1"/>
    <col min="5381" max="5381" width="17.25" style="193" customWidth="1"/>
    <col min="5382" max="5382" width="19.125" style="193" customWidth="1"/>
    <col min="5383" max="5383" width="6.5" style="193" customWidth="1"/>
    <col min="5384" max="5384" width="5.125" style="193" customWidth="1"/>
    <col min="5385" max="5385" width="9.25" style="193" customWidth="1"/>
    <col min="5386" max="5386" width="9.875" style="193" customWidth="1"/>
    <col min="5387" max="5387" width="7.75" style="193" customWidth="1"/>
    <col min="5388" max="5632" width="7.75" style="193"/>
    <col min="5633" max="5633" width="3.375" style="193" customWidth="1"/>
    <col min="5634" max="5634" width="5.625" style="193" customWidth="1"/>
    <col min="5635" max="5635" width="23.875" style="193" customWidth="1"/>
    <col min="5636" max="5636" width="20.75" style="193" customWidth="1"/>
    <col min="5637" max="5637" width="17.25" style="193" customWidth="1"/>
    <col min="5638" max="5638" width="19.125" style="193" customWidth="1"/>
    <col min="5639" max="5639" width="6.5" style="193" customWidth="1"/>
    <col min="5640" max="5640" width="5.125" style="193" customWidth="1"/>
    <col min="5641" max="5641" width="9.25" style="193" customWidth="1"/>
    <col min="5642" max="5642" width="9.875" style="193" customWidth="1"/>
    <col min="5643" max="5643" width="7.75" style="193" customWidth="1"/>
    <col min="5644" max="5888" width="7.75" style="193"/>
    <col min="5889" max="5889" width="3.375" style="193" customWidth="1"/>
    <col min="5890" max="5890" width="5.625" style="193" customWidth="1"/>
    <col min="5891" max="5891" width="23.875" style="193" customWidth="1"/>
    <col min="5892" max="5892" width="20.75" style="193" customWidth="1"/>
    <col min="5893" max="5893" width="17.25" style="193" customWidth="1"/>
    <col min="5894" max="5894" width="19.125" style="193" customWidth="1"/>
    <col min="5895" max="5895" width="6.5" style="193" customWidth="1"/>
    <col min="5896" max="5896" width="5.125" style="193" customWidth="1"/>
    <col min="5897" max="5897" width="9.25" style="193" customWidth="1"/>
    <col min="5898" max="5898" width="9.875" style="193" customWidth="1"/>
    <col min="5899" max="5899" width="7.75" style="193" customWidth="1"/>
    <col min="5900" max="6144" width="7.75" style="193"/>
    <col min="6145" max="6145" width="3.375" style="193" customWidth="1"/>
    <col min="6146" max="6146" width="5.625" style="193" customWidth="1"/>
    <col min="6147" max="6147" width="23.875" style="193" customWidth="1"/>
    <col min="6148" max="6148" width="20.75" style="193" customWidth="1"/>
    <col min="6149" max="6149" width="17.25" style="193" customWidth="1"/>
    <col min="6150" max="6150" width="19.125" style="193" customWidth="1"/>
    <col min="6151" max="6151" width="6.5" style="193" customWidth="1"/>
    <col min="6152" max="6152" width="5.125" style="193" customWidth="1"/>
    <col min="6153" max="6153" width="9.25" style="193" customWidth="1"/>
    <col min="6154" max="6154" width="9.875" style="193" customWidth="1"/>
    <col min="6155" max="6155" width="7.75" style="193" customWidth="1"/>
    <col min="6156" max="6400" width="7.75" style="193"/>
    <col min="6401" max="6401" width="3.375" style="193" customWidth="1"/>
    <col min="6402" max="6402" width="5.625" style="193" customWidth="1"/>
    <col min="6403" max="6403" width="23.875" style="193" customWidth="1"/>
    <col min="6404" max="6404" width="20.75" style="193" customWidth="1"/>
    <col min="6405" max="6405" width="17.25" style="193" customWidth="1"/>
    <col min="6406" max="6406" width="19.125" style="193" customWidth="1"/>
    <col min="6407" max="6407" width="6.5" style="193" customWidth="1"/>
    <col min="6408" max="6408" width="5.125" style="193" customWidth="1"/>
    <col min="6409" max="6409" width="9.25" style="193" customWidth="1"/>
    <col min="6410" max="6410" width="9.875" style="193" customWidth="1"/>
    <col min="6411" max="6411" width="7.75" style="193" customWidth="1"/>
    <col min="6412" max="6656" width="7.75" style="193"/>
    <col min="6657" max="6657" width="3.375" style="193" customWidth="1"/>
    <col min="6658" max="6658" width="5.625" style="193" customWidth="1"/>
    <col min="6659" max="6659" width="23.875" style="193" customWidth="1"/>
    <col min="6660" max="6660" width="20.75" style="193" customWidth="1"/>
    <col min="6661" max="6661" width="17.25" style="193" customWidth="1"/>
    <col min="6662" max="6662" width="19.125" style="193" customWidth="1"/>
    <col min="6663" max="6663" width="6.5" style="193" customWidth="1"/>
    <col min="6664" max="6664" width="5.125" style="193" customWidth="1"/>
    <col min="6665" max="6665" width="9.25" style="193" customWidth="1"/>
    <col min="6666" max="6666" width="9.875" style="193" customWidth="1"/>
    <col min="6667" max="6667" width="7.75" style="193" customWidth="1"/>
    <col min="6668" max="6912" width="7.75" style="193"/>
    <col min="6913" max="6913" width="3.375" style="193" customWidth="1"/>
    <col min="6914" max="6914" width="5.625" style="193" customWidth="1"/>
    <col min="6915" max="6915" width="23.875" style="193" customWidth="1"/>
    <col min="6916" max="6916" width="20.75" style="193" customWidth="1"/>
    <col min="6917" max="6917" width="17.25" style="193" customWidth="1"/>
    <col min="6918" max="6918" width="19.125" style="193" customWidth="1"/>
    <col min="6919" max="6919" width="6.5" style="193" customWidth="1"/>
    <col min="6920" max="6920" width="5.125" style="193" customWidth="1"/>
    <col min="6921" max="6921" width="9.25" style="193" customWidth="1"/>
    <col min="6922" max="6922" width="9.875" style="193" customWidth="1"/>
    <col min="6923" max="6923" width="7.75" style="193" customWidth="1"/>
    <col min="6924" max="7168" width="7.75" style="193"/>
    <col min="7169" max="7169" width="3.375" style="193" customWidth="1"/>
    <col min="7170" max="7170" width="5.625" style="193" customWidth="1"/>
    <col min="7171" max="7171" width="23.875" style="193" customWidth="1"/>
    <col min="7172" max="7172" width="20.75" style="193" customWidth="1"/>
    <col min="7173" max="7173" width="17.25" style="193" customWidth="1"/>
    <col min="7174" max="7174" width="19.125" style="193" customWidth="1"/>
    <col min="7175" max="7175" width="6.5" style="193" customWidth="1"/>
    <col min="7176" max="7176" width="5.125" style="193" customWidth="1"/>
    <col min="7177" max="7177" width="9.25" style="193" customWidth="1"/>
    <col min="7178" max="7178" width="9.875" style="193" customWidth="1"/>
    <col min="7179" max="7179" width="7.75" style="193" customWidth="1"/>
    <col min="7180" max="7424" width="7.75" style="193"/>
    <col min="7425" max="7425" width="3.375" style="193" customWidth="1"/>
    <col min="7426" max="7426" width="5.625" style="193" customWidth="1"/>
    <col min="7427" max="7427" width="23.875" style="193" customWidth="1"/>
    <col min="7428" max="7428" width="20.75" style="193" customWidth="1"/>
    <col min="7429" max="7429" width="17.25" style="193" customWidth="1"/>
    <col min="7430" max="7430" width="19.125" style="193" customWidth="1"/>
    <col min="7431" max="7431" width="6.5" style="193" customWidth="1"/>
    <col min="7432" max="7432" width="5.125" style="193" customWidth="1"/>
    <col min="7433" max="7433" width="9.25" style="193" customWidth="1"/>
    <col min="7434" max="7434" width="9.875" style="193" customWidth="1"/>
    <col min="7435" max="7435" width="7.75" style="193" customWidth="1"/>
    <col min="7436" max="7680" width="7.75" style="193"/>
    <col min="7681" max="7681" width="3.375" style="193" customWidth="1"/>
    <col min="7682" max="7682" width="5.625" style="193" customWidth="1"/>
    <col min="7683" max="7683" width="23.875" style="193" customWidth="1"/>
    <col min="7684" max="7684" width="20.75" style="193" customWidth="1"/>
    <col min="7685" max="7685" width="17.25" style="193" customWidth="1"/>
    <col min="7686" max="7686" width="19.125" style="193" customWidth="1"/>
    <col min="7687" max="7687" width="6.5" style="193" customWidth="1"/>
    <col min="7688" max="7688" width="5.125" style="193" customWidth="1"/>
    <col min="7689" max="7689" width="9.25" style="193" customWidth="1"/>
    <col min="7690" max="7690" width="9.875" style="193" customWidth="1"/>
    <col min="7691" max="7691" width="7.75" style="193" customWidth="1"/>
    <col min="7692" max="7936" width="7.75" style="193"/>
    <col min="7937" max="7937" width="3.375" style="193" customWidth="1"/>
    <col min="7938" max="7938" width="5.625" style="193" customWidth="1"/>
    <col min="7939" max="7939" width="23.875" style="193" customWidth="1"/>
    <col min="7940" max="7940" width="20.75" style="193" customWidth="1"/>
    <col min="7941" max="7941" width="17.25" style="193" customWidth="1"/>
    <col min="7942" max="7942" width="19.125" style="193" customWidth="1"/>
    <col min="7943" max="7943" width="6.5" style="193" customWidth="1"/>
    <col min="7944" max="7944" width="5.125" style="193" customWidth="1"/>
    <col min="7945" max="7945" width="9.25" style="193" customWidth="1"/>
    <col min="7946" max="7946" width="9.875" style="193" customWidth="1"/>
    <col min="7947" max="7947" width="7.75" style="193" customWidth="1"/>
    <col min="7948" max="8192" width="7.75" style="193"/>
    <col min="8193" max="8193" width="3.375" style="193" customWidth="1"/>
    <col min="8194" max="8194" width="5.625" style="193" customWidth="1"/>
    <col min="8195" max="8195" width="23.875" style="193" customWidth="1"/>
    <col min="8196" max="8196" width="20.75" style="193" customWidth="1"/>
    <col min="8197" max="8197" width="17.25" style="193" customWidth="1"/>
    <col min="8198" max="8198" width="19.125" style="193" customWidth="1"/>
    <col min="8199" max="8199" width="6.5" style="193" customWidth="1"/>
    <col min="8200" max="8200" width="5.125" style="193" customWidth="1"/>
    <col min="8201" max="8201" width="9.25" style="193" customWidth="1"/>
    <col min="8202" max="8202" width="9.875" style="193" customWidth="1"/>
    <col min="8203" max="8203" width="7.75" style="193" customWidth="1"/>
    <col min="8204" max="8448" width="7.75" style="193"/>
    <col min="8449" max="8449" width="3.375" style="193" customWidth="1"/>
    <col min="8450" max="8450" width="5.625" style="193" customWidth="1"/>
    <col min="8451" max="8451" width="23.875" style="193" customWidth="1"/>
    <col min="8452" max="8452" width="20.75" style="193" customWidth="1"/>
    <col min="8453" max="8453" width="17.25" style="193" customWidth="1"/>
    <col min="8454" max="8454" width="19.125" style="193" customWidth="1"/>
    <col min="8455" max="8455" width="6.5" style="193" customWidth="1"/>
    <col min="8456" max="8456" width="5.125" style="193" customWidth="1"/>
    <col min="8457" max="8457" width="9.25" style="193" customWidth="1"/>
    <col min="8458" max="8458" width="9.875" style="193" customWidth="1"/>
    <col min="8459" max="8459" width="7.75" style="193" customWidth="1"/>
    <col min="8460" max="8704" width="7.75" style="193"/>
    <col min="8705" max="8705" width="3.375" style="193" customWidth="1"/>
    <col min="8706" max="8706" width="5.625" style="193" customWidth="1"/>
    <col min="8707" max="8707" width="23.875" style="193" customWidth="1"/>
    <col min="8708" max="8708" width="20.75" style="193" customWidth="1"/>
    <col min="8709" max="8709" width="17.25" style="193" customWidth="1"/>
    <col min="8710" max="8710" width="19.125" style="193" customWidth="1"/>
    <col min="8711" max="8711" width="6.5" style="193" customWidth="1"/>
    <col min="8712" max="8712" width="5.125" style="193" customWidth="1"/>
    <col min="8713" max="8713" width="9.25" style="193" customWidth="1"/>
    <col min="8714" max="8714" width="9.875" style="193" customWidth="1"/>
    <col min="8715" max="8715" width="7.75" style="193" customWidth="1"/>
    <col min="8716" max="8960" width="7.75" style="193"/>
    <col min="8961" max="8961" width="3.375" style="193" customWidth="1"/>
    <col min="8962" max="8962" width="5.625" style="193" customWidth="1"/>
    <col min="8963" max="8963" width="23.875" style="193" customWidth="1"/>
    <col min="8964" max="8964" width="20.75" style="193" customWidth="1"/>
    <col min="8965" max="8965" width="17.25" style="193" customWidth="1"/>
    <col min="8966" max="8966" width="19.125" style="193" customWidth="1"/>
    <col min="8967" max="8967" width="6.5" style="193" customWidth="1"/>
    <col min="8968" max="8968" width="5.125" style="193" customWidth="1"/>
    <col min="8969" max="8969" width="9.25" style="193" customWidth="1"/>
    <col min="8970" max="8970" width="9.875" style="193" customWidth="1"/>
    <col min="8971" max="8971" width="7.75" style="193" customWidth="1"/>
    <col min="8972" max="9216" width="7.75" style="193"/>
    <col min="9217" max="9217" width="3.375" style="193" customWidth="1"/>
    <col min="9218" max="9218" width="5.625" style="193" customWidth="1"/>
    <col min="9219" max="9219" width="23.875" style="193" customWidth="1"/>
    <col min="9220" max="9220" width="20.75" style="193" customWidth="1"/>
    <col min="9221" max="9221" width="17.25" style="193" customWidth="1"/>
    <col min="9222" max="9222" width="19.125" style="193" customWidth="1"/>
    <col min="9223" max="9223" width="6.5" style="193" customWidth="1"/>
    <col min="9224" max="9224" width="5.125" style="193" customWidth="1"/>
    <col min="9225" max="9225" width="9.25" style="193" customWidth="1"/>
    <col min="9226" max="9226" width="9.875" style="193" customWidth="1"/>
    <col min="9227" max="9227" width="7.75" style="193" customWidth="1"/>
    <col min="9228" max="9472" width="7.75" style="193"/>
    <col min="9473" max="9473" width="3.375" style="193" customWidth="1"/>
    <col min="9474" max="9474" width="5.625" style="193" customWidth="1"/>
    <col min="9475" max="9475" width="23.875" style="193" customWidth="1"/>
    <col min="9476" max="9476" width="20.75" style="193" customWidth="1"/>
    <col min="9477" max="9477" width="17.25" style="193" customWidth="1"/>
    <col min="9478" max="9478" width="19.125" style="193" customWidth="1"/>
    <col min="9479" max="9479" width="6.5" style="193" customWidth="1"/>
    <col min="9480" max="9480" width="5.125" style="193" customWidth="1"/>
    <col min="9481" max="9481" width="9.25" style="193" customWidth="1"/>
    <col min="9482" max="9482" width="9.875" style="193" customWidth="1"/>
    <col min="9483" max="9483" width="7.75" style="193" customWidth="1"/>
    <col min="9484" max="9728" width="7.75" style="193"/>
    <col min="9729" max="9729" width="3.375" style="193" customWidth="1"/>
    <col min="9730" max="9730" width="5.625" style="193" customWidth="1"/>
    <col min="9731" max="9731" width="23.875" style="193" customWidth="1"/>
    <col min="9732" max="9732" width="20.75" style="193" customWidth="1"/>
    <col min="9733" max="9733" width="17.25" style="193" customWidth="1"/>
    <col min="9734" max="9734" width="19.125" style="193" customWidth="1"/>
    <col min="9735" max="9735" width="6.5" style="193" customWidth="1"/>
    <col min="9736" max="9736" width="5.125" style="193" customWidth="1"/>
    <col min="9737" max="9737" width="9.25" style="193" customWidth="1"/>
    <col min="9738" max="9738" width="9.875" style="193" customWidth="1"/>
    <col min="9739" max="9739" width="7.75" style="193" customWidth="1"/>
    <col min="9740" max="9984" width="7.75" style="193"/>
    <col min="9985" max="9985" width="3.375" style="193" customWidth="1"/>
    <col min="9986" max="9986" width="5.625" style="193" customWidth="1"/>
    <col min="9987" max="9987" width="23.875" style="193" customWidth="1"/>
    <col min="9988" max="9988" width="20.75" style="193" customWidth="1"/>
    <col min="9989" max="9989" width="17.25" style="193" customWidth="1"/>
    <col min="9990" max="9990" width="19.125" style="193" customWidth="1"/>
    <col min="9991" max="9991" width="6.5" style="193" customWidth="1"/>
    <col min="9992" max="9992" width="5.125" style="193" customWidth="1"/>
    <col min="9993" max="9993" width="9.25" style="193" customWidth="1"/>
    <col min="9994" max="9994" width="9.875" style="193" customWidth="1"/>
    <col min="9995" max="9995" width="7.75" style="193" customWidth="1"/>
    <col min="9996" max="10240" width="7.75" style="193"/>
    <col min="10241" max="10241" width="3.375" style="193" customWidth="1"/>
    <col min="10242" max="10242" width="5.625" style="193" customWidth="1"/>
    <col min="10243" max="10243" width="23.875" style="193" customWidth="1"/>
    <col min="10244" max="10244" width="20.75" style="193" customWidth="1"/>
    <col min="10245" max="10245" width="17.25" style="193" customWidth="1"/>
    <col min="10246" max="10246" width="19.125" style="193" customWidth="1"/>
    <col min="10247" max="10247" width="6.5" style="193" customWidth="1"/>
    <col min="10248" max="10248" width="5.125" style="193" customWidth="1"/>
    <col min="10249" max="10249" width="9.25" style="193" customWidth="1"/>
    <col min="10250" max="10250" width="9.875" style="193" customWidth="1"/>
    <col min="10251" max="10251" width="7.75" style="193" customWidth="1"/>
    <col min="10252" max="10496" width="7.75" style="193"/>
    <col min="10497" max="10497" width="3.375" style="193" customWidth="1"/>
    <col min="10498" max="10498" width="5.625" style="193" customWidth="1"/>
    <col min="10499" max="10499" width="23.875" style="193" customWidth="1"/>
    <col min="10500" max="10500" width="20.75" style="193" customWidth="1"/>
    <col min="10501" max="10501" width="17.25" style="193" customWidth="1"/>
    <col min="10502" max="10502" width="19.125" style="193" customWidth="1"/>
    <col min="10503" max="10503" width="6.5" style="193" customWidth="1"/>
    <col min="10504" max="10504" width="5.125" style="193" customWidth="1"/>
    <col min="10505" max="10505" width="9.25" style="193" customWidth="1"/>
    <col min="10506" max="10506" width="9.875" style="193" customWidth="1"/>
    <col min="10507" max="10507" width="7.75" style="193" customWidth="1"/>
    <col min="10508" max="10752" width="7.75" style="193"/>
    <col min="10753" max="10753" width="3.375" style="193" customWidth="1"/>
    <col min="10754" max="10754" width="5.625" style="193" customWidth="1"/>
    <col min="10755" max="10755" width="23.875" style="193" customWidth="1"/>
    <col min="10756" max="10756" width="20.75" style="193" customWidth="1"/>
    <col min="10757" max="10757" width="17.25" style="193" customWidth="1"/>
    <col min="10758" max="10758" width="19.125" style="193" customWidth="1"/>
    <col min="10759" max="10759" width="6.5" style="193" customWidth="1"/>
    <col min="10760" max="10760" width="5.125" style="193" customWidth="1"/>
    <col min="10761" max="10761" width="9.25" style="193" customWidth="1"/>
    <col min="10762" max="10762" width="9.875" style="193" customWidth="1"/>
    <col min="10763" max="10763" width="7.75" style="193" customWidth="1"/>
    <col min="10764" max="11008" width="7.75" style="193"/>
    <col min="11009" max="11009" width="3.375" style="193" customWidth="1"/>
    <col min="11010" max="11010" width="5.625" style="193" customWidth="1"/>
    <col min="11011" max="11011" width="23.875" style="193" customWidth="1"/>
    <col min="11012" max="11012" width="20.75" style="193" customWidth="1"/>
    <col min="11013" max="11013" width="17.25" style="193" customWidth="1"/>
    <col min="11014" max="11014" width="19.125" style="193" customWidth="1"/>
    <col min="11015" max="11015" width="6.5" style="193" customWidth="1"/>
    <col min="11016" max="11016" width="5.125" style="193" customWidth="1"/>
    <col min="11017" max="11017" width="9.25" style="193" customWidth="1"/>
    <col min="11018" max="11018" width="9.875" style="193" customWidth="1"/>
    <col min="11019" max="11019" width="7.75" style="193" customWidth="1"/>
    <col min="11020" max="11264" width="7.75" style="193"/>
    <col min="11265" max="11265" width="3.375" style="193" customWidth="1"/>
    <col min="11266" max="11266" width="5.625" style="193" customWidth="1"/>
    <col min="11267" max="11267" width="23.875" style="193" customWidth="1"/>
    <col min="11268" max="11268" width="20.75" style="193" customWidth="1"/>
    <col min="11269" max="11269" width="17.25" style="193" customWidth="1"/>
    <col min="11270" max="11270" width="19.125" style="193" customWidth="1"/>
    <col min="11271" max="11271" width="6.5" style="193" customWidth="1"/>
    <col min="11272" max="11272" width="5.125" style="193" customWidth="1"/>
    <col min="11273" max="11273" width="9.25" style="193" customWidth="1"/>
    <col min="11274" max="11274" width="9.875" style="193" customWidth="1"/>
    <col min="11275" max="11275" width="7.75" style="193" customWidth="1"/>
    <col min="11276" max="11520" width="7.75" style="193"/>
    <col min="11521" max="11521" width="3.375" style="193" customWidth="1"/>
    <col min="11522" max="11522" width="5.625" style="193" customWidth="1"/>
    <col min="11523" max="11523" width="23.875" style="193" customWidth="1"/>
    <col min="11524" max="11524" width="20.75" style="193" customWidth="1"/>
    <col min="11525" max="11525" width="17.25" style="193" customWidth="1"/>
    <col min="11526" max="11526" width="19.125" style="193" customWidth="1"/>
    <col min="11527" max="11527" width="6.5" style="193" customWidth="1"/>
    <col min="11528" max="11528" width="5.125" style="193" customWidth="1"/>
    <col min="11529" max="11529" width="9.25" style="193" customWidth="1"/>
    <col min="11530" max="11530" width="9.875" style="193" customWidth="1"/>
    <col min="11531" max="11531" width="7.75" style="193" customWidth="1"/>
    <col min="11532" max="11776" width="7.75" style="193"/>
    <col min="11777" max="11777" width="3.375" style="193" customWidth="1"/>
    <col min="11778" max="11778" width="5.625" style="193" customWidth="1"/>
    <col min="11779" max="11779" width="23.875" style="193" customWidth="1"/>
    <col min="11780" max="11780" width="20.75" style="193" customWidth="1"/>
    <col min="11781" max="11781" width="17.25" style="193" customWidth="1"/>
    <col min="11782" max="11782" width="19.125" style="193" customWidth="1"/>
    <col min="11783" max="11783" width="6.5" style="193" customWidth="1"/>
    <col min="11784" max="11784" width="5.125" style="193" customWidth="1"/>
    <col min="11785" max="11785" width="9.25" style="193" customWidth="1"/>
    <col min="11786" max="11786" width="9.875" style="193" customWidth="1"/>
    <col min="11787" max="11787" width="7.75" style="193" customWidth="1"/>
    <col min="11788" max="12032" width="7.75" style="193"/>
    <col min="12033" max="12033" width="3.375" style="193" customWidth="1"/>
    <col min="12034" max="12034" width="5.625" style="193" customWidth="1"/>
    <col min="12035" max="12035" width="23.875" style="193" customWidth="1"/>
    <col min="12036" max="12036" width="20.75" style="193" customWidth="1"/>
    <col min="12037" max="12037" width="17.25" style="193" customWidth="1"/>
    <col min="12038" max="12038" width="19.125" style="193" customWidth="1"/>
    <col min="12039" max="12039" width="6.5" style="193" customWidth="1"/>
    <col min="12040" max="12040" width="5.125" style="193" customWidth="1"/>
    <col min="12041" max="12041" width="9.25" style="193" customWidth="1"/>
    <col min="12042" max="12042" width="9.875" style="193" customWidth="1"/>
    <col min="12043" max="12043" width="7.75" style="193" customWidth="1"/>
    <col min="12044" max="12288" width="7.75" style="193"/>
    <col min="12289" max="12289" width="3.375" style="193" customWidth="1"/>
    <col min="12290" max="12290" width="5.625" style="193" customWidth="1"/>
    <col min="12291" max="12291" width="23.875" style="193" customWidth="1"/>
    <col min="12292" max="12292" width="20.75" style="193" customWidth="1"/>
    <col min="12293" max="12293" width="17.25" style="193" customWidth="1"/>
    <col min="12294" max="12294" width="19.125" style="193" customWidth="1"/>
    <col min="12295" max="12295" width="6.5" style="193" customWidth="1"/>
    <col min="12296" max="12296" width="5.125" style="193" customWidth="1"/>
    <col min="12297" max="12297" width="9.25" style="193" customWidth="1"/>
    <col min="12298" max="12298" width="9.875" style="193" customWidth="1"/>
    <col min="12299" max="12299" width="7.75" style="193" customWidth="1"/>
    <col min="12300" max="12544" width="7.75" style="193"/>
    <col min="12545" max="12545" width="3.375" style="193" customWidth="1"/>
    <col min="12546" max="12546" width="5.625" style="193" customWidth="1"/>
    <col min="12547" max="12547" width="23.875" style="193" customWidth="1"/>
    <col min="12548" max="12548" width="20.75" style="193" customWidth="1"/>
    <col min="12549" max="12549" width="17.25" style="193" customWidth="1"/>
    <col min="12550" max="12550" width="19.125" style="193" customWidth="1"/>
    <col min="12551" max="12551" width="6.5" style="193" customWidth="1"/>
    <col min="12552" max="12552" width="5.125" style="193" customWidth="1"/>
    <col min="12553" max="12553" width="9.25" style="193" customWidth="1"/>
    <col min="12554" max="12554" width="9.875" style="193" customWidth="1"/>
    <col min="12555" max="12555" width="7.75" style="193" customWidth="1"/>
    <col min="12556" max="12800" width="7.75" style="193"/>
    <col min="12801" max="12801" width="3.375" style="193" customWidth="1"/>
    <col min="12802" max="12802" width="5.625" style="193" customWidth="1"/>
    <col min="12803" max="12803" width="23.875" style="193" customWidth="1"/>
    <col min="12804" max="12804" width="20.75" style="193" customWidth="1"/>
    <col min="12805" max="12805" width="17.25" style="193" customWidth="1"/>
    <col min="12806" max="12806" width="19.125" style="193" customWidth="1"/>
    <col min="12807" max="12807" width="6.5" style="193" customWidth="1"/>
    <col min="12808" max="12808" width="5.125" style="193" customWidth="1"/>
    <col min="12809" max="12809" width="9.25" style="193" customWidth="1"/>
    <col min="12810" max="12810" width="9.875" style="193" customWidth="1"/>
    <col min="12811" max="12811" width="7.75" style="193" customWidth="1"/>
    <col min="12812" max="13056" width="7.75" style="193"/>
    <col min="13057" max="13057" width="3.375" style="193" customWidth="1"/>
    <col min="13058" max="13058" width="5.625" style="193" customWidth="1"/>
    <col min="13059" max="13059" width="23.875" style="193" customWidth="1"/>
    <col min="13060" max="13060" width="20.75" style="193" customWidth="1"/>
    <col min="13061" max="13061" width="17.25" style="193" customWidth="1"/>
    <col min="13062" max="13062" width="19.125" style="193" customWidth="1"/>
    <col min="13063" max="13063" width="6.5" style="193" customWidth="1"/>
    <col min="13064" max="13064" width="5.125" style="193" customWidth="1"/>
    <col min="13065" max="13065" width="9.25" style="193" customWidth="1"/>
    <col min="13066" max="13066" width="9.875" style="193" customWidth="1"/>
    <col min="13067" max="13067" width="7.75" style="193" customWidth="1"/>
    <col min="13068" max="13312" width="7.75" style="193"/>
    <col min="13313" max="13313" width="3.375" style="193" customWidth="1"/>
    <col min="13314" max="13314" width="5.625" style="193" customWidth="1"/>
    <col min="13315" max="13315" width="23.875" style="193" customWidth="1"/>
    <col min="13316" max="13316" width="20.75" style="193" customWidth="1"/>
    <col min="13317" max="13317" width="17.25" style="193" customWidth="1"/>
    <col min="13318" max="13318" width="19.125" style="193" customWidth="1"/>
    <col min="13319" max="13319" width="6.5" style="193" customWidth="1"/>
    <col min="13320" max="13320" width="5.125" style="193" customWidth="1"/>
    <col min="13321" max="13321" width="9.25" style="193" customWidth="1"/>
    <col min="13322" max="13322" width="9.875" style="193" customWidth="1"/>
    <col min="13323" max="13323" width="7.75" style="193" customWidth="1"/>
    <col min="13324" max="13568" width="7.75" style="193"/>
    <col min="13569" max="13569" width="3.375" style="193" customWidth="1"/>
    <col min="13570" max="13570" width="5.625" style="193" customWidth="1"/>
    <col min="13571" max="13571" width="23.875" style="193" customWidth="1"/>
    <col min="13572" max="13572" width="20.75" style="193" customWidth="1"/>
    <col min="13573" max="13573" width="17.25" style="193" customWidth="1"/>
    <col min="13574" max="13574" width="19.125" style="193" customWidth="1"/>
    <col min="13575" max="13575" width="6.5" style="193" customWidth="1"/>
    <col min="13576" max="13576" width="5.125" style="193" customWidth="1"/>
    <col min="13577" max="13577" width="9.25" style="193" customWidth="1"/>
    <col min="13578" max="13578" width="9.875" style="193" customWidth="1"/>
    <col min="13579" max="13579" width="7.75" style="193" customWidth="1"/>
    <col min="13580" max="13824" width="7.75" style="193"/>
    <col min="13825" max="13825" width="3.375" style="193" customWidth="1"/>
    <col min="13826" max="13826" width="5.625" style="193" customWidth="1"/>
    <col min="13827" max="13827" width="23.875" style="193" customWidth="1"/>
    <col min="13828" max="13828" width="20.75" style="193" customWidth="1"/>
    <col min="13829" max="13829" width="17.25" style="193" customWidth="1"/>
    <col min="13830" max="13830" width="19.125" style="193" customWidth="1"/>
    <col min="13831" max="13831" width="6.5" style="193" customWidth="1"/>
    <col min="13832" max="13832" width="5.125" style="193" customWidth="1"/>
    <col min="13833" max="13833" width="9.25" style="193" customWidth="1"/>
    <col min="13834" max="13834" width="9.875" style="193" customWidth="1"/>
    <col min="13835" max="13835" width="7.75" style="193" customWidth="1"/>
    <col min="13836" max="14080" width="7.75" style="193"/>
    <col min="14081" max="14081" width="3.375" style="193" customWidth="1"/>
    <col min="14082" max="14082" width="5.625" style="193" customWidth="1"/>
    <col min="14083" max="14083" width="23.875" style="193" customWidth="1"/>
    <col min="14084" max="14084" width="20.75" style="193" customWidth="1"/>
    <col min="14085" max="14085" width="17.25" style="193" customWidth="1"/>
    <col min="14086" max="14086" width="19.125" style="193" customWidth="1"/>
    <col min="14087" max="14087" width="6.5" style="193" customWidth="1"/>
    <col min="14088" max="14088" width="5.125" style="193" customWidth="1"/>
    <col min="14089" max="14089" width="9.25" style="193" customWidth="1"/>
    <col min="14090" max="14090" width="9.875" style="193" customWidth="1"/>
    <col min="14091" max="14091" width="7.75" style="193" customWidth="1"/>
    <col min="14092" max="14336" width="7.75" style="193"/>
    <col min="14337" max="14337" width="3.375" style="193" customWidth="1"/>
    <col min="14338" max="14338" width="5.625" style="193" customWidth="1"/>
    <col min="14339" max="14339" width="23.875" style="193" customWidth="1"/>
    <col min="14340" max="14340" width="20.75" style="193" customWidth="1"/>
    <col min="14341" max="14341" width="17.25" style="193" customWidth="1"/>
    <col min="14342" max="14342" width="19.125" style="193" customWidth="1"/>
    <col min="14343" max="14343" width="6.5" style="193" customWidth="1"/>
    <col min="14344" max="14344" width="5.125" style="193" customWidth="1"/>
    <col min="14345" max="14345" width="9.25" style="193" customWidth="1"/>
    <col min="14346" max="14346" width="9.875" style="193" customWidth="1"/>
    <col min="14347" max="14347" width="7.75" style="193" customWidth="1"/>
    <col min="14348" max="14592" width="7.75" style="193"/>
    <col min="14593" max="14593" width="3.375" style="193" customWidth="1"/>
    <col min="14594" max="14594" width="5.625" style="193" customWidth="1"/>
    <col min="14595" max="14595" width="23.875" style="193" customWidth="1"/>
    <col min="14596" max="14596" width="20.75" style="193" customWidth="1"/>
    <col min="14597" max="14597" width="17.25" style="193" customWidth="1"/>
    <col min="14598" max="14598" width="19.125" style="193" customWidth="1"/>
    <col min="14599" max="14599" width="6.5" style="193" customWidth="1"/>
    <col min="14600" max="14600" width="5.125" style="193" customWidth="1"/>
    <col min="14601" max="14601" width="9.25" style="193" customWidth="1"/>
    <col min="14602" max="14602" width="9.875" style="193" customWidth="1"/>
    <col min="14603" max="14603" width="7.75" style="193" customWidth="1"/>
    <col min="14604" max="14848" width="7.75" style="193"/>
    <col min="14849" max="14849" width="3.375" style="193" customWidth="1"/>
    <col min="14850" max="14850" width="5.625" style="193" customWidth="1"/>
    <col min="14851" max="14851" width="23.875" style="193" customWidth="1"/>
    <col min="14852" max="14852" width="20.75" style="193" customWidth="1"/>
    <col min="14853" max="14853" width="17.25" style="193" customWidth="1"/>
    <col min="14854" max="14854" width="19.125" style="193" customWidth="1"/>
    <col min="14855" max="14855" width="6.5" style="193" customWidth="1"/>
    <col min="14856" max="14856" width="5.125" style="193" customWidth="1"/>
    <col min="14857" max="14857" width="9.25" style="193" customWidth="1"/>
    <col min="14858" max="14858" width="9.875" style="193" customWidth="1"/>
    <col min="14859" max="14859" width="7.75" style="193" customWidth="1"/>
    <col min="14860" max="15104" width="7.75" style="193"/>
    <col min="15105" max="15105" width="3.375" style="193" customWidth="1"/>
    <col min="15106" max="15106" width="5.625" style="193" customWidth="1"/>
    <col min="15107" max="15107" width="23.875" style="193" customWidth="1"/>
    <col min="15108" max="15108" width="20.75" style="193" customWidth="1"/>
    <col min="15109" max="15109" width="17.25" style="193" customWidth="1"/>
    <col min="15110" max="15110" width="19.125" style="193" customWidth="1"/>
    <col min="15111" max="15111" width="6.5" style="193" customWidth="1"/>
    <col min="15112" max="15112" width="5.125" style="193" customWidth="1"/>
    <col min="15113" max="15113" width="9.25" style="193" customWidth="1"/>
    <col min="15114" max="15114" width="9.875" style="193" customWidth="1"/>
    <col min="15115" max="15115" width="7.75" style="193" customWidth="1"/>
    <col min="15116" max="15360" width="7.75" style="193"/>
    <col min="15361" max="15361" width="3.375" style="193" customWidth="1"/>
    <col min="15362" max="15362" width="5.625" style="193" customWidth="1"/>
    <col min="15363" max="15363" width="23.875" style="193" customWidth="1"/>
    <col min="15364" max="15364" width="20.75" style="193" customWidth="1"/>
    <col min="15365" max="15365" width="17.25" style="193" customWidth="1"/>
    <col min="15366" max="15366" width="19.125" style="193" customWidth="1"/>
    <col min="15367" max="15367" width="6.5" style="193" customWidth="1"/>
    <col min="15368" max="15368" width="5.125" style="193" customWidth="1"/>
    <col min="15369" max="15369" width="9.25" style="193" customWidth="1"/>
    <col min="15370" max="15370" width="9.875" style="193" customWidth="1"/>
    <col min="15371" max="15371" width="7.75" style="193" customWidth="1"/>
    <col min="15372" max="15616" width="7.75" style="193"/>
    <col min="15617" max="15617" width="3.375" style="193" customWidth="1"/>
    <col min="15618" max="15618" width="5.625" style="193" customWidth="1"/>
    <col min="15619" max="15619" width="23.875" style="193" customWidth="1"/>
    <col min="15620" max="15620" width="20.75" style="193" customWidth="1"/>
    <col min="15621" max="15621" width="17.25" style="193" customWidth="1"/>
    <col min="15622" max="15622" width="19.125" style="193" customWidth="1"/>
    <col min="15623" max="15623" width="6.5" style="193" customWidth="1"/>
    <col min="15624" max="15624" width="5.125" style="193" customWidth="1"/>
    <col min="15625" max="15625" width="9.25" style="193" customWidth="1"/>
    <col min="15626" max="15626" width="9.875" style="193" customWidth="1"/>
    <col min="15627" max="15627" width="7.75" style="193" customWidth="1"/>
    <col min="15628" max="15872" width="7.75" style="193"/>
    <col min="15873" max="15873" width="3.375" style="193" customWidth="1"/>
    <col min="15874" max="15874" width="5.625" style="193" customWidth="1"/>
    <col min="15875" max="15875" width="23.875" style="193" customWidth="1"/>
    <col min="15876" max="15876" width="20.75" style="193" customWidth="1"/>
    <col min="15877" max="15877" width="17.25" style="193" customWidth="1"/>
    <col min="15878" max="15878" width="19.125" style="193" customWidth="1"/>
    <col min="15879" max="15879" width="6.5" style="193" customWidth="1"/>
    <col min="15880" max="15880" width="5.125" style="193" customWidth="1"/>
    <col min="15881" max="15881" width="9.25" style="193" customWidth="1"/>
    <col min="15882" max="15882" width="9.875" style="193" customWidth="1"/>
    <col min="15883" max="15883" width="7.75" style="193" customWidth="1"/>
    <col min="15884" max="16128" width="7.75" style="193"/>
    <col min="16129" max="16129" width="3.375" style="193" customWidth="1"/>
    <col min="16130" max="16130" width="5.625" style="193" customWidth="1"/>
    <col min="16131" max="16131" width="23.875" style="193" customWidth="1"/>
    <col min="16132" max="16132" width="20.75" style="193" customWidth="1"/>
    <col min="16133" max="16133" width="17.25" style="193" customWidth="1"/>
    <col min="16134" max="16134" width="19.125" style="193" customWidth="1"/>
    <col min="16135" max="16135" width="6.5" style="193" customWidth="1"/>
    <col min="16136" max="16136" width="5.125" style="193" customWidth="1"/>
    <col min="16137" max="16137" width="9.25" style="193" customWidth="1"/>
    <col min="16138" max="16138" width="9.875" style="193" customWidth="1"/>
    <col min="16139" max="16139" width="7.75" style="193" customWidth="1"/>
    <col min="16140" max="16384" width="7.75" style="193"/>
  </cols>
  <sheetData>
    <row r="1" spans="1:14" ht="35.1" customHeight="1">
      <c r="A1" s="237" t="s">
        <v>585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</row>
    <row r="2" spans="1:14" s="206" customFormat="1" ht="42" customHeight="1">
      <c r="A2" s="203" t="s">
        <v>0</v>
      </c>
      <c r="B2" s="186" t="s">
        <v>577</v>
      </c>
      <c r="C2" s="187" t="s">
        <v>578</v>
      </c>
      <c r="D2" s="187" t="s">
        <v>579</v>
      </c>
      <c r="E2" s="187" t="s">
        <v>580</v>
      </c>
      <c r="F2" s="187" t="s">
        <v>581</v>
      </c>
      <c r="G2" s="187" t="s">
        <v>582</v>
      </c>
      <c r="H2" s="204" t="s">
        <v>586</v>
      </c>
      <c r="I2" s="204" t="s">
        <v>587</v>
      </c>
      <c r="J2" s="205" t="s">
        <v>588</v>
      </c>
      <c r="K2" s="188" t="s">
        <v>570</v>
      </c>
    </row>
    <row r="3" spans="1:14" ht="24.95" customHeight="1">
      <c r="A3" s="190">
        <v>1</v>
      </c>
      <c r="B3" s="207" t="s">
        <v>589</v>
      </c>
      <c r="C3" s="208" t="s">
        <v>590</v>
      </c>
      <c r="D3" s="197" t="s">
        <v>583</v>
      </c>
      <c r="E3" s="209" t="s">
        <v>591</v>
      </c>
      <c r="F3" s="197" t="s">
        <v>592</v>
      </c>
      <c r="G3" s="197"/>
      <c r="H3" s="198">
        <v>4</v>
      </c>
      <c r="I3" s="199">
        <v>12000</v>
      </c>
      <c r="J3" s="210">
        <f>H3*I3</f>
        <v>48000</v>
      </c>
      <c r="K3" s="191"/>
      <c r="N3" s="193" t="s">
        <v>593</v>
      </c>
    </row>
    <row r="4" spans="1:14" ht="24.95" customHeight="1">
      <c r="A4" s="190">
        <v>2</v>
      </c>
      <c r="B4" s="207" t="s">
        <v>589</v>
      </c>
      <c r="C4" s="194" t="s">
        <v>594</v>
      </c>
      <c r="D4" s="191" t="s">
        <v>583</v>
      </c>
      <c r="E4" s="211" t="s">
        <v>595</v>
      </c>
      <c r="F4" s="191" t="s">
        <v>596</v>
      </c>
      <c r="G4" s="191"/>
      <c r="H4" s="195">
        <v>9</v>
      </c>
      <c r="I4" s="196">
        <v>10000</v>
      </c>
      <c r="J4" s="210">
        <f>H4*I4</f>
        <v>90000</v>
      </c>
      <c r="K4" s="211" t="s">
        <v>597</v>
      </c>
    </row>
    <row r="5" spans="1:14" ht="24.95" customHeight="1">
      <c r="A5" s="190">
        <v>2</v>
      </c>
      <c r="B5" s="207" t="s">
        <v>589</v>
      </c>
      <c r="C5" s="194" t="s">
        <v>594</v>
      </c>
      <c r="D5" s="191" t="s">
        <v>583</v>
      </c>
      <c r="E5" s="209" t="s">
        <v>591</v>
      </c>
      <c r="F5" s="197" t="s">
        <v>598</v>
      </c>
      <c r="G5" s="191"/>
      <c r="H5" s="195">
        <v>7</v>
      </c>
      <c r="I5" s="196">
        <v>12000</v>
      </c>
      <c r="J5" s="210">
        <f>H5*I5</f>
        <v>84000</v>
      </c>
      <c r="K5" s="211" t="s">
        <v>597</v>
      </c>
    </row>
    <row r="6" spans="1:14" ht="24.95" customHeight="1">
      <c r="A6" s="190">
        <v>2</v>
      </c>
      <c r="B6" s="207" t="s">
        <v>589</v>
      </c>
      <c r="C6" s="194" t="s">
        <v>594</v>
      </c>
      <c r="D6" s="191" t="s">
        <v>583</v>
      </c>
      <c r="E6" s="212" t="s">
        <v>599</v>
      </c>
      <c r="F6" s="212" t="s">
        <v>599</v>
      </c>
      <c r="G6" s="211" t="s">
        <v>600</v>
      </c>
      <c r="H6" s="195">
        <v>1</v>
      </c>
      <c r="I6" s="196">
        <v>50000</v>
      </c>
      <c r="J6" s="210">
        <f>H6*I6</f>
        <v>50000</v>
      </c>
      <c r="K6" s="211" t="s">
        <v>597</v>
      </c>
    </row>
    <row r="7" spans="1:14" ht="24.95" customHeight="1">
      <c r="A7" s="190">
        <v>2</v>
      </c>
      <c r="B7" s="207" t="s">
        <v>589</v>
      </c>
      <c r="C7" s="194" t="s">
        <v>594</v>
      </c>
      <c r="D7" s="191" t="s">
        <v>583</v>
      </c>
      <c r="E7" s="212" t="s">
        <v>601</v>
      </c>
      <c r="F7" s="212" t="s">
        <v>602</v>
      </c>
      <c r="G7" s="191"/>
      <c r="H7" s="195">
        <v>1</v>
      </c>
      <c r="I7" s="196">
        <v>100000</v>
      </c>
      <c r="J7" s="210">
        <f>H7*I7</f>
        <v>100000</v>
      </c>
      <c r="K7" s="211" t="s">
        <v>597</v>
      </c>
    </row>
    <row r="8" spans="1:14" s="189" customFormat="1" ht="24.95" customHeight="1">
      <c r="A8" s="192"/>
      <c r="B8" s="186"/>
      <c r="C8" s="203" t="s">
        <v>603</v>
      </c>
      <c r="D8" s="192"/>
      <c r="E8" s="192"/>
      <c r="F8" s="192"/>
      <c r="G8" s="192"/>
      <c r="H8" s="213"/>
      <c r="I8" s="213"/>
      <c r="J8" s="214">
        <f>SUM(J3:J7)</f>
        <v>372000</v>
      </c>
      <c r="K8" s="215"/>
    </row>
  </sheetData>
  <mergeCells count="1">
    <mergeCell ref="A1:K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sqref="A1:C1"/>
    </sheetView>
  </sheetViews>
  <sheetFormatPr defaultRowHeight="13.5"/>
  <cols>
    <col min="1" max="1" width="15.125" customWidth="1"/>
    <col min="2" max="2" width="15.625" customWidth="1"/>
    <col min="3" max="3" width="19.375" customWidth="1"/>
  </cols>
  <sheetData>
    <row r="1" spans="1:3" ht="20.25">
      <c r="A1" s="221" t="s">
        <v>134</v>
      </c>
      <c r="B1" s="221"/>
      <c r="C1" s="221"/>
    </row>
    <row r="2" spans="1:3" ht="24.95" customHeight="1">
      <c r="A2" s="22" t="s">
        <v>4</v>
      </c>
      <c r="B2" s="22" t="s">
        <v>135</v>
      </c>
      <c r="C2" s="22" t="s">
        <v>136</v>
      </c>
    </row>
    <row r="3" spans="1:3" ht="24.95" customHeight="1">
      <c r="A3" s="4" t="s">
        <v>1</v>
      </c>
      <c r="B3" s="5">
        <v>252206</v>
      </c>
      <c r="C3" s="2">
        <f>B3*3</f>
        <v>756618</v>
      </c>
    </row>
    <row r="4" spans="1:3" ht="24.95" customHeight="1">
      <c r="A4" s="4" t="s">
        <v>5</v>
      </c>
      <c r="B4" s="5">
        <v>120044</v>
      </c>
      <c r="C4" s="2">
        <f t="shared" ref="C4:C12" si="0">B4*3</f>
        <v>360132</v>
      </c>
    </row>
    <row r="5" spans="1:3" ht="24.95" customHeight="1">
      <c r="A5" s="4" t="s">
        <v>6</v>
      </c>
      <c r="B5" s="5">
        <v>270670</v>
      </c>
      <c r="C5" s="2">
        <f t="shared" si="0"/>
        <v>812010</v>
      </c>
    </row>
    <row r="6" spans="1:3" ht="24.95" customHeight="1">
      <c r="A6" s="4" t="s">
        <v>7</v>
      </c>
      <c r="B6" s="5">
        <v>298341</v>
      </c>
      <c r="C6" s="2">
        <f t="shared" si="0"/>
        <v>895023</v>
      </c>
    </row>
    <row r="7" spans="1:3" ht="24.95" customHeight="1">
      <c r="A7" s="4" t="s">
        <v>8</v>
      </c>
      <c r="B7" s="5">
        <v>296597</v>
      </c>
      <c r="C7" s="2">
        <f t="shared" si="0"/>
        <v>889791</v>
      </c>
    </row>
    <row r="8" spans="1:3" ht="24.95" customHeight="1">
      <c r="A8" s="4" t="s">
        <v>9</v>
      </c>
      <c r="B8" s="5">
        <v>118136</v>
      </c>
      <c r="C8" s="2">
        <f t="shared" si="0"/>
        <v>354408</v>
      </c>
    </row>
    <row r="9" spans="1:3" ht="24.95" customHeight="1">
      <c r="A9" s="4" t="s">
        <v>2</v>
      </c>
      <c r="B9" s="5">
        <v>223550</v>
      </c>
      <c r="C9" s="2">
        <f t="shared" si="0"/>
        <v>670650</v>
      </c>
    </row>
    <row r="10" spans="1:3" ht="24.95" customHeight="1">
      <c r="A10" s="4" t="s">
        <v>10</v>
      </c>
      <c r="B10" s="5">
        <v>180227</v>
      </c>
      <c r="C10" s="2">
        <f t="shared" si="0"/>
        <v>540681</v>
      </c>
    </row>
    <row r="11" spans="1:3" ht="24.95" customHeight="1">
      <c r="A11" s="4" t="s">
        <v>11</v>
      </c>
      <c r="B11" s="5">
        <v>132326</v>
      </c>
      <c r="C11" s="2">
        <f t="shared" si="0"/>
        <v>396978</v>
      </c>
    </row>
    <row r="12" spans="1:3" ht="24.95" customHeight="1">
      <c r="A12" s="4" t="s">
        <v>12</v>
      </c>
      <c r="B12" s="5">
        <v>61933</v>
      </c>
      <c r="C12" s="2">
        <f t="shared" si="0"/>
        <v>185799</v>
      </c>
    </row>
    <row r="13" spans="1:3" ht="24.95" customHeight="1">
      <c r="A13" s="6" t="s">
        <v>3</v>
      </c>
      <c r="B13" s="7">
        <f>SUM(B3:B12)</f>
        <v>1954030</v>
      </c>
      <c r="C13" s="7">
        <f>SUM(C3:C12)</f>
        <v>5862090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sqref="A1:C13"/>
    </sheetView>
  </sheetViews>
  <sheetFormatPr defaultRowHeight="13.5"/>
  <cols>
    <col min="1" max="1" width="14" style="13" customWidth="1"/>
    <col min="2" max="2" width="26.75" style="1" customWidth="1"/>
    <col min="3" max="3" width="24" style="14" customWidth="1"/>
    <col min="4" max="16384" width="9" style="1"/>
  </cols>
  <sheetData>
    <row r="1" spans="1:3" ht="20.25">
      <c r="A1" s="222" t="s">
        <v>137</v>
      </c>
      <c r="B1" s="222"/>
      <c r="C1" s="222"/>
    </row>
    <row r="2" spans="1:3" ht="24.95" customHeight="1">
      <c r="A2" s="23" t="s">
        <v>13</v>
      </c>
      <c r="B2" s="23" t="s">
        <v>138</v>
      </c>
      <c r="C2" s="24" t="s">
        <v>139</v>
      </c>
    </row>
    <row r="3" spans="1:3" ht="24.95" customHeight="1">
      <c r="A3" s="3">
        <v>1</v>
      </c>
      <c r="B3" s="9" t="s">
        <v>14</v>
      </c>
      <c r="C3" s="10">
        <v>40000</v>
      </c>
    </row>
    <row r="4" spans="1:3" ht="24.95" customHeight="1">
      <c r="A4" s="3">
        <v>2</v>
      </c>
      <c r="B4" s="9" t="s">
        <v>15</v>
      </c>
      <c r="C4" s="10">
        <v>40000</v>
      </c>
    </row>
    <row r="5" spans="1:3" ht="24.95" customHeight="1">
      <c r="A5" s="3">
        <v>3</v>
      </c>
      <c r="B5" s="9" t="s">
        <v>16</v>
      </c>
      <c r="C5" s="10">
        <v>40000</v>
      </c>
    </row>
    <row r="6" spans="1:3" ht="24.95" customHeight="1">
      <c r="A6" s="3">
        <v>4</v>
      </c>
      <c r="B6" s="9" t="s">
        <v>17</v>
      </c>
      <c r="C6" s="10">
        <v>40000</v>
      </c>
    </row>
    <row r="7" spans="1:3" ht="24.95" customHeight="1">
      <c r="A7" s="3">
        <v>5</v>
      </c>
      <c r="B7" s="9" t="s">
        <v>18</v>
      </c>
      <c r="C7" s="10">
        <v>40000</v>
      </c>
    </row>
    <row r="8" spans="1:3" ht="24.95" customHeight="1">
      <c r="A8" s="3">
        <v>6</v>
      </c>
      <c r="B8" s="9" t="s">
        <v>19</v>
      </c>
      <c r="C8" s="10">
        <v>40000</v>
      </c>
    </row>
    <row r="9" spans="1:3" ht="24.95" customHeight="1">
      <c r="A9" s="3">
        <v>7</v>
      </c>
      <c r="B9" s="9" t="s">
        <v>20</v>
      </c>
      <c r="C9" s="10">
        <v>40000</v>
      </c>
    </row>
    <row r="10" spans="1:3" ht="24.95" customHeight="1">
      <c r="A10" s="3">
        <v>8</v>
      </c>
      <c r="B10" s="9" t="s">
        <v>21</v>
      </c>
      <c r="C10" s="10">
        <v>40000</v>
      </c>
    </row>
    <row r="11" spans="1:3" ht="24.95" customHeight="1">
      <c r="A11" s="3">
        <v>9</v>
      </c>
      <c r="B11" s="9" t="s">
        <v>22</v>
      </c>
      <c r="C11" s="10">
        <v>40000</v>
      </c>
    </row>
    <row r="12" spans="1:3" ht="24.95" customHeight="1">
      <c r="A12" s="3">
        <v>10</v>
      </c>
      <c r="B12" s="9" t="s">
        <v>23</v>
      </c>
      <c r="C12" s="10">
        <v>40000</v>
      </c>
    </row>
    <row r="13" spans="1:3" ht="24.95" customHeight="1">
      <c r="A13" s="8"/>
      <c r="B13" s="11" t="s">
        <v>24</v>
      </c>
      <c r="C13" s="12">
        <f>SUM(C3:C12)</f>
        <v>400000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topLeftCell="A91" workbookViewId="0">
      <selection activeCell="G3" sqref="G3"/>
    </sheetView>
  </sheetViews>
  <sheetFormatPr defaultRowHeight="13.5"/>
  <cols>
    <col min="1" max="2" width="9" style="15"/>
    <col min="3" max="3" width="14.5" style="15" customWidth="1"/>
    <col min="4" max="4" width="11.125" style="29" customWidth="1"/>
    <col min="5" max="6" width="9" style="15"/>
    <col min="7" max="7" width="17.875" style="15" customWidth="1"/>
    <col min="8" max="16384" width="9" style="15"/>
  </cols>
  <sheetData>
    <row r="1" spans="1:7" ht="18.75" customHeight="1" thickBot="1">
      <c r="A1" s="223" t="s">
        <v>143</v>
      </c>
      <c r="B1" s="224"/>
      <c r="C1" s="224"/>
      <c r="D1" s="224"/>
      <c r="E1" s="224"/>
      <c r="F1" s="224"/>
      <c r="G1" s="224"/>
    </row>
    <row r="2" spans="1:7" ht="14.25" thickBot="1">
      <c r="A2" s="16" t="s">
        <v>140</v>
      </c>
      <c r="B2" s="16" t="s">
        <v>0</v>
      </c>
      <c r="C2" s="16" t="s">
        <v>144</v>
      </c>
      <c r="D2" s="21" t="s">
        <v>25</v>
      </c>
      <c r="E2" s="16" t="s">
        <v>141</v>
      </c>
      <c r="F2" s="16" t="s">
        <v>142</v>
      </c>
      <c r="G2" s="16" t="s">
        <v>145</v>
      </c>
    </row>
    <row r="3" spans="1:7" s="20" customFormat="1" ht="12.75" customHeight="1" thickBot="1">
      <c r="A3" s="18" t="s">
        <v>129</v>
      </c>
      <c r="B3" s="18" t="s">
        <v>146</v>
      </c>
      <c r="C3" s="25" t="s">
        <v>147</v>
      </c>
      <c r="D3" s="26">
        <v>129</v>
      </c>
      <c r="E3" s="18">
        <v>150261</v>
      </c>
      <c r="F3" s="18">
        <v>10000</v>
      </c>
      <c r="G3" s="19">
        <f>D3*(E3+F3)</f>
        <v>20673669</v>
      </c>
    </row>
    <row r="4" spans="1:7" s="20" customFormat="1" ht="14.25" thickBot="1">
      <c r="A4" s="18" t="s">
        <v>129</v>
      </c>
      <c r="B4" s="18" t="s">
        <v>148</v>
      </c>
      <c r="C4" s="18" t="s">
        <v>26</v>
      </c>
      <c r="D4" s="26">
        <v>55</v>
      </c>
      <c r="E4" s="18">
        <v>139020</v>
      </c>
      <c r="F4" s="18">
        <v>10000</v>
      </c>
      <c r="G4" s="19">
        <f t="shared" ref="G4:G7" si="0">D4*(E4+F4)</f>
        <v>8196100</v>
      </c>
    </row>
    <row r="5" spans="1:7" s="20" customFormat="1" ht="14.25" thickBot="1">
      <c r="A5" s="18" t="s">
        <v>129</v>
      </c>
      <c r="B5" s="18" t="s">
        <v>148</v>
      </c>
      <c r="C5" s="18" t="s">
        <v>27</v>
      </c>
      <c r="D5" s="27">
        <v>45</v>
      </c>
      <c r="E5" s="18">
        <v>139020</v>
      </c>
      <c r="F5" s="18">
        <v>10000</v>
      </c>
      <c r="G5" s="19">
        <f t="shared" si="0"/>
        <v>6705900</v>
      </c>
    </row>
    <row r="6" spans="1:7" s="20" customFormat="1" ht="14.25" thickBot="1">
      <c r="A6" s="18" t="s">
        <v>129</v>
      </c>
      <c r="B6" s="18" t="s">
        <v>148</v>
      </c>
      <c r="C6" s="18" t="s">
        <v>28</v>
      </c>
      <c r="D6" s="27">
        <v>10</v>
      </c>
      <c r="E6" s="18">
        <v>139020</v>
      </c>
      <c r="F6" s="18">
        <v>10000</v>
      </c>
      <c r="G6" s="19">
        <f t="shared" si="0"/>
        <v>1490200</v>
      </c>
    </row>
    <row r="7" spans="1:7" s="20" customFormat="1" ht="14.25" thickBot="1">
      <c r="A7" s="18" t="s">
        <v>129</v>
      </c>
      <c r="B7" s="18" t="s">
        <v>149</v>
      </c>
      <c r="C7" s="18" t="s">
        <v>29</v>
      </c>
      <c r="D7" s="27">
        <v>6</v>
      </c>
      <c r="E7" s="18">
        <v>137449</v>
      </c>
      <c r="F7" s="18">
        <v>10000</v>
      </c>
      <c r="G7" s="19">
        <f t="shared" si="0"/>
        <v>884694</v>
      </c>
    </row>
    <row r="8" spans="1:7" ht="14.25" thickBot="1">
      <c r="A8" s="16"/>
      <c r="B8" s="16" t="s">
        <v>30</v>
      </c>
      <c r="C8" s="16"/>
      <c r="D8" s="28">
        <f>SUM(D3:D7)</f>
        <v>245</v>
      </c>
      <c r="E8" s="16"/>
      <c r="F8" s="16"/>
      <c r="G8" s="17">
        <f>SUM(G3:G7)</f>
        <v>37950563</v>
      </c>
    </row>
    <row r="9" spans="1:7" s="20" customFormat="1" ht="14.25" thickBot="1">
      <c r="A9" s="18" t="s">
        <v>150</v>
      </c>
      <c r="B9" s="18" t="s">
        <v>151</v>
      </c>
      <c r="C9" s="18" t="s">
        <v>31</v>
      </c>
      <c r="D9" s="26">
        <v>83</v>
      </c>
      <c r="E9" s="18">
        <v>150261</v>
      </c>
      <c r="F9" s="18">
        <v>10000</v>
      </c>
      <c r="G9" s="19">
        <f>D9*(E9+F9)</f>
        <v>13301663</v>
      </c>
    </row>
    <row r="10" spans="1:7" s="20" customFormat="1" ht="14.25" thickBot="1">
      <c r="A10" s="18" t="s">
        <v>150</v>
      </c>
      <c r="B10" s="18" t="s">
        <v>152</v>
      </c>
      <c r="C10" s="18" t="s">
        <v>32</v>
      </c>
      <c r="D10" s="27">
        <v>71</v>
      </c>
      <c r="E10" s="18">
        <v>150261</v>
      </c>
      <c r="F10" s="18">
        <v>10000</v>
      </c>
      <c r="G10" s="19">
        <f t="shared" ref="G10:G15" si="1">D10*(E10+F10)</f>
        <v>11378531</v>
      </c>
    </row>
    <row r="11" spans="1:7" s="20" customFormat="1" ht="14.25" thickBot="1">
      <c r="A11" s="18" t="s">
        <v>150</v>
      </c>
      <c r="B11" s="18" t="s">
        <v>152</v>
      </c>
      <c r="C11" s="18" t="s">
        <v>33</v>
      </c>
      <c r="D11" s="27">
        <v>19</v>
      </c>
      <c r="E11" s="18">
        <v>150261</v>
      </c>
      <c r="F11" s="18">
        <v>10000</v>
      </c>
      <c r="G11" s="19">
        <f t="shared" si="1"/>
        <v>3044959</v>
      </c>
    </row>
    <row r="12" spans="1:7" s="20" customFormat="1" ht="14.25" thickBot="1">
      <c r="A12" s="18" t="s">
        <v>150</v>
      </c>
      <c r="B12" s="18" t="s">
        <v>148</v>
      </c>
      <c r="C12" s="18" t="s">
        <v>34</v>
      </c>
      <c r="D12" s="26">
        <v>16</v>
      </c>
      <c r="E12" s="18">
        <v>139020</v>
      </c>
      <c r="F12" s="18">
        <v>10000</v>
      </c>
      <c r="G12" s="19">
        <f t="shared" si="1"/>
        <v>2384320</v>
      </c>
    </row>
    <row r="13" spans="1:7" s="20" customFormat="1" ht="14.25" thickBot="1">
      <c r="A13" s="18" t="s">
        <v>150</v>
      </c>
      <c r="B13" s="18" t="s">
        <v>148</v>
      </c>
      <c r="C13" s="18" t="s">
        <v>35</v>
      </c>
      <c r="D13" s="27">
        <v>37</v>
      </c>
      <c r="E13" s="18">
        <v>139020</v>
      </c>
      <c r="F13" s="18">
        <v>10000</v>
      </c>
      <c r="G13" s="19">
        <f t="shared" si="1"/>
        <v>5513740</v>
      </c>
    </row>
    <row r="14" spans="1:7" s="20" customFormat="1" ht="14.25" thickBot="1">
      <c r="A14" s="18" t="s">
        <v>150</v>
      </c>
      <c r="B14" s="18" t="s">
        <v>148</v>
      </c>
      <c r="C14" s="18" t="s">
        <v>36</v>
      </c>
      <c r="D14" s="27">
        <v>44</v>
      </c>
      <c r="E14" s="18">
        <v>139020</v>
      </c>
      <c r="F14" s="18">
        <v>10000</v>
      </c>
      <c r="G14" s="19">
        <f t="shared" si="1"/>
        <v>6556880</v>
      </c>
    </row>
    <row r="15" spans="1:7" s="20" customFormat="1" ht="14.25" thickBot="1">
      <c r="A15" s="18" t="s">
        <v>150</v>
      </c>
      <c r="B15" s="18" t="s">
        <v>149</v>
      </c>
      <c r="C15" s="18" t="s">
        <v>37</v>
      </c>
      <c r="D15" s="27">
        <v>4</v>
      </c>
      <c r="E15" s="18">
        <v>137449</v>
      </c>
      <c r="F15" s="18">
        <v>10000</v>
      </c>
      <c r="G15" s="19">
        <f t="shared" si="1"/>
        <v>589796</v>
      </c>
    </row>
    <row r="16" spans="1:7" ht="14.25" thickBot="1">
      <c r="A16" s="16"/>
      <c r="B16" s="16" t="s">
        <v>153</v>
      </c>
      <c r="C16" s="16"/>
      <c r="D16" s="28">
        <f>SUM(D9:D15)</f>
        <v>274</v>
      </c>
      <c r="E16" s="16"/>
      <c r="F16" s="16"/>
      <c r="G16" s="16">
        <f>SUM(G9:G15)</f>
        <v>42769889</v>
      </c>
    </row>
    <row r="17" spans="1:7" s="20" customFormat="1" ht="14.25" thickBot="1">
      <c r="A17" s="18" t="s">
        <v>130</v>
      </c>
      <c r="B17" s="18" t="s">
        <v>151</v>
      </c>
      <c r="C17" s="18" t="s">
        <v>38</v>
      </c>
      <c r="D17" s="27">
        <v>83</v>
      </c>
      <c r="E17" s="18">
        <v>150261</v>
      </c>
      <c r="F17" s="18">
        <v>10000</v>
      </c>
      <c r="G17" s="19">
        <f>D17*(E17+F17)</f>
        <v>13301663</v>
      </c>
    </row>
    <row r="18" spans="1:7" s="20" customFormat="1" ht="14.25" thickBot="1">
      <c r="A18" s="18" t="s">
        <v>130</v>
      </c>
      <c r="B18" s="18" t="s">
        <v>151</v>
      </c>
      <c r="C18" s="18" t="s">
        <v>39</v>
      </c>
      <c r="D18" s="27"/>
      <c r="E18" s="18">
        <v>150261</v>
      </c>
      <c r="F18" s="18">
        <v>10000</v>
      </c>
      <c r="G18" s="19">
        <f t="shared" ref="G18:G33" si="2">D18*(E18+F18)</f>
        <v>0</v>
      </c>
    </row>
    <row r="19" spans="1:7" s="20" customFormat="1" ht="14.25" thickBot="1">
      <c r="A19" s="18" t="s">
        <v>130</v>
      </c>
      <c r="B19" s="18" t="s">
        <v>151</v>
      </c>
      <c r="C19" s="18" t="s">
        <v>40</v>
      </c>
      <c r="D19" s="27">
        <v>255</v>
      </c>
      <c r="E19" s="18">
        <v>150261</v>
      </c>
      <c r="F19" s="18">
        <v>10000</v>
      </c>
      <c r="G19" s="19">
        <f t="shared" si="2"/>
        <v>40866555</v>
      </c>
    </row>
    <row r="20" spans="1:7" s="20" customFormat="1" ht="14.25" thickBot="1">
      <c r="A20" s="18" t="s">
        <v>130</v>
      </c>
      <c r="B20" s="18" t="s">
        <v>151</v>
      </c>
      <c r="C20" s="18" t="s">
        <v>41</v>
      </c>
      <c r="D20" s="27">
        <v>86</v>
      </c>
      <c r="E20" s="18">
        <v>150261</v>
      </c>
      <c r="F20" s="18">
        <v>10000</v>
      </c>
      <c r="G20" s="19">
        <f t="shared" si="2"/>
        <v>13782446</v>
      </c>
    </row>
    <row r="21" spans="1:7" s="20" customFormat="1" ht="14.25" thickBot="1">
      <c r="A21" s="18" t="s">
        <v>130</v>
      </c>
      <c r="B21" s="18" t="s">
        <v>151</v>
      </c>
      <c r="C21" s="18" t="s">
        <v>42</v>
      </c>
      <c r="D21" s="27">
        <v>90</v>
      </c>
      <c r="E21" s="18">
        <v>150261</v>
      </c>
      <c r="F21" s="18">
        <v>10000</v>
      </c>
      <c r="G21" s="19">
        <f t="shared" si="2"/>
        <v>14423490</v>
      </c>
    </row>
    <row r="22" spans="1:7" s="20" customFormat="1" ht="14.25" thickBot="1">
      <c r="A22" s="18" t="s">
        <v>130</v>
      </c>
      <c r="B22" s="18" t="s">
        <v>152</v>
      </c>
      <c r="C22" s="18" t="s">
        <v>43</v>
      </c>
      <c r="D22" s="27">
        <v>62</v>
      </c>
      <c r="E22" s="18">
        <v>150261</v>
      </c>
      <c r="F22" s="18">
        <v>10000</v>
      </c>
      <c r="G22" s="19">
        <f t="shared" si="2"/>
        <v>9936182</v>
      </c>
    </row>
    <row r="23" spans="1:7" s="20" customFormat="1" ht="14.25" thickBot="1">
      <c r="A23" s="18" t="s">
        <v>130</v>
      </c>
      <c r="B23" s="18" t="s">
        <v>152</v>
      </c>
      <c r="C23" s="18" t="s">
        <v>44</v>
      </c>
      <c r="D23" s="27">
        <v>288</v>
      </c>
      <c r="E23" s="18">
        <v>150261</v>
      </c>
      <c r="F23" s="18">
        <v>10000</v>
      </c>
      <c r="G23" s="19">
        <f t="shared" si="2"/>
        <v>46155168</v>
      </c>
    </row>
    <row r="24" spans="1:7" s="20" customFormat="1" ht="14.25" thickBot="1">
      <c r="A24" s="18" t="s">
        <v>130</v>
      </c>
      <c r="B24" s="18" t="s">
        <v>152</v>
      </c>
      <c r="C24" s="18" t="s">
        <v>45</v>
      </c>
      <c r="D24" s="27">
        <v>63</v>
      </c>
      <c r="E24" s="18">
        <v>150261</v>
      </c>
      <c r="F24" s="18">
        <v>10000</v>
      </c>
      <c r="G24" s="19">
        <f t="shared" si="2"/>
        <v>10096443</v>
      </c>
    </row>
    <row r="25" spans="1:7" s="20" customFormat="1" ht="14.25" thickBot="1">
      <c r="A25" s="18" t="s">
        <v>130</v>
      </c>
      <c r="B25" s="18" t="s">
        <v>152</v>
      </c>
      <c r="C25" s="18" t="s">
        <v>46</v>
      </c>
      <c r="D25" s="27">
        <v>116</v>
      </c>
      <c r="E25" s="18">
        <v>150261</v>
      </c>
      <c r="F25" s="18">
        <v>10000</v>
      </c>
      <c r="G25" s="19">
        <f t="shared" si="2"/>
        <v>18590276</v>
      </c>
    </row>
    <row r="26" spans="1:7" s="20" customFormat="1" ht="14.25" thickBot="1">
      <c r="A26" s="18" t="s">
        <v>130</v>
      </c>
      <c r="B26" s="18" t="s">
        <v>152</v>
      </c>
      <c r="C26" s="18" t="s">
        <v>47</v>
      </c>
      <c r="D26" s="26">
        <v>109</v>
      </c>
      <c r="E26" s="18">
        <v>150261</v>
      </c>
      <c r="F26" s="18">
        <v>10000</v>
      </c>
      <c r="G26" s="19">
        <f t="shared" si="2"/>
        <v>17468449</v>
      </c>
    </row>
    <row r="27" spans="1:7" s="20" customFormat="1" ht="14.25" thickBot="1">
      <c r="A27" s="18" t="s">
        <v>130</v>
      </c>
      <c r="B27" s="18" t="s">
        <v>148</v>
      </c>
      <c r="C27" s="18" t="s">
        <v>48</v>
      </c>
      <c r="D27" s="27">
        <v>45</v>
      </c>
      <c r="E27" s="18">
        <v>139020</v>
      </c>
      <c r="F27" s="18">
        <v>10000</v>
      </c>
      <c r="G27" s="19">
        <f t="shared" si="2"/>
        <v>6705900</v>
      </c>
    </row>
    <row r="28" spans="1:7" s="20" customFormat="1" ht="14.25" thickBot="1">
      <c r="A28" s="18" t="s">
        <v>130</v>
      </c>
      <c r="B28" s="18" t="s">
        <v>148</v>
      </c>
      <c r="C28" s="18" t="s">
        <v>49</v>
      </c>
      <c r="D28" s="27">
        <v>167</v>
      </c>
      <c r="E28" s="18">
        <v>139020</v>
      </c>
      <c r="F28" s="18">
        <v>10000</v>
      </c>
      <c r="G28" s="19">
        <f t="shared" si="2"/>
        <v>24886340</v>
      </c>
    </row>
    <row r="29" spans="1:7" s="20" customFormat="1" ht="14.25" thickBot="1">
      <c r="A29" s="18" t="s">
        <v>130</v>
      </c>
      <c r="B29" s="18" t="s">
        <v>148</v>
      </c>
      <c r="C29" s="18" t="s">
        <v>50</v>
      </c>
      <c r="D29" s="27">
        <v>46</v>
      </c>
      <c r="E29" s="18">
        <v>139020</v>
      </c>
      <c r="F29" s="18">
        <v>10000</v>
      </c>
      <c r="G29" s="19">
        <f t="shared" si="2"/>
        <v>6854920</v>
      </c>
    </row>
    <row r="30" spans="1:7" s="20" customFormat="1" ht="14.25" thickBot="1">
      <c r="A30" s="18" t="s">
        <v>130</v>
      </c>
      <c r="B30" s="18" t="s">
        <v>148</v>
      </c>
      <c r="C30" s="18" t="s">
        <v>51</v>
      </c>
      <c r="D30" s="27">
        <v>36</v>
      </c>
      <c r="E30" s="18">
        <v>139020</v>
      </c>
      <c r="F30" s="18">
        <v>10000</v>
      </c>
      <c r="G30" s="19">
        <f t="shared" si="2"/>
        <v>5364720</v>
      </c>
    </row>
    <row r="31" spans="1:7" s="20" customFormat="1" ht="14.25" thickBot="1">
      <c r="A31" s="18" t="s">
        <v>130</v>
      </c>
      <c r="B31" s="18" t="s">
        <v>148</v>
      </c>
      <c r="C31" s="18" t="s">
        <v>52</v>
      </c>
      <c r="D31" s="27">
        <v>28</v>
      </c>
      <c r="E31" s="18">
        <v>139020</v>
      </c>
      <c r="F31" s="18">
        <v>10000</v>
      </c>
      <c r="G31" s="19">
        <f t="shared" si="2"/>
        <v>4172560</v>
      </c>
    </row>
    <row r="32" spans="1:7" s="20" customFormat="1" ht="14.25" thickBot="1">
      <c r="A32" s="18" t="s">
        <v>130</v>
      </c>
      <c r="B32" s="18" t="s">
        <v>148</v>
      </c>
      <c r="C32" s="18" t="s">
        <v>154</v>
      </c>
      <c r="D32" s="27">
        <v>4</v>
      </c>
      <c r="E32" s="18">
        <v>139020</v>
      </c>
      <c r="F32" s="18">
        <v>10000</v>
      </c>
      <c r="G32" s="19">
        <f t="shared" si="2"/>
        <v>596080</v>
      </c>
    </row>
    <row r="33" spans="1:7" s="20" customFormat="1" ht="14.25" thickBot="1">
      <c r="A33" s="18" t="s">
        <v>130</v>
      </c>
      <c r="B33" s="18" t="s">
        <v>149</v>
      </c>
      <c r="C33" s="18" t="s">
        <v>53</v>
      </c>
      <c r="D33" s="27">
        <v>7</v>
      </c>
      <c r="E33" s="18">
        <v>137449</v>
      </c>
      <c r="F33" s="18">
        <v>10000</v>
      </c>
      <c r="G33" s="19">
        <f t="shared" si="2"/>
        <v>1032143</v>
      </c>
    </row>
    <row r="34" spans="1:7" ht="14.25" thickBot="1">
      <c r="A34" s="16"/>
      <c r="B34" s="16" t="s">
        <v>155</v>
      </c>
      <c r="C34" s="16"/>
      <c r="D34" s="28">
        <f>SUM(D17:D33)</f>
        <v>1485</v>
      </c>
      <c r="E34" s="16"/>
      <c r="F34" s="16"/>
      <c r="G34" s="17">
        <f>SUM(G17:G33)</f>
        <v>234233335</v>
      </c>
    </row>
    <row r="35" spans="1:7" s="20" customFormat="1" ht="14.25" thickBot="1">
      <c r="A35" s="18" t="s">
        <v>131</v>
      </c>
      <c r="B35" s="18" t="s">
        <v>151</v>
      </c>
      <c r="C35" s="18" t="s">
        <v>54</v>
      </c>
      <c r="D35" s="26">
        <v>87</v>
      </c>
      <c r="E35" s="18">
        <v>150261</v>
      </c>
      <c r="F35" s="18">
        <v>10000</v>
      </c>
      <c r="G35" s="19">
        <f>D35*(E35+F35)</f>
        <v>13942707</v>
      </c>
    </row>
    <row r="36" spans="1:7" s="20" customFormat="1" ht="14.25" thickBot="1">
      <c r="A36" s="18" t="s">
        <v>131</v>
      </c>
      <c r="B36" s="18" t="s">
        <v>151</v>
      </c>
      <c r="C36" s="18" t="s">
        <v>55</v>
      </c>
      <c r="D36" s="26">
        <v>84</v>
      </c>
      <c r="E36" s="18">
        <v>150261</v>
      </c>
      <c r="F36" s="18">
        <v>10000</v>
      </c>
      <c r="G36" s="19">
        <f t="shared" ref="G36:G51" si="3">D36*(E36+F36)</f>
        <v>13461924</v>
      </c>
    </row>
    <row r="37" spans="1:7" s="20" customFormat="1" ht="14.25" thickBot="1">
      <c r="A37" s="18" t="s">
        <v>131</v>
      </c>
      <c r="B37" s="18" t="s">
        <v>151</v>
      </c>
      <c r="C37" s="18" t="s">
        <v>156</v>
      </c>
      <c r="D37" s="27">
        <v>61</v>
      </c>
      <c r="E37" s="18">
        <v>150261</v>
      </c>
      <c r="F37" s="18">
        <v>10000</v>
      </c>
      <c r="G37" s="19">
        <f t="shared" si="3"/>
        <v>9775921</v>
      </c>
    </row>
    <row r="38" spans="1:7" s="20" customFormat="1" ht="14.25" thickBot="1">
      <c r="A38" s="18" t="s">
        <v>131</v>
      </c>
      <c r="B38" s="18" t="s">
        <v>152</v>
      </c>
      <c r="C38" s="18" t="s">
        <v>56</v>
      </c>
      <c r="D38" s="27">
        <v>83</v>
      </c>
      <c r="E38" s="18">
        <v>150261</v>
      </c>
      <c r="F38" s="18">
        <v>10000</v>
      </c>
      <c r="G38" s="19">
        <f t="shared" si="3"/>
        <v>13301663</v>
      </c>
    </row>
    <row r="39" spans="1:7" s="20" customFormat="1" ht="14.25" thickBot="1">
      <c r="A39" s="18" t="s">
        <v>131</v>
      </c>
      <c r="B39" s="18" t="s">
        <v>152</v>
      </c>
      <c r="C39" s="18" t="s">
        <v>57</v>
      </c>
      <c r="D39" s="27">
        <v>78</v>
      </c>
      <c r="E39" s="18">
        <v>150261</v>
      </c>
      <c r="F39" s="18">
        <v>10000</v>
      </c>
      <c r="G39" s="19">
        <f t="shared" si="3"/>
        <v>12500358</v>
      </c>
    </row>
    <row r="40" spans="1:7" s="20" customFormat="1" ht="14.25" thickBot="1">
      <c r="A40" s="18" t="s">
        <v>131</v>
      </c>
      <c r="B40" s="18" t="s">
        <v>152</v>
      </c>
      <c r="C40" s="18" t="s">
        <v>58</v>
      </c>
      <c r="D40" s="27">
        <v>86</v>
      </c>
      <c r="E40" s="18">
        <v>150261</v>
      </c>
      <c r="F40" s="18">
        <v>10000</v>
      </c>
      <c r="G40" s="19">
        <f t="shared" si="3"/>
        <v>13782446</v>
      </c>
    </row>
    <row r="41" spans="1:7" s="20" customFormat="1" ht="14.25" thickBot="1">
      <c r="A41" s="18" t="s">
        <v>131</v>
      </c>
      <c r="B41" s="18" t="s">
        <v>152</v>
      </c>
      <c r="C41" s="18" t="s">
        <v>59</v>
      </c>
      <c r="D41" s="27">
        <v>40</v>
      </c>
      <c r="E41" s="18">
        <v>150261</v>
      </c>
      <c r="F41" s="18">
        <v>10000</v>
      </c>
      <c r="G41" s="19">
        <f t="shared" si="3"/>
        <v>6410440</v>
      </c>
    </row>
    <row r="42" spans="1:7" s="20" customFormat="1" ht="14.25" thickBot="1">
      <c r="A42" s="18" t="s">
        <v>131</v>
      </c>
      <c r="B42" s="18" t="s">
        <v>152</v>
      </c>
      <c r="C42" s="18" t="s">
        <v>60</v>
      </c>
      <c r="D42" s="27">
        <v>48</v>
      </c>
      <c r="E42" s="18">
        <v>150261</v>
      </c>
      <c r="F42" s="18">
        <v>10000</v>
      </c>
      <c r="G42" s="19">
        <f t="shared" si="3"/>
        <v>7692528</v>
      </c>
    </row>
    <row r="43" spans="1:7" s="20" customFormat="1" ht="14.25" thickBot="1">
      <c r="A43" s="18" t="s">
        <v>131</v>
      </c>
      <c r="B43" s="18" t="s">
        <v>146</v>
      </c>
      <c r="C43" s="18" t="s">
        <v>157</v>
      </c>
      <c r="D43" s="26">
        <v>18</v>
      </c>
      <c r="E43" s="18">
        <v>150261</v>
      </c>
      <c r="F43" s="18">
        <v>10000</v>
      </c>
      <c r="G43" s="19">
        <f t="shared" si="3"/>
        <v>2884698</v>
      </c>
    </row>
    <row r="44" spans="1:7" s="20" customFormat="1" ht="14.25" thickBot="1">
      <c r="A44" s="18" t="s">
        <v>131</v>
      </c>
      <c r="B44" s="18" t="s">
        <v>148</v>
      </c>
      <c r="C44" s="18" t="s">
        <v>61</v>
      </c>
      <c r="D44" s="27">
        <v>58</v>
      </c>
      <c r="E44" s="18">
        <v>139020</v>
      </c>
      <c r="F44" s="18">
        <v>10000</v>
      </c>
      <c r="G44" s="19">
        <f t="shared" si="3"/>
        <v>8643160</v>
      </c>
    </row>
    <row r="45" spans="1:7" s="20" customFormat="1" ht="14.25" thickBot="1">
      <c r="A45" s="18" t="s">
        <v>131</v>
      </c>
      <c r="B45" s="18" t="s">
        <v>148</v>
      </c>
      <c r="C45" s="18" t="s">
        <v>62</v>
      </c>
      <c r="D45" s="27">
        <v>64</v>
      </c>
      <c r="E45" s="18">
        <v>139020</v>
      </c>
      <c r="F45" s="18">
        <v>10000</v>
      </c>
      <c r="G45" s="19">
        <f t="shared" si="3"/>
        <v>9537280</v>
      </c>
    </row>
    <row r="46" spans="1:7" s="20" customFormat="1" ht="14.25" thickBot="1">
      <c r="A46" s="18" t="s">
        <v>131</v>
      </c>
      <c r="B46" s="18" t="s">
        <v>148</v>
      </c>
      <c r="C46" s="18" t="s">
        <v>63</v>
      </c>
      <c r="D46" s="27">
        <v>11</v>
      </c>
      <c r="E46" s="18">
        <v>139020</v>
      </c>
      <c r="F46" s="18">
        <v>10000</v>
      </c>
      <c r="G46" s="19">
        <f t="shared" si="3"/>
        <v>1639220</v>
      </c>
    </row>
    <row r="47" spans="1:7" s="20" customFormat="1" ht="14.25" thickBot="1">
      <c r="A47" s="18" t="s">
        <v>131</v>
      </c>
      <c r="B47" s="18" t="s">
        <v>148</v>
      </c>
      <c r="C47" s="18" t="s">
        <v>64</v>
      </c>
      <c r="D47" s="27">
        <v>64</v>
      </c>
      <c r="E47" s="18">
        <v>139020</v>
      </c>
      <c r="F47" s="18">
        <v>10000</v>
      </c>
      <c r="G47" s="19">
        <f t="shared" si="3"/>
        <v>9537280</v>
      </c>
    </row>
    <row r="48" spans="1:7" s="20" customFormat="1" ht="14.25" thickBot="1">
      <c r="A48" s="18" t="s">
        <v>131</v>
      </c>
      <c r="B48" s="18" t="s">
        <v>148</v>
      </c>
      <c r="C48" s="18" t="s">
        <v>65</v>
      </c>
      <c r="D48" s="27">
        <v>30</v>
      </c>
      <c r="E48" s="18">
        <v>139020</v>
      </c>
      <c r="F48" s="18">
        <v>10000</v>
      </c>
      <c r="G48" s="19">
        <f t="shared" si="3"/>
        <v>4470600</v>
      </c>
    </row>
    <row r="49" spans="1:7" s="20" customFormat="1" ht="14.25" thickBot="1">
      <c r="A49" s="18" t="s">
        <v>131</v>
      </c>
      <c r="B49" s="18" t="s">
        <v>148</v>
      </c>
      <c r="C49" s="18" t="s">
        <v>66</v>
      </c>
      <c r="D49" s="27">
        <v>22</v>
      </c>
      <c r="E49" s="18">
        <v>139020</v>
      </c>
      <c r="F49" s="18">
        <v>10000</v>
      </c>
      <c r="G49" s="19">
        <f t="shared" si="3"/>
        <v>3278440</v>
      </c>
    </row>
    <row r="50" spans="1:7" s="20" customFormat="1" ht="14.25" thickBot="1">
      <c r="A50" s="18" t="s">
        <v>131</v>
      </c>
      <c r="B50" s="18" t="s">
        <v>148</v>
      </c>
      <c r="C50" s="18" t="s">
        <v>67</v>
      </c>
      <c r="D50" s="27">
        <v>41</v>
      </c>
      <c r="E50" s="18">
        <v>139020</v>
      </c>
      <c r="F50" s="18">
        <v>10000</v>
      </c>
      <c r="G50" s="19">
        <f t="shared" si="3"/>
        <v>6109820</v>
      </c>
    </row>
    <row r="51" spans="1:7" s="20" customFormat="1" ht="14.25" thickBot="1">
      <c r="A51" s="18" t="s">
        <v>131</v>
      </c>
      <c r="B51" s="18" t="s">
        <v>149</v>
      </c>
      <c r="C51" s="18" t="s">
        <v>68</v>
      </c>
      <c r="D51" s="27">
        <v>6</v>
      </c>
      <c r="E51" s="18">
        <v>137449</v>
      </c>
      <c r="F51" s="18">
        <v>10000</v>
      </c>
      <c r="G51" s="19">
        <f t="shared" si="3"/>
        <v>884694</v>
      </c>
    </row>
    <row r="52" spans="1:7" ht="14.25" thickBot="1">
      <c r="A52" s="16"/>
      <c r="B52" s="16" t="s">
        <v>158</v>
      </c>
      <c r="C52" s="16"/>
      <c r="D52" s="28">
        <f>SUM(D35:D51)</f>
        <v>881</v>
      </c>
      <c r="E52" s="16"/>
      <c r="F52" s="16"/>
      <c r="G52" s="17">
        <f>SUM(G35:G51)</f>
        <v>137853179</v>
      </c>
    </row>
    <row r="53" spans="1:7" s="20" customFormat="1" ht="14.25" thickBot="1">
      <c r="A53" s="18" t="s">
        <v>133</v>
      </c>
      <c r="B53" s="18" t="s">
        <v>151</v>
      </c>
      <c r="C53" s="18" t="s">
        <v>69</v>
      </c>
      <c r="D53" s="27">
        <v>67</v>
      </c>
      <c r="E53" s="18">
        <v>150261</v>
      </c>
      <c r="F53" s="18">
        <v>10000</v>
      </c>
      <c r="G53" s="19">
        <f>D53*(E53+F53)</f>
        <v>10737487</v>
      </c>
    </row>
    <row r="54" spans="1:7" s="20" customFormat="1" ht="14.25" thickBot="1">
      <c r="A54" s="18" t="s">
        <v>133</v>
      </c>
      <c r="B54" s="18" t="s">
        <v>151</v>
      </c>
      <c r="C54" s="18" t="s">
        <v>70</v>
      </c>
      <c r="D54" s="27">
        <v>67</v>
      </c>
      <c r="E54" s="18">
        <v>150261</v>
      </c>
      <c r="F54" s="18">
        <v>10000</v>
      </c>
      <c r="G54" s="19">
        <f t="shared" ref="G54:G70" si="4">D54*(E54+F54)</f>
        <v>10737487</v>
      </c>
    </row>
    <row r="55" spans="1:7" s="20" customFormat="1" ht="14.25" thickBot="1">
      <c r="A55" s="18" t="s">
        <v>133</v>
      </c>
      <c r="B55" s="18" t="s">
        <v>151</v>
      </c>
      <c r="C55" s="18" t="s">
        <v>71</v>
      </c>
      <c r="D55" s="27">
        <v>69</v>
      </c>
      <c r="E55" s="18">
        <v>150261</v>
      </c>
      <c r="F55" s="18">
        <v>10000</v>
      </c>
      <c r="G55" s="19">
        <f t="shared" si="4"/>
        <v>11058009</v>
      </c>
    </row>
    <row r="56" spans="1:7" s="20" customFormat="1" ht="14.25" thickBot="1">
      <c r="A56" s="18" t="s">
        <v>133</v>
      </c>
      <c r="B56" s="18" t="s">
        <v>151</v>
      </c>
      <c r="C56" s="18" t="s">
        <v>72</v>
      </c>
      <c r="D56" s="27">
        <v>66</v>
      </c>
      <c r="E56" s="18">
        <v>150261</v>
      </c>
      <c r="F56" s="18">
        <v>10000</v>
      </c>
      <c r="G56" s="19">
        <f t="shared" si="4"/>
        <v>10577226</v>
      </c>
    </row>
    <row r="57" spans="1:7" s="20" customFormat="1" ht="14.25" thickBot="1">
      <c r="A57" s="18" t="s">
        <v>133</v>
      </c>
      <c r="B57" s="18" t="s">
        <v>152</v>
      </c>
      <c r="C57" s="18" t="s">
        <v>73</v>
      </c>
      <c r="D57" s="27">
        <v>75</v>
      </c>
      <c r="E57" s="18">
        <v>150261</v>
      </c>
      <c r="F57" s="18">
        <v>10000</v>
      </c>
      <c r="G57" s="19">
        <f t="shared" si="4"/>
        <v>12019575</v>
      </c>
    </row>
    <row r="58" spans="1:7" s="20" customFormat="1" ht="14.25" thickBot="1">
      <c r="A58" s="18" t="s">
        <v>133</v>
      </c>
      <c r="B58" s="18" t="s">
        <v>152</v>
      </c>
      <c r="C58" s="18" t="s">
        <v>74</v>
      </c>
      <c r="D58" s="27">
        <v>67</v>
      </c>
      <c r="E58" s="18">
        <v>150261</v>
      </c>
      <c r="F58" s="18">
        <v>10000</v>
      </c>
      <c r="G58" s="19">
        <f t="shared" si="4"/>
        <v>10737487</v>
      </c>
    </row>
    <row r="59" spans="1:7" s="20" customFormat="1" ht="14.25" thickBot="1">
      <c r="A59" s="18" t="s">
        <v>133</v>
      </c>
      <c r="B59" s="18" t="s">
        <v>152</v>
      </c>
      <c r="C59" s="18" t="s">
        <v>75</v>
      </c>
      <c r="D59" s="27">
        <v>117</v>
      </c>
      <c r="E59" s="18">
        <v>150261</v>
      </c>
      <c r="F59" s="18">
        <v>10000</v>
      </c>
      <c r="G59" s="19">
        <f t="shared" si="4"/>
        <v>18750537</v>
      </c>
    </row>
    <row r="60" spans="1:7" s="20" customFormat="1" ht="14.25" thickBot="1">
      <c r="A60" s="18" t="s">
        <v>133</v>
      </c>
      <c r="B60" s="18" t="s">
        <v>146</v>
      </c>
      <c r="C60" s="18" t="s">
        <v>159</v>
      </c>
      <c r="D60" s="26">
        <v>18</v>
      </c>
      <c r="E60" s="18">
        <v>150261</v>
      </c>
      <c r="F60" s="18">
        <v>10000</v>
      </c>
      <c r="G60" s="19">
        <f t="shared" si="4"/>
        <v>2884698</v>
      </c>
    </row>
    <row r="61" spans="1:7" s="20" customFormat="1" ht="14.25" thickBot="1">
      <c r="A61" s="18" t="s">
        <v>133</v>
      </c>
      <c r="B61" s="18" t="s">
        <v>152</v>
      </c>
      <c r="C61" s="18" t="s">
        <v>76</v>
      </c>
      <c r="D61" s="27">
        <v>86</v>
      </c>
      <c r="E61" s="18">
        <v>150261</v>
      </c>
      <c r="F61" s="18">
        <v>10000</v>
      </c>
      <c r="G61" s="19">
        <f t="shared" si="4"/>
        <v>13782446</v>
      </c>
    </row>
    <row r="62" spans="1:7" s="20" customFormat="1" ht="14.25" thickBot="1">
      <c r="A62" s="18" t="s">
        <v>133</v>
      </c>
      <c r="B62" s="18" t="s">
        <v>148</v>
      </c>
      <c r="C62" s="18" t="s">
        <v>77</v>
      </c>
      <c r="D62" s="27">
        <v>58</v>
      </c>
      <c r="E62" s="18">
        <v>139020</v>
      </c>
      <c r="F62" s="18">
        <v>10000</v>
      </c>
      <c r="G62" s="19">
        <f t="shared" si="4"/>
        <v>8643160</v>
      </c>
    </row>
    <row r="63" spans="1:7" s="20" customFormat="1" ht="14.25" thickBot="1">
      <c r="A63" s="18" t="s">
        <v>133</v>
      </c>
      <c r="B63" s="18" t="s">
        <v>148</v>
      </c>
      <c r="C63" s="18" t="s">
        <v>78</v>
      </c>
      <c r="D63" s="27">
        <v>47</v>
      </c>
      <c r="E63" s="18">
        <v>139020</v>
      </c>
      <c r="F63" s="18">
        <v>10000</v>
      </c>
      <c r="G63" s="19">
        <f t="shared" si="4"/>
        <v>7003940</v>
      </c>
    </row>
    <row r="64" spans="1:7" s="20" customFormat="1" ht="14.25" thickBot="1">
      <c r="A64" s="18" t="s">
        <v>133</v>
      </c>
      <c r="B64" s="18" t="s">
        <v>148</v>
      </c>
      <c r="C64" s="18" t="s">
        <v>79</v>
      </c>
      <c r="D64" s="26">
        <v>60</v>
      </c>
      <c r="E64" s="18">
        <v>139020</v>
      </c>
      <c r="F64" s="18">
        <v>10000</v>
      </c>
      <c r="G64" s="19">
        <f t="shared" si="4"/>
        <v>8941200</v>
      </c>
    </row>
    <row r="65" spans="1:7" s="20" customFormat="1" ht="14.25" thickBot="1">
      <c r="A65" s="18" t="s">
        <v>133</v>
      </c>
      <c r="B65" s="18" t="s">
        <v>148</v>
      </c>
      <c r="C65" s="18" t="s">
        <v>80</v>
      </c>
      <c r="D65" s="27">
        <v>51</v>
      </c>
      <c r="E65" s="18">
        <v>139020</v>
      </c>
      <c r="F65" s="18">
        <v>10000</v>
      </c>
      <c r="G65" s="19">
        <f t="shared" si="4"/>
        <v>7600020</v>
      </c>
    </row>
    <row r="66" spans="1:7" s="20" customFormat="1" ht="14.25" thickBot="1">
      <c r="A66" s="18" t="s">
        <v>133</v>
      </c>
      <c r="B66" s="18" t="s">
        <v>148</v>
      </c>
      <c r="C66" s="18" t="s">
        <v>81</v>
      </c>
      <c r="D66" s="27">
        <v>25</v>
      </c>
      <c r="E66" s="18">
        <v>139020</v>
      </c>
      <c r="F66" s="18">
        <v>10000</v>
      </c>
      <c r="G66" s="19">
        <f t="shared" si="4"/>
        <v>3725500</v>
      </c>
    </row>
    <row r="67" spans="1:7" s="20" customFormat="1" ht="14.25" thickBot="1">
      <c r="A67" s="18" t="s">
        <v>133</v>
      </c>
      <c r="B67" s="18" t="s">
        <v>148</v>
      </c>
      <c r="C67" s="18" t="s">
        <v>82</v>
      </c>
      <c r="D67" s="27">
        <v>23</v>
      </c>
      <c r="E67" s="18">
        <v>139020</v>
      </c>
      <c r="F67" s="18">
        <v>10000</v>
      </c>
      <c r="G67" s="19">
        <f t="shared" si="4"/>
        <v>3427460</v>
      </c>
    </row>
    <row r="68" spans="1:7" s="20" customFormat="1" ht="14.25" thickBot="1">
      <c r="A68" s="18" t="s">
        <v>133</v>
      </c>
      <c r="B68" s="18" t="s">
        <v>148</v>
      </c>
      <c r="C68" s="18" t="s">
        <v>83</v>
      </c>
      <c r="D68" s="27">
        <v>35</v>
      </c>
      <c r="E68" s="18">
        <v>139020</v>
      </c>
      <c r="F68" s="18">
        <v>10000</v>
      </c>
      <c r="G68" s="19">
        <f t="shared" si="4"/>
        <v>5215700</v>
      </c>
    </row>
    <row r="69" spans="1:7" s="20" customFormat="1" ht="14.25" thickBot="1">
      <c r="A69" s="18" t="s">
        <v>133</v>
      </c>
      <c r="B69" s="18" t="s">
        <v>148</v>
      </c>
      <c r="C69" s="18" t="s">
        <v>160</v>
      </c>
      <c r="D69" s="27">
        <v>7</v>
      </c>
      <c r="E69" s="18">
        <v>139020</v>
      </c>
      <c r="F69" s="18">
        <v>10000</v>
      </c>
      <c r="G69" s="19">
        <f t="shared" si="4"/>
        <v>1043140</v>
      </c>
    </row>
    <row r="70" spans="1:7" s="20" customFormat="1" ht="14.25" thickBot="1">
      <c r="A70" s="18" t="s">
        <v>133</v>
      </c>
      <c r="B70" s="18" t="s">
        <v>149</v>
      </c>
      <c r="C70" s="18" t="s">
        <v>84</v>
      </c>
      <c r="D70" s="27">
        <v>4</v>
      </c>
      <c r="E70" s="18">
        <v>137449</v>
      </c>
      <c r="F70" s="18">
        <v>10000</v>
      </c>
      <c r="G70" s="19">
        <f t="shared" si="4"/>
        <v>589796</v>
      </c>
    </row>
    <row r="71" spans="1:7" ht="14.25" thickBot="1">
      <c r="A71" s="16"/>
      <c r="B71" s="16" t="s">
        <v>161</v>
      </c>
      <c r="C71" s="16"/>
      <c r="D71" s="28">
        <f>SUM(D53:D70)</f>
        <v>942</v>
      </c>
      <c r="E71" s="16"/>
      <c r="F71" s="16"/>
      <c r="G71" s="17">
        <f>SUM(G53:G70)</f>
        <v>147474868</v>
      </c>
    </row>
    <row r="72" spans="1:7" s="20" customFormat="1" ht="14.25" thickBot="1">
      <c r="A72" s="18" t="s">
        <v>132</v>
      </c>
      <c r="B72" s="18" t="s">
        <v>151</v>
      </c>
      <c r="C72" s="18" t="s">
        <v>85</v>
      </c>
      <c r="D72" s="27">
        <v>75</v>
      </c>
      <c r="E72" s="18">
        <v>150261</v>
      </c>
      <c r="F72" s="18">
        <v>10000</v>
      </c>
      <c r="G72" s="19">
        <f>D72*(E72+F72)</f>
        <v>12019575</v>
      </c>
    </row>
    <row r="73" spans="1:7" s="20" customFormat="1" ht="14.25" thickBot="1">
      <c r="A73" s="18" t="s">
        <v>132</v>
      </c>
      <c r="B73" s="18" t="s">
        <v>146</v>
      </c>
      <c r="C73" s="18" t="s">
        <v>86</v>
      </c>
      <c r="D73" s="26">
        <v>175</v>
      </c>
      <c r="E73" s="18">
        <v>150261</v>
      </c>
      <c r="F73" s="18">
        <v>10000</v>
      </c>
      <c r="G73" s="19">
        <f t="shared" ref="G73:G83" si="5">D73*(E73+F73)</f>
        <v>28045675</v>
      </c>
    </row>
    <row r="74" spans="1:7" s="20" customFormat="1" ht="14.25" thickBot="1">
      <c r="A74" s="18" t="s">
        <v>132</v>
      </c>
      <c r="B74" s="18" t="s">
        <v>152</v>
      </c>
      <c r="C74" s="18" t="s">
        <v>87</v>
      </c>
      <c r="D74" s="27">
        <v>75</v>
      </c>
      <c r="E74" s="18">
        <v>150261</v>
      </c>
      <c r="F74" s="18">
        <v>10000</v>
      </c>
      <c r="G74" s="19">
        <f t="shared" si="5"/>
        <v>12019575</v>
      </c>
    </row>
    <row r="75" spans="1:7" s="20" customFormat="1" ht="14.25" thickBot="1">
      <c r="A75" s="18" t="s">
        <v>132</v>
      </c>
      <c r="B75" s="18" t="s">
        <v>152</v>
      </c>
      <c r="C75" s="18" t="s">
        <v>88</v>
      </c>
      <c r="D75" s="27">
        <v>94</v>
      </c>
      <c r="E75" s="18">
        <v>150261</v>
      </c>
      <c r="F75" s="18">
        <v>10000</v>
      </c>
      <c r="G75" s="19">
        <f t="shared" si="5"/>
        <v>15064534</v>
      </c>
    </row>
    <row r="76" spans="1:7" s="20" customFormat="1" ht="14.25" thickBot="1">
      <c r="A76" s="18" t="s">
        <v>132</v>
      </c>
      <c r="B76" s="18" t="s">
        <v>148</v>
      </c>
      <c r="C76" s="18" t="s">
        <v>89</v>
      </c>
      <c r="D76" s="27">
        <v>29</v>
      </c>
      <c r="E76" s="18">
        <v>139020</v>
      </c>
      <c r="F76" s="18">
        <v>10000</v>
      </c>
      <c r="G76" s="19">
        <f t="shared" si="5"/>
        <v>4321580</v>
      </c>
    </row>
    <row r="77" spans="1:7" s="20" customFormat="1" ht="14.25" thickBot="1">
      <c r="A77" s="18" t="s">
        <v>132</v>
      </c>
      <c r="B77" s="18" t="s">
        <v>148</v>
      </c>
      <c r="C77" s="18" t="s">
        <v>90</v>
      </c>
      <c r="D77" s="27">
        <v>23</v>
      </c>
      <c r="E77" s="18">
        <v>139020</v>
      </c>
      <c r="F77" s="18">
        <v>10000</v>
      </c>
      <c r="G77" s="19">
        <f t="shared" si="5"/>
        <v>3427460</v>
      </c>
    </row>
    <row r="78" spans="1:7" s="20" customFormat="1" ht="14.25" thickBot="1">
      <c r="A78" s="18" t="s">
        <v>132</v>
      </c>
      <c r="B78" s="18" t="s">
        <v>148</v>
      </c>
      <c r="C78" s="18" t="s">
        <v>91</v>
      </c>
      <c r="D78" s="27">
        <v>27</v>
      </c>
      <c r="E78" s="18">
        <v>139020</v>
      </c>
      <c r="F78" s="18">
        <v>10000</v>
      </c>
      <c r="G78" s="19">
        <f t="shared" si="5"/>
        <v>4023540</v>
      </c>
    </row>
    <row r="79" spans="1:7" s="20" customFormat="1" ht="14.25" thickBot="1">
      <c r="A79" s="18" t="s">
        <v>132</v>
      </c>
      <c r="B79" s="18" t="s">
        <v>148</v>
      </c>
      <c r="C79" s="18" t="s">
        <v>92</v>
      </c>
      <c r="D79" s="27">
        <v>48</v>
      </c>
      <c r="E79" s="18">
        <v>139020</v>
      </c>
      <c r="F79" s="18">
        <v>10000</v>
      </c>
      <c r="G79" s="19">
        <f t="shared" si="5"/>
        <v>7152960</v>
      </c>
    </row>
    <row r="80" spans="1:7" s="20" customFormat="1" ht="14.25" thickBot="1">
      <c r="A80" s="18" t="s">
        <v>132</v>
      </c>
      <c r="B80" s="18" t="s">
        <v>148</v>
      </c>
      <c r="C80" s="18" t="s">
        <v>93</v>
      </c>
      <c r="D80" s="27">
        <v>24</v>
      </c>
      <c r="E80" s="18">
        <v>139020</v>
      </c>
      <c r="F80" s="18">
        <v>10000</v>
      </c>
      <c r="G80" s="19">
        <f t="shared" si="5"/>
        <v>3576480</v>
      </c>
    </row>
    <row r="81" spans="1:7" s="20" customFormat="1" ht="14.25" thickBot="1">
      <c r="A81" s="18" t="s">
        <v>132</v>
      </c>
      <c r="B81" s="18" t="s">
        <v>148</v>
      </c>
      <c r="C81" s="18" t="s">
        <v>94</v>
      </c>
      <c r="D81" s="27">
        <v>16</v>
      </c>
      <c r="E81" s="18">
        <v>139020</v>
      </c>
      <c r="F81" s="18">
        <v>10000</v>
      </c>
      <c r="G81" s="19">
        <f t="shared" si="5"/>
        <v>2384320</v>
      </c>
    </row>
    <row r="82" spans="1:7" s="20" customFormat="1" ht="14.25" thickBot="1">
      <c r="A82" s="18" t="s">
        <v>132</v>
      </c>
      <c r="B82" s="18" t="s">
        <v>148</v>
      </c>
      <c r="C82" s="18" t="s">
        <v>162</v>
      </c>
      <c r="D82" s="27">
        <v>5</v>
      </c>
      <c r="E82" s="18">
        <v>139020</v>
      </c>
      <c r="F82" s="18">
        <v>10000</v>
      </c>
      <c r="G82" s="19">
        <f t="shared" si="5"/>
        <v>745100</v>
      </c>
    </row>
    <row r="83" spans="1:7" s="20" customFormat="1" ht="14.25" thickBot="1">
      <c r="A83" s="18" t="s">
        <v>132</v>
      </c>
      <c r="B83" s="18" t="s">
        <v>149</v>
      </c>
      <c r="C83" s="18" t="s">
        <v>95</v>
      </c>
      <c r="D83" s="27">
        <v>9</v>
      </c>
      <c r="E83" s="18">
        <v>137449</v>
      </c>
      <c r="F83" s="18">
        <v>10000</v>
      </c>
      <c r="G83" s="19">
        <f t="shared" si="5"/>
        <v>1327041</v>
      </c>
    </row>
    <row r="84" spans="1:7" ht="14.25" thickBot="1">
      <c r="A84" s="16"/>
      <c r="B84" s="16" t="s">
        <v>96</v>
      </c>
      <c r="C84" s="16"/>
      <c r="D84" s="28">
        <f>SUM(D72:D83)</f>
        <v>600</v>
      </c>
      <c r="E84" s="16"/>
      <c r="F84" s="16"/>
      <c r="G84" s="16">
        <f>SUM(G72:G83)</f>
        <v>94107840</v>
      </c>
    </row>
    <row r="85" spans="1:7" s="20" customFormat="1" ht="14.25" thickBot="1">
      <c r="A85" s="18" t="s">
        <v>163</v>
      </c>
      <c r="B85" s="18" t="s">
        <v>146</v>
      </c>
      <c r="C85" s="18" t="s">
        <v>97</v>
      </c>
      <c r="D85" s="26">
        <v>122</v>
      </c>
      <c r="E85" s="18">
        <v>150261</v>
      </c>
      <c r="F85" s="18">
        <v>10000</v>
      </c>
      <c r="G85" s="19">
        <f>D85*(E85+F85)</f>
        <v>19551842</v>
      </c>
    </row>
    <row r="86" spans="1:7" s="20" customFormat="1" ht="14.25" thickBot="1">
      <c r="A86" s="18" t="s">
        <v>163</v>
      </c>
      <c r="B86" s="18" t="s">
        <v>146</v>
      </c>
      <c r="C86" s="18" t="s">
        <v>164</v>
      </c>
      <c r="D86" s="26">
        <v>149</v>
      </c>
      <c r="E86" s="18">
        <v>150261</v>
      </c>
      <c r="F86" s="18">
        <v>10000</v>
      </c>
      <c r="G86" s="19">
        <f t="shared" ref="G86:G92" si="6">D86*(E86+F86)</f>
        <v>23878889</v>
      </c>
    </row>
    <row r="87" spans="1:7" s="20" customFormat="1" ht="14.25" thickBot="1">
      <c r="A87" s="18" t="s">
        <v>163</v>
      </c>
      <c r="B87" s="18" t="s">
        <v>146</v>
      </c>
      <c r="C87" s="18" t="s">
        <v>165</v>
      </c>
      <c r="D87" s="26">
        <v>150</v>
      </c>
      <c r="E87" s="18">
        <v>150261</v>
      </c>
      <c r="F87" s="18">
        <v>10000</v>
      </c>
      <c r="G87" s="19">
        <f t="shared" si="6"/>
        <v>24039150</v>
      </c>
    </row>
    <row r="88" spans="1:7" s="20" customFormat="1" ht="14.25" thickBot="1">
      <c r="A88" s="18" t="s">
        <v>163</v>
      </c>
      <c r="B88" s="18" t="s">
        <v>148</v>
      </c>
      <c r="C88" s="18" t="s">
        <v>98</v>
      </c>
      <c r="D88" s="27">
        <v>41</v>
      </c>
      <c r="E88" s="18">
        <v>139020</v>
      </c>
      <c r="F88" s="18">
        <v>10000</v>
      </c>
      <c r="G88" s="19">
        <f t="shared" si="6"/>
        <v>6109820</v>
      </c>
    </row>
    <row r="89" spans="1:7" s="20" customFormat="1" ht="14.25" thickBot="1">
      <c r="A89" s="18" t="s">
        <v>163</v>
      </c>
      <c r="B89" s="18" t="s">
        <v>148</v>
      </c>
      <c r="C89" s="18" t="s">
        <v>99</v>
      </c>
      <c r="D89" s="27">
        <v>57</v>
      </c>
      <c r="E89" s="18">
        <v>139020</v>
      </c>
      <c r="F89" s="18">
        <v>10000</v>
      </c>
      <c r="G89" s="19">
        <f t="shared" si="6"/>
        <v>8494140</v>
      </c>
    </row>
    <row r="90" spans="1:7" s="20" customFormat="1" ht="14.25" thickBot="1">
      <c r="A90" s="18" t="s">
        <v>163</v>
      </c>
      <c r="B90" s="18" t="s">
        <v>148</v>
      </c>
      <c r="C90" s="18" t="s">
        <v>100</v>
      </c>
      <c r="D90" s="27">
        <v>29</v>
      </c>
      <c r="E90" s="18">
        <v>139020</v>
      </c>
      <c r="F90" s="18">
        <v>10000</v>
      </c>
      <c r="G90" s="19">
        <f t="shared" si="6"/>
        <v>4321580</v>
      </c>
    </row>
    <row r="91" spans="1:7" s="20" customFormat="1" ht="14.25" thickBot="1">
      <c r="A91" s="18" t="s">
        <v>163</v>
      </c>
      <c r="B91" s="18" t="s">
        <v>148</v>
      </c>
      <c r="C91" s="18" t="s">
        <v>101</v>
      </c>
      <c r="D91" s="27">
        <v>43</v>
      </c>
      <c r="E91" s="18">
        <v>139020</v>
      </c>
      <c r="F91" s="18">
        <v>10000</v>
      </c>
      <c r="G91" s="19">
        <f t="shared" si="6"/>
        <v>6407860</v>
      </c>
    </row>
    <row r="92" spans="1:7" s="20" customFormat="1" ht="14.25" thickBot="1">
      <c r="A92" s="18" t="s">
        <v>163</v>
      </c>
      <c r="B92" s="18" t="s">
        <v>149</v>
      </c>
      <c r="C92" s="18" t="s">
        <v>102</v>
      </c>
      <c r="D92" s="27">
        <v>7</v>
      </c>
      <c r="E92" s="18">
        <v>137449</v>
      </c>
      <c r="F92" s="18">
        <v>10000</v>
      </c>
      <c r="G92" s="19">
        <f t="shared" si="6"/>
        <v>1032143</v>
      </c>
    </row>
    <row r="93" spans="1:7" ht="14.25" thickBot="1">
      <c r="A93" s="16"/>
      <c r="B93" s="16" t="s">
        <v>103</v>
      </c>
      <c r="C93" s="16"/>
      <c r="D93" s="28">
        <f>SUM(D85:D92)</f>
        <v>598</v>
      </c>
      <c r="E93" s="16"/>
      <c r="F93" s="16"/>
      <c r="G93" s="16">
        <f>SUM(G85:G92)</f>
        <v>93835424</v>
      </c>
    </row>
    <row r="94" spans="1:7" s="20" customFormat="1" ht="14.25" thickBot="1">
      <c r="A94" s="18" t="s">
        <v>166</v>
      </c>
      <c r="B94" s="18" t="s">
        <v>151</v>
      </c>
      <c r="C94" s="18" t="s">
        <v>104</v>
      </c>
      <c r="D94" s="27">
        <v>122</v>
      </c>
      <c r="E94" s="18">
        <v>150261</v>
      </c>
      <c r="F94" s="18">
        <v>10000</v>
      </c>
      <c r="G94" s="19">
        <f>D94*(E94+F94)</f>
        <v>19551842</v>
      </c>
    </row>
    <row r="95" spans="1:7" s="20" customFormat="1" ht="14.25" thickBot="1">
      <c r="A95" s="18" t="s">
        <v>166</v>
      </c>
      <c r="B95" s="18" t="s">
        <v>151</v>
      </c>
      <c r="C95" s="18" t="s">
        <v>105</v>
      </c>
      <c r="D95" s="26">
        <v>70</v>
      </c>
      <c r="E95" s="18">
        <v>150261</v>
      </c>
      <c r="F95" s="18">
        <v>10000</v>
      </c>
      <c r="G95" s="19">
        <f t="shared" ref="G95:G107" si="7">D95*(E95+F95)</f>
        <v>11218270</v>
      </c>
    </row>
    <row r="96" spans="1:7" s="20" customFormat="1" ht="14.25" thickBot="1">
      <c r="A96" s="18" t="s">
        <v>166</v>
      </c>
      <c r="B96" s="18" t="s">
        <v>151</v>
      </c>
      <c r="C96" s="18" t="s">
        <v>106</v>
      </c>
      <c r="D96" s="27">
        <v>35</v>
      </c>
      <c r="E96" s="18">
        <v>150261</v>
      </c>
      <c r="F96" s="18">
        <v>10000</v>
      </c>
      <c r="G96" s="19">
        <f t="shared" si="7"/>
        <v>5609135</v>
      </c>
    </row>
    <row r="97" spans="1:7" s="20" customFormat="1" ht="14.25" thickBot="1">
      <c r="A97" s="18" t="s">
        <v>166</v>
      </c>
      <c r="B97" s="18" t="s">
        <v>146</v>
      </c>
      <c r="C97" s="18" t="s">
        <v>167</v>
      </c>
      <c r="D97" s="26">
        <v>150</v>
      </c>
      <c r="E97" s="18">
        <v>150261</v>
      </c>
      <c r="F97" s="18">
        <v>10000</v>
      </c>
      <c r="G97" s="19">
        <f t="shared" si="7"/>
        <v>24039150</v>
      </c>
    </row>
    <row r="98" spans="1:7" s="20" customFormat="1" ht="14.25" thickBot="1">
      <c r="A98" s="18" t="s">
        <v>166</v>
      </c>
      <c r="B98" s="18" t="s">
        <v>152</v>
      </c>
      <c r="C98" s="18" t="s">
        <v>107</v>
      </c>
      <c r="D98" s="27">
        <v>84</v>
      </c>
      <c r="E98" s="18">
        <v>150261</v>
      </c>
      <c r="F98" s="18">
        <v>10000</v>
      </c>
      <c r="G98" s="19">
        <f t="shared" si="7"/>
        <v>13461924</v>
      </c>
    </row>
    <row r="99" spans="1:7" s="20" customFormat="1" ht="14.25" thickBot="1">
      <c r="A99" s="18" t="s">
        <v>166</v>
      </c>
      <c r="B99" s="18" t="s">
        <v>152</v>
      </c>
      <c r="C99" s="18" t="s">
        <v>108</v>
      </c>
      <c r="D99" s="27">
        <v>198</v>
      </c>
      <c r="E99" s="18">
        <v>150261</v>
      </c>
      <c r="F99" s="18">
        <v>10000</v>
      </c>
      <c r="G99" s="19">
        <f t="shared" si="7"/>
        <v>31731678</v>
      </c>
    </row>
    <row r="100" spans="1:7" s="20" customFormat="1" ht="14.25" thickBot="1">
      <c r="A100" s="18" t="s">
        <v>166</v>
      </c>
      <c r="B100" s="18" t="s">
        <v>152</v>
      </c>
      <c r="C100" s="18" t="s">
        <v>109</v>
      </c>
      <c r="D100" s="27">
        <v>94</v>
      </c>
      <c r="E100" s="18">
        <v>150261</v>
      </c>
      <c r="F100" s="18">
        <v>10000</v>
      </c>
      <c r="G100" s="19">
        <f t="shared" si="7"/>
        <v>15064534</v>
      </c>
    </row>
    <row r="101" spans="1:7" s="20" customFormat="1" ht="14.25" thickBot="1">
      <c r="A101" s="18" t="s">
        <v>166</v>
      </c>
      <c r="B101" s="18" t="s">
        <v>152</v>
      </c>
      <c r="C101" s="18" t="s">
        <v>110</v>
      </c>
      <c r="D101" s="27">
        <v>33</v>
      </c>
      <c r="E101" s="18">
        <v>150261</v>
      </c>
      <c r="F101" s="18">
        <v>10000</v>
      </c>
      <c r="G101" s="19">
        <f t="shared" si="7"/>
        <v>5288613</v>
      </c>
    </row>
    <row r="102" spans="1:7" s="20" customFormat="1" ht="14.25" thickBot="1">
      <c r="A102" s="18" t="s">
        <v>166</v>
      </c>
      <c r="B102" s="18" t="s">
        <v>148</v>
      </c>
      <c r="C102" s="18" t="s">
        <v>111</v>
      </c>
      <c r="D102" s="27">
        <v>51</v>
      </c>
      <c r="E102" s="18">
        <v>139020</v>
      </c>
      <c r="F102" s="18">
        <v>10000</v>
      </c>
      <c r="G102" s="19">
        <f t="shared" si="7"/>
        <v>7600020</v>
      </c>
    </row>
    <row r="103" spans="1:7" s="20" customFormat="1" ht="14.25" thickBot="1">
      <c r="A103" s="18" t="s">
        <v>166</v>
      </c>
      <c r="B103" s="18" t="s">
        <v>148</v>
      </c>
      <c r="C103" s="18" t="s">
        <v>112</v>
      </c>
      <c r="D103" s="27">
        <v>53</v>
      </c>
      <c r="E103" s="18">
        <v>139020</v>
      </c>
      <c r="F103" s="18">
        <v>10000</v>
      </c>
      <c r="G103" s="19">
        <f t="shared" si="7"/>
        <v>7898060</v>
      </c>
    </row>
    <row r="104" spans="1:7" s="20" customFormat="1" ht="14.25" thickBot="1">
      <c r="A104" s="18" t="s">
        <v>166</v>
      </c>
      <c r="B104" s="18" t="s">
        <v>148</v>
      </c>
      <c r="C104" s="18" t="s">
        <v>113</v>
      </c>
      <c r="D104" s="27">
        <v>39</v>
      </c>
      <c r="E104" s="18">
        <v>139020</v>
      </c>
      <c r="F104" s="18">
        <v>10000</v>
      </c>
      <c r="G104" s="19">
        <f t="shared" si="7"/>
        <v>5811780</v>
      </c>
    </row>
    <row r="105" spans="1:7" s="20" customFormat="1" ht="14.25" thickBot="1">
      <c r="A105" s="18" t="s">
        <v>166</v>
      </c>
      <c r="B105" s="18" t="s">
        <v>148</v>
      </c>
      <c r="C105" s="18" t="s">
        <v>114</v>
      </c>
      <c r="D105" s="27">
        <v>43</v>
      </c>
      <c r="E105" s="18">
        <v>139020</v>
      </c>
      <c r="F105" s="18">
        <v>10000</v>
      </c>
      <c r="G105" s="19">
        <f t="shared" si="7"/>
        <v>6407860</v>
      </c>
    </row>
    <row r="106" spans="1:7" s="20" customFormat="1" ht="14.25" thickBot="1">
      <c r="A106" s="18" t="s">
        <v>166</v>
      </c>
      <c r="B106" s="18" t="s">
        <v>148</v>
      </c>
      <c r="C106" s="18" t="s">
        <v>115</v>
      </c>
      <c r="D106" s="27">
        <v>31</v>
      </c>
      <c r="E106" s="18">
        <v>139020</v>
      </c>
      <c r="F106" s="18">
        <v>10000</v>
      </c>
      <c r="G106" s="19">
        <f t="shared" si="7"/>
        <v>4619620</v>
      </c>
    </row>
    <row r="107" spans="1:7" s="20" customFormat="1" ht="14.25" thickBot="1">
      <c r="A107" s="18" t="s">
        <v>166</v>
      </c>
      <c r="B107" s="18" t="s">
        <v>149</v>
      </c>
      <c r="C107" s="18" t="s">
        <v>116</v>
      </c>
      <c r="D107" s="27">
        <v>5</v>
      </c>
      <c r="E107" s="18">
        <v>137449</v>
      </c>
      <c r="F107" s="18">
        <v>10000</v>
      </c>
      <c r="G107" s="19">
        <f t="shared" si="7"/>
        <v>737245</v>
      </c>
    </row>
    <row r="108" spans="1:7" ht="14.25" thickBot="1">
      <c r="A108" s="16"/>
      <c r="B108" s="16" t="s">
        <v>168</v>
      </c>
      <c r="C108" s="16"/>
      <c r="D108" s="28">
        <f>SUM(D94:D107)</f>
        <v>1008</v>
      </c>
      <c r="E108" s="16"/>
      <c r="F108" s="16"/>
      <c r="G108" s="17">
        <f>SUM(G94:G107)</f>
        <v>159039731</v>
      </c>
    </row>
    <row r="109" spans="1:7" s="20" customFormat="1" ht="14.25" thickBot="1">
      <c r="A109" s="18" t="s">
        <v>117</v>
      </c>
      <c r="B109" s="18" t="s">
        <v>151</v>
      </c>
      <c r="C109" s="18" t="s">
        <v>118</v>
      </c>
      <c r="D109" s="27">
        <v>85</v>
      </c>
      <c r="E109" s="18">
        <v>150261</v>
      </c>
      <c r="F109" s="18">
        <v>10000</v>
      </c>
      <c r="G109" s="19">
        <f>D109*(E109+F109)</f>
        <v>13622185</v>
      </c>
    </row>
    <row r="110" spans="1:7" s="20" customFormat="1" ht="14.25" thickBot="1">
      <c r="A110" s="18" t="s">
        <v>117</v>
      </c>
      <c r="B110" s="18" t="s">
        <v>151</v>
      </c>
      <c r="C110" s="18" t="s">
        <v>119</v>
      </c>
      <c r="D110" s="27">
        <v>64</v>
      </c>
      <c r="E110" s="18">
        <v>150261</v>
      </c>
      <c r="F110" s="18">
        <v>10000</v>
      </c>
      <c r="G110" s="19">
        <f t="shared" ref="G110:G118" si="8">D110*(E110+F110)</f>
        <v>10256704</v>
      </c>
    </row>
    <row r="111" spans="1:7" s="20" customFormat="1" ht="14.25" thickBot="1">
      <c r="A111" s="18" t="s">
        <v>117</v>
      </c>
      <c r="B111" s="18" t="s">
        <v>146</v>
      </c>
      <c r="C111" s="18" t="s">
        <v>169</v>
      </c>
      <c r="D111" s="26">
        <v>118</v>
      </c>
      <c r="E111" s="18">
        <v>150261</v>
      </c>
      <c r="F111" s="18">
        <v>10000</v>
      </c>
      <c r="G111" s="19">
        <f t="shared" si="8"/>
        <v>18910798</v>
      </c>
    </row>
    <row r="112" spans="1:7" s="20" customFormat="1" ht="14.25" thickBot="1">
      <c r="A112" s="18" t="s">
        <v>117</v>
      </c>
      <c r="B112" s="18" t="s">
        <v>152</v>
      </c>
      <c r="C112" s="18" t="s">
        <v>120</v>
      </c>
      <c r="D112" s="27">
        <v>86</v>
      </c>
      <c r="E112" s="18">
        <v>150261</v>
      </c>
      <c r="F112" s="18">
        <v>10000</v>
      </c>
      <c r="G112" s="19">
        <f t="shared" si="8"/>
        <v>13782446</v>
      </c>
    </row>
    <row r="113" spans="1:7" s="20" customFormat="1" ht="14.25" thickBot="1">
      <c r="A113" s="18" t="s">
        <v>117</v>
      </c>
      <c r="B113" s="18" t="s">
        <v>152</v>
      </c>
      <c r="C113" s="18" t="s">
        <v>121</v>
      </c>
      <c r="D113" s="27">
        <v>65</v>
      </c>
      <c r="E113" s="18">
        <v>150261</v>
      </c>
      <c r="F113" s="18">
        <v>10000</v>
      </c>
      <c r="G113" s="19">
        <f t="shared" si="8"/>
        <v>10416965</v>
      </c>
    </row>
    <row r="114" spans="1:7" s="20" customFormat="1" ht="14.25" thickBot="1">
      <c r="A114" s="18" t="s">
        <v>117</v>
      </c>
      <c r="B114" s="18" t="s">
        <v>148</v>
      </c>
      <c r="C114" s="18" t="s">
        <v>122</v>
      </c>
      <c r="D114" s="27">
        <v>52</v>
      </c>
      <c r="E114" s="18">
        <v>139020</v>
      </c>
      <c r="F114" s="18">
        <v>10000</v>
      </c>
      <c r="G114" s="19">
        <f t="shared" si="8"/>
        <v>7749040</v>
      </c>
    </row>
    <row r="115" spans="1:7" s="20" customFormat="1" ht="14.25" thickBot="1">
      <c r="A115" s="18" t="s">
        <v>117</v>
      </c>
      <c r="B115" s="18" t="s">
        <v>148</v>
      </c>
      <c r="C115" s="18" t="s">
        <v>123</v>
      </c>
      <c r="D115" s="27">
        <v>48</v>
      </c>
      <c r="E115" s="18">
        <v>139020</v>
      </c>
      <c r="F115" s="18">
        <v>10000</v>
      </c>
      <c r="G115" s="19">
        <f t="shared" si="8"/>
        <v>7152960</v>
      </c>
    </row>
    <row r="116" spans="1:7" s="20" customFormat="1" ht="14.25" thickBot="1">
      <c r="A116" s="18" t="s">
        <v>117</v>
      </c>
      <c r="B116" s="18" t="s">
        <v>148</v>
      </c>
      <c r="C116" s="18" t="s">
        <v>124</v>
      </c>
      <c r="D116" s="27">
        <v>40</v>
      </c>
      <c r="E116" s="18">
        <v>139020</v>
      </c>
      <c r="F116" s="18">
        <v>10000</v>
      </c>
      <c r="G116" s="19">
        <f t="shared" si="8"/>
        <v>5960800</v>
      </c>
    </row>
    <row r="117" spans="1:7" s="20" customFormat="1" ht="14.25" thickBot="1">
      <c r="A117" s="18" t="s">
        <v>117</v>
      </c>
      <c r="B117" s="18" t="s">
        <v>148</v>
      </c>
      <c r="C117" s="18" t="s">
        <v>125</v>
      </c>
      <c r="D117" s="27">
        <v>47</v>
      </c>
      <c r="E117" s="18">
        <v>139020</v>
      </c>
      <c r="F117" s="18">
        <v>10000</v>
      </c>
      <c r="G117" s="19">
        <f t="shared" si="8"/>
        <v>7003940</v>
      </c>
    </row>
    <row r="118" spans="1:7" s="20" customFormat="1" ht="14.25" thickBot="1">
      <c r="A118" s="18" t="s">
        <v>117</v>
      </c>
      <c r="B118" s="18" t="s">
        <v>149</v>
      </c>
      <c r="C118" s="18" t="s">
        <v>126</v>
      </c>
      <c r="D118" s="27">
        <v>1</v>
      </c>
      <c r="E118" s="18">
        <v>137449</v>
      </c>
      <c r="F118" s="18">
        <v>10000</v>
      </c>
      <c r="G118" s="19">
        <f t="shared" si="8"/>
        <v>147449</v>
      </c>
    </row>
    <row r="119" spans="1:7" ht="14.25" thickBot="1">
      <c r="A119" s="16"/>
      <c r="B119" s="16" t="s">
        <v>127</v>
      </c>
      <c r="C119" s="16"/>
      <c r="D119" s="28">
        <f>SUM(D109:D118)</f>
        <v>606</v>
      </c>
      <c r="E119" s="16"/>
      <c r="F119" s="16"/>
      <c r="G119" s="16">
        <f>SUM(G109:G118)</f>
        <v>95003287</v>
      </c>
    </row>
    <row r="120" spans="1:7" ht="14.25" thickBot="1">
      <c r="A120" s="16"/>
      <c r="B120" s="16" t="s">
        <v>3</v>
      </c>
      <c r="C120" s="16"/>
      <c r="D120" s="28">
        <f>SUM(D119,D108,D93,D84,D71,D52,D34,D16,D8)</f>
        <v>6639</v>
      </c>
      <c r="E120" s="16"/>
      <c r="F120" s="16"/>
      <c r="G120" s="17">
        <f>SUM(G119,G108,G93,G84,G71,G52,G34,G16,G8)</f>
        <v>1042268116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"/>
  <sheetViews>
    <sheetView topLeftCell="I1" workbookViewId="0">
      <selection activeCell="AD4" sqref="AD4"/>
    </sheetView>
  </sheetViews>
  <sheetFormatPr defaultRowHeight="12"/>
  <cols>
    <col min="1" max="1" width="18.625" style="66" customWidth="1"/>
    <col min="2" max="2" width="7.125" style="66" customWidth="1"/>
    <col min="3" max="3" width="8.375" style="66" customWidth="1"/>
    <col min="4" max="4" width="7.625" style="66" customWidth="1"/>
    <col min="5" max="5" width="6.375" style="66" customWidth="1"/>
    <col min="6" max="6" width="10.75" style="85" customWidth="1"/>
    <col min="7" max="7" width="15.75" style="86" customWidth="1"/>
    <col min="8" max="8" width="6.625" style="66" customWidth="1"/>
    <col min="9" max="9" width="10.75" style="66" customWidth="1"/>
    <col min="10" max="10" width="11" style="66" customWidth="1"/>
    <col min="11" max="11" width="12.5" style="66" customWidth="1"/>
    <col min="12" max="12" width="12.25" style="66" customWidth="1"/>
    <col min="13" max="15" width="9" style="66"/>
    <col min="16" max="16" width="10" style="66" bestFit="1" customWidth="1"/>
    <col min="17" max="23" width="9" style="66"/>
    <col min="24" max="24" width="12.625" style="66" customWidth="1"/>
    <col min="25" max="25" width="12" style="66" customWidth="1"/>
    <col min="26" max="28" width="9" style="66"/>
    <col min="29" max="29" width="10.5" style="66" bestFit="1" customWidth="1"/>
    <col min="30" max="30" width="10" style="66" bestFit="1" customWidth="1"/>
    <col min="31" max="16384" width="9" style="66"/>
  </cols>
  <sheetData>
    <row r="1" spans="1:30" ht="31.5" customHeight="1">
      <c r="A1" s="227" t="s">
        <v>494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</row>
    <row r="2" spans="1:30" s="65" customFormat="1" ht="39.950000000000003" customHeight="1">
      <c r="A2" s="225" t="s">
        <v>495</v>
      </c>
      <c r="B2" s="226"/>
      <c r="C2" s="67" t="s">
        <v>496</v>
      </c>
      <c r="D2" s="68" t="s">
        <v>497</v>
      </c>
      <c r="E2" s="68" t="s">
        <v>498</v>
      </c>
      <c r="F2" s="69" t="s">
        <v>481</v>
      </c>
      <c r="G2" s="70" t="s">
        <v>482</v>
      </c>
      <c r="H2" s="71" t="s">
        <v>483</v>
      </c>
      <c r="I2" s="71" t="s">
        <v>499</v>
      </c>
      <c r="J2" s="71" t="s">
        <v>484</v>
      </c>
      <c r="K2" s="71" t="s">
        <v>500</v>
      </c>
      <c r="L2" s="72" t="s">
        <v>501</v>
      </c>
      <c r="M2" s="73" t="s">
        <v>502</v>
      </c>
      <c r="N2" s="68" t="s">
        <v>503</v>
      </c>
      <c r="O2" s="68" t="s">
        <v>504</v>
      </c>
      <c r="P2" s="74" t="s">
        <v>505</v>
      </c>
      <c r="Q2" s="68" t="s">
        <v>506</v>
      </c>
      <c r="R2" s="68" t="s">
        <v>498</v>
      </c>
      <c r="S2" s="69" t="s">
        <v>481</v>
      </c>
      <c r="T2" s="70" t="s">
        <v>482</v>
      </c>
      <c r="U2" s="71" t="s">
        <v>483</v>
      </c>
      <c r="V2" s="71" t="s">
        <v>507</v>
      </c>
      <c r="W2" s="71" t="s">
        <v>484</v>
      </c>
      <c r="X2" s="71" t="s">
        <v>500</v>
      </c>
      <c r="Y2" s="71" t="s">
        <v>508</v>
      </c>
      <c r="Z2" s="71" t="s">
        <v>509</v>
      </c>
      <c r="AA2" s="71" t="s">
        <v>510</v>
      </c>
      <c r="AB2" s="71" t="s">
        <v>484</v>
      </c>
      <c r="AC2" s="75" t="s">
        <v>511</v>
      </c>
      <c r="AD2" s="75" t="s">
        <v>512</v>
      </c>
    </row>
    <row r="3" spans="1:30" ht="26.1" customHeight="1">
      <c r="A3" s="233" t="s">
        <v>513</v>
      </c>
      <c r="B3" s="233"/>
      <c r="C3" s="84" t="s">
        <v>514</v>
      </c>
      <c r="D3" s="76">
        <v>1</v>
      </c>
      <c r="E3" s="81">
        <v>5</v>
      </c>
      <c r="F3" s="77">
        <f t="shared" ref="F3:F5" si="0">72000/12*3</f>
        <v>18000</v>
      </c>
      <c r="G3" s="77">
        <f t="shared" ref="G3" si="1">F3*E3</f>
        <v>90000</v>
      </c>
      <c r="H3" s="76">
        <v>0</v>
      </c>
      <c r="I3" s="76">
        <f t="shared" ref="I3" si="2">H3*45</f>
        <v>0</v>
      </c>
      <c r="J3" s="83">
        <f t="shared" ref="J3" si="3">ROUND(I3*7*33,2)</f>
        <v>0</v>
      </c>
      <c r="K3" s="83">
        <f t="shared" ref="K3" si="4">ROUND(G3+J3,2)</f>
        <v>90000</v>
      </c>
      <c r="L3" s="79"/>
      <c r="M3" s="79"/>
      <c r="N3" s="79"/>
      <c r="O3" s="79"/>
      <c r="P3" s="80">
        <f t="shared" ref="P3" si="5">K3+O3</f>
        <v>90000</v>
      </c>
      <c r="Q3" s="76">
        <v>1</v>
      </c>
      <c r="R3" s="81">
        <v>5</v>
      </c>
      <c r="S3" s="77">
        <f t="shared" ref="S3" si="6">74872/12*9</f>
        <v>56154</v>
      </c>
      <c r="T3" s="77">
        <f t="shared" ref="T3" si="7">S3*R3</f>
        <v>280770</v>
      </c>
      <c r="U3" s="76">
        <v>0</v>
      </c>
      <c r="V3" s="76">
        <f t="shared" ref="V3" si="8">U3*165</f>
        <v>0</v>
      </c>
      <c r="W3" s="78">
        <f t="shared" ref="W3" si="9">ROUND(V3*7*34.6,2)</f>
        <v>0</v>
      </c>
      <c r="X3" s="83">
        <f t="shared" ref="X3" si="10">ROUND(T3+W3,2)</f>
        <v>280770</v>
      </c>
      <c r="Y3" s="79"/>
      <c r="Z3" s="79"/>
      <c r="AA3" s="79"/>
      <c r="AB3" s="79"/>
      <c r="AC3" s="80">
        <f t="shared" ref="AC3" si="11">X3+AB3</f>
        <v>280770</v>
      </c>
      <c r="AD3" s="80">
        <f t="shared" ref="AD3" si="12">P3+AC3</f>
        <v>370770</v>
      </c>
    </row>
    <row r="4" spans="1:30" ht="26.1" customHeight="1">
      <c r="A4" s="230" t="s">
        <v>515</v>
      </c>
      <c r="B4" s="231"/>
      <c r="C4" s="231"/>
      <c r="D4" s="82">
        <f>SUM(D3:D3)</f>
        <v>1</v>
      </c>
      <c r="E4" s="82">
        <f>SUM(E3:E3)</f>
        <v>5</v>
      </c>
      <c r="F4" s="82">
        <v>18000</v>
      </c>
      <c r="G4" s="82">
        <f t="shared" ref="G4:AD4" si="13">SUM(G3:G3)</f>
        <v>90000</v>
      </c>
      <c r="H4" s="82">
        <f t="shared" si="13"/>
        <v>0</v>
      </c>
      <c r="I4" s="82">
        <f t="shared" si="13"/>
        <v>0</v>
      </c>
      <c r="J4" s="82">
        <f t="shared" si="13"/>
        <v>0</v>
      </c>
      <c r="K4" s="82">
        <f t="shared" si="13"/>
        <v>90000</v>
      </c>
      <c r="L4" s="82">
        <f t="shared" si="13"/>
        <v>0</v>
      </c>
      <c r="M4" s="82">
        <f t="shared" si="13"/>
        <v>0</v>
      </c>
      <c r="N4" s="82">
        <f t="shared" si="13"/>
        <v>0</v>
      </c>
      <c r="O4" s="82">
        <f t="shared" si="13"/>
        <v>0</v>
      </c>
      <c r="P4" s="82">
        <f t="shared" si="13"/>
        <v>90000</v>
      </c>
      <c r="Q4" s="82">
        <f t="shared" si="13"/>
        <v>1</v>
      </c>
      <c r="R4" s="82">
        <f t="shared" si="13"/>
        <v>5</v>
      </c>
      <c r="S4" s="82">
        <f t="shared" si="13"/>
        <v>56154</v>
      </c>
      <c r="T4" s="82">
        <f t="shared" si="13"/>
        <v>280770</v>
      </c>
      <c r="U4" s="82">
        <f t="shared" si="13"/>
        <v>0</v>
      </c>
      <c r="V4" s="82">
        <f t="shared" si="13"/>
        <v>0</v>
      </c>
      <c r="W4" s="82">
        <f t="shared" si="13"/>
        <v>0</v>
      </c>
      <c r="X4" s="82">
        <f t="shared" si="13"/>
        <v>280770</v>
      </c>
      <c r="Y4" s="82">
        <f t="shared" si="13"/>
        <v>0</v>
      </c>
      <c r="Z4" s="82">
        <f t="shared" si="13"/>
        <v>0</v>
      </c>
      <c r="AA4" s="82">
        <f t="shared" si="13"/>
        <v>0</v>
      </c>
      <c r="AB4" s="82">
        <f t="shared" si="13"/>
        <v>0</v>
      </c>
      <c r="AC4" s="82">
        <f t="shared" si="13"/>
        <v>280770</v>
      </c>
      <c r="AD4" s="82">
        <f t="shared" si="13"/>
        <v>370770</v>
      </c>
    </row>
    <row r="5" spans="1:30" ht="26.1" customHeight="1">
      <c r="A5" s="232" t="s">
        <v>517</v>
      </c>
      <c r="B5" s="233"/>
      <c r="C5" s="84" t="s">
        <v>514</v>
      </c>
      <c r="D5" s="76">
        <v>1</v>
      </c>
      <c r="E5" s="81">
        <v>5</v>
      </c>
      <c r="F5" s="77">
        <f t="shared" si="0"/>
        <v>18000</v>
      </c>
      <c r="G5" s="77">
        <f t="shared" ref="G5" si="14">F5*E5</f>
        <v>90000</v>
      </c>
      <c r="H5" s="81">
        <v>0</v>
      </c>
      <c r="I5" s="76">
        <f t="shared" ref="I5" si="15">H5*45</f>
        <v>0</v>
      </c>
      <c r="J5" s="83">
        <f t="shared" ref="J5" si="16">ROUND(I5*7*33,2)</f>
        <v>0</v>
      </c>
      <c r="K5" s="83">
        <f t="shared" ref="K5" si="17">ROUND(G5+J5,2)</f>
        <v>90000</v>
      </c>
      <c r="L5" s="79"/>
      <c r="M5" s="79"/>
      <c r="N5" s="79"/>
      <c r="O5" s="79"/>
      <c r="P5" s="80">
        <f t="shared" ref="P5" si="18">K5+O5</f>
        <v>90000</v>
      </c>
      <c r="Q5" s="76">
        <v>1</v>
      </c>
      <c r="R5" s="81">
        <v>5</v>
      </c>
      <c r="S5" s="77">
        <f t="shared" ref="S5" si="19">74872/12*9</f>
        <v>56154</v>
      </c>
      <c r="T5" s="77">
        <f t="shared" ref="T5" si="20">S5*R5</f>
        <v>280770</v>
      </c>
      <c r="U5" s="81">
        <v>0</v>
      </c>
      <c r="V5" s="76">
        <f t="shared" ref="V5" si="21">U5*165</f>
        <v>0</v>
      </c>
      <c r="W5" s="78">
        <f t="shared" ref="W5" si="22">ROUND(V5*7*34.6,2)</f>
        <v>0</v>
      </c>
      <c r="X5" s="83">
        <f t="shared" ref="X5" si="23">ROUND(T5+W5,2)</f>
        <v>280770</v>
      </c>
      <c r="Y5" s="79"/>
      <c r="Z5" s="79"/>
      <c r="AA5" s="79"/>
      <c r="AB5" s="79"/>
      <c r="AC5" s="80">
        <f t="shared" ref="AC5" si="24">X5+AB5</f>
        <v>280770</v>
      </c>
      <c r="AD5" s="80">
        <f t="shared" ref="AD5" si="25">P5+AC5</f>
        <v>370770</v>
      </c>
    </row>
    <row r="6" spans="1:30" ht="26.1" customHeight="1">
      <c r="A6" s="230" t="s">
        <v>516</v>
      </c>
      <c r="B6" s="231"/>
      <c r="C6" s="231"/>
      <c r="D6" s="82">
        <f>SUM(D5:D5)</f>
        <v>1</v>
      </c>
      <c r="E6" s="82">
        <f>SUM(E5:E5)</f>
        <v>5</v>
      </c>
      <c r="F6" s="82">
        <v>18000</v>
      </c>
      <c r="G6" s="82">
        <f t="shared" ref="G6:AD6" si="26">SUM(G5:G5)</f>
        <v>90000</v>
      </c>
      <c r="H6" s="82">
        <f t="shared" si="26"/>
        <v>0</v>
      </c>
      <c r="I6" s="82">
        <f t="shared" si="26"/>
        <v>0</v>
      </c>
      <c r="J6" s="82">
        <f t="shared" si="26"/>
        <v>0</v>
      </c>
      <c r="K6" s="82">
        <f t="shared" si="26"/>
        <v>90000</v>
      </c>
      <c r="L6" s="82">
        <f t="shared" si="26"/>
        <v>0</v>
      </c>
      <c r="M6" s="82">
        <f t="shared" si="26"/>
        <v>0</v>
      </c>
      <c r="N6" s="82">
        <f t="shared" si="26"/>
        <v>0</v>
      </c>
      <c r="O6" s="82">
        <f t="shared" si="26"/>
        <v>0</v>
      </c>
      <c r="P6" s="82">
        <f t="shared" si="26"/>
        <v>90000</v>
      </c>
      <c r="Q6" s="82">
        <f t="shared" si="26"/>
        <v>1</v>
      </c>
      <c r="R6" s="82">
        <f t="shared" si="26"/>
        <v>5</v>
      </c>
      <c r="S6" s="82">
        <f t="shared" si="26"/>
        <v>56154</v>
      </c>
      <c r="T6" s="82">
        <f t="shared" si="26"/>
        <v>280770</v>
      </c>
      <c r="U6" s="82">
        <f t="shared" si="26"/>
        <v>0</v>
      </c>
      <c r="V6" s="82">
        <f t="shared" si="26"/>
        <v>0</v>
      </c>
      <c r="W6" s="82">
        <f t="shared" si="26"/>
        <v>0</v>
      </c>
      <c r="X6" s="82">
        <f t="shared" si="26"/>
        <v>280770</v>
      </c>
      <c r="Y6" s="82">
        <f t="shared" si="26"/>
        <v>0</v>
      </c>
      <c r="Z6" s="82">
        <f t="shared" si="26"/>
        <v>0</v>
      </c>
      <c r="AA6" s="82">
        <f t="shared" si="26"/>
        <v>0</v>
      </c>
      <c r="AB6" s="82">
        <f t="shared" si="26"/>
        <v>0</v>
      </c>
      <c r="AC6" s="82">
        <f t="shared" si="26"/>
        <v>280770</v>
      </c>
      <c r="AD6" s="82">
        <f t="shared" si="26"/>
        <v>370770</v>
      </c>
    </row>
    <row r="7" spans="1:30" s="88" customFormat="1" ht="26.1" customHeight="1">
      <c r="A7" s="229"/>
      <c r="B7" s="229"/>
      <c r="C7" s="229"/>
      <c r="D7" s="87">
        <f>D4+D6</f>
        <v>2</v>
      </c>
      <c r="E7" s="87">
        <f t="shared" ref="E7:AC7" si="27">E4+E6</f>
        <v>10</v>
      </c>
      <c r="F7" s="87">
        <v>18000</v>
      </c>
      <c r="G7" s="87">
        <f t="shared" si="27"/>
        <v>180000</v>
      </c>
      <c r="H7" s="87">
        <f t="shared" si="27"/>
        <v>0</v>
      </c>
      <c r="I7" s="87">
        <f t="shared" si="27"/>
        <v>0</v>
      </c>
      <c r="J7" s="87">
        <f t="shared" si="27"/>
        <v>0</v>
      </c>
      <c r="K7" s="87">
        <f t="shared" si="27"/>
        <v>180000</v>
      </c>
      <c r="L7" s="87">
        <f t="shared" si="27"/>
        <v>0</v>
      </c>
      <c r="M7" s="87">
        <f t="shared" si="27"/>
        <v>0</v>
      </c>
      <c r="N7" s="87">
        <f t="shared" si="27"/>
        <v>0</v>
      </c>
      <c r="O7" s="87">
        <f t="shared" si="27"/>
        <v>0</v>
      </c>
      <c r="P7" s="87">
        <f t="shared" si="27"/>
        <v>180000</v>
      </c>
      <c r="Q7" s="87">
        <f t="shared" si="27"/>
        <v>2</v>
      </c>
      <c r="R7" s="87">
        <f t="shared" si="27"/>
        <v>10</v>
      </c>
      <c r="S7" s="87">
        <v>56154</v>
      </c>
      <c r="T7" s="87">
        <f t="shared" si="27"/>
        <v>561540</v>
      </c>
      <c r="U7" s="87">
        <f t="shared" si="27"/>
        <v>0</v>
      </c>
      <c r="V7" s="87">
        <f t="shared" si="27"/>
        <v>0</v>
      </c>
      <c r="W7" s="87">
        <f t="shared" si="27"/>
        <v>0</v>
      </c>
      <c r="X7" s="87">
        <f t="shared" si="27"/>
        <v>561540</v>
      </c>
      <c r="Y7" s="87">
        <f t="shared" si="27"/>
        <v>0</v>
      </c>
      <c r="Z7" s="87">
        <f t="shared" si="27"/>
        <v>0</v>
      </c>
      <c r="AA7" s="87">
        <f t="shared" si="27"/>
        <v>0</v>
      </c>
      <c r="AB7" s="87">
        <f t="shared" si="27"/>
        <v>0</v>
      </c>
      <c r="AC7" s="87">
        <f t="shared" si="27"/>
        <v>561540</v>
      </c>
      <c r="AD7" s="87">
        <f>AD4+AD6</f>
        <v>741540</v>
      </c>
    </row>
  </sheetData>
  <mergeCells count="7">
    <mergeCell ref="A2:B2"/>
    <mergeCell ref="A1:AD1"/>
    <mergeCell ref="A7:C7"/>
    <mergeCell ref="A6:C6"/>
    <mergeCell ref="A5:B5"/>
    <mergeCell ref="A4:C4"/>
    <mergeCell ref="A3:B3"/>
  </mergeCells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9"/>
  <sheetViews>
    <sheetView workbookViewId="0">
      <selection activeCell="J3" sqref="J3:J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10" ht="25.5">
      <c r="A1" s="219" t="s">
        <v>435</v>
      </c>
      <c r="B1" s="220"/>
      <c r="C1" s="220"/>
      <c r="D1" s="220"/>
      <c r="E1" s="220"/>
      <c r="F1" s="220"/>
      <c r="G1" s="220"/>
      <c r="H1" s="220"/>
      <c r="I1" s="220"/>
      <c r="J1" s="220"/>
    </row>
    <row r="2" spans="1:10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176</v>
      </c>
      <c r="F2" s="32" t="s">
        <v>436</v>
      </c>
      <c r="G2" s="32" t="s">
        <v>27</v>
      </c>
      <c r="H2" s="32" t="s">
        <v>437</v>
      </c>
      <c r="I2" s="32" t="s">
        <v>427</v>
      </c>
      <c r="J2" s="32" t="s">
        <v>25</v>
      </c>
    </row>
    <row r="3" spans="1:10">
      <c r="A3" s="33" t="s">
        <v>181</v>
      </c>
      <c r="B3" s="34" t="s">
        <v>182</v>
      </c>
      <c r="C3" s="34"/>
      <c r="D3" s="35" t="s">
        <v>183</v>
      </c>
      <c r="E3" s="36">
        <f>E4+E31+E52</f>
        <v>4227669.5999999996</v>
      </c>
      <c r="F3" s="36">
        <f>F4+F31+F52</f>
        <v>18932579.25</v>
      </c>
      <c r="G3" s="36">
        <f>G4+G31+G52</f>
        <v>15021335</v>
      </c>
      <c r="H3" s="36">
        <f>H4+H31+H52</f>
        <v>47346658.700000003</v>
      </c>
      <c r="I3" s="36">
        <f>I4+I31+I52</f>
        <v>2278797</v>
      </c>
      <c r="J3" s="36">
        <f t="shared" ref="J3:J66" si="0">SUM(E3:I3)</f>
        <v>87807039.550000012</v>
      </c>
    </row>
    <row r="4" spans="1:10">
      <c r="A4" s="33" t="s">
        <v>184</v>
      </c>
      <c r="B4" s="34" t="s">
        <v>128</v>
      </c>
      <c r="C4" s="34"/>
      <c r="D4" s="35" t="s">
        <v>183</v>
      </c>
      <c r="E4" s="36">
        <f>E5+E8+E13+E17+E20+E22+E25+E27+E29+E30</f>
        <v>3145124</v>
      </c>
      <c r="F4" s="36">
        <f>F5+F8+F13+F17+F20+F22+F25+F27+F29+F30</f>
        <v>16313877</v>
      </c>
      <c r="G4" s="36">
        <f>G5+G8+G13+G17+G20+G22+G25+G27+G29+G30</f>
        <v>13006329</v>
      </c>
      <c r="H4" s="36">
        <f>H5+H8+H13+H17+H20+H22+H25+H27+H29+H30</f>
        <v>41571364</v>
      </c>
      <c r="I4" s="36">
        <f>I5+I8+I13+I17+I20+I22+I25+I27+I29+I30</f>
        <v>1913961</v>
      </c>
      <c r="J4" s="36">
        <f t="shared" si="0"/>
        <v>75950655</v>
      </c>
    </row>
    <row r="5" spans="1:10">
      <c r="A5" s="33" t="s">
        <v>185</v>
      </c>
      <c r="B5" s="34" t="s">
        <v>186</v>
      </c>
      <c r="C5" s="34"/>
      <c r="D5" s="35" t="s">
        <v>183</v>
      </c>
      <c r="E5" s="36">
        <f>E6+E7</f>
        <v>564364</v>
      </c>
      <c r="F5" s="36">
        <f>F6+F7</f>
        <v>2316776</v>
      </c>
      <c r="G5" s="36">
        <f>G6+G7</f>
        <v>1657395</v>
      </c>
      <c r="H5" s="36">
        <f>H6+H7</f>
        <v>6438293</v>
      </c>
      <c r="I5" s="36">
        <f>I6+I7</f>
        <v>306875</v>
      </c>
      <c r="J5" s="36">
        <f t="shared" si="0"/>
        <v>11283703</v>
      </c>
    </row>
    <row r="6" spans="1:10">
      <c r="A6" s="33" t="s">
        <v>187</v>
      </c>
      <c r="B6" s="34" t="s">
        <v>188</v>
      </c>
      <c r="C6" s="34" t="s">
        <v>189</v>
      </c>
      <c r="D6" s="35" t="s">
        <v>190</v>
      </c>
      <c r="E6" s="37">
        <v>416364</v>
      </c>
      <c r="F6" s="37">
        <v>1385560</v>
      </c>
      <c r="G6" s="37">
        <v>1083865</v>
      </c>
      <c r="H6" s="37">
        <v>3401318</v>
      </c>
      <c r="I6" s="37">
        <v>154451</v>
      </c>
      <c r="J6" s="36">
        <f t="shared" si="0"/>
        <v>6441558</v>
      </c>
    </row>
    <row r="7" spans="1:10">
      <c r="A7" s="33" t="s">
        <v>191</v>
      </c>
      <c r="B7" s="34" t="s">
        <v>192</v>
      </c>
      <c r="C7" s="34" t="s">
        <v>189</v>
      </c>
      <c r="D7" s="35" t="s">
        <v>190</v>
      </c>
      <c r="E7" s="37">
        <v>148000</v>
      </c>
      <c r="F7" s="37">
        <v>931216</v>
      </c>
      <c r="G7" s="37">
        <v>573530</v>
      </c>
      <c r="H7" s="37">
        <v>3036975</v>
      </c>
      <c r="I7" s="37">
        <v>152424</v>
      </c>
      <c r="J7" s="36">
        <f t="shared" si="0"/>
        <v>4842145</v>
      </c>
    </row>
    <row r="8" spans="1:10">
      <c r="A8" s="33" t="s">
        <v>193</v>
      </c>
      <c r="B8" s="34" t="s">
        <v>194</v>
      </c>
      <c r="C8" s="34"/>
      <c r="D8" s="35" t="s">
        <v>183</v>
      </c>
      <c r="E8" s="36">
        <f>E9+E10</f>
        <v>54060</v>
      </c>
      <c r="F8" s="36">
        <f>F9+F10</f>
        <v>298896</v>
      </c>
      <c r="G8" s="36">
        <f>G9+G10</f>
        <v>242884</v>
      </c>
      <c r="H8" s="36">
        <f>H9+H10</f>
        <v>710547</v>
      </c>
      <c r="I8" s="36">
        <f>I9+I10</f>
        <v>33612</v>
      </c>
      <c r="J8" s="36">
        <f t="shared" si="0"/>
        <v>1339999</v>
      </c>
    </row>
    <row r="9" spans="1:10">
      <c r="A9" s="33" t="s">
        <v>195</v>
      </c>
      <c r="B9" s="34" t="s">
        <v>196</v>
      </c>
      <c r="C9" s="34" t="s">
        <v>189</v>
      </c>
      <c r="D9" s="35" t="s">
        <v>190</v>
      </c>
      <c r="E9" s="37">
        <v>540</v>
      </c>
      <c r="F9" s="37">
        <v>4536</v>
      </c>
      <c r="G9" s="37">
        <v>2044</v>
      </c>
      <c r="H9" s="37">
        <v>20139</v>
      </c>
      <c r="I9" s="37">
        <v>1500</v>
      </c>
      <c r="J9" s="36">
        <f t="shared" si="0"/>
        <v>28759</v>
      </c>
    </row>
    <row r="10" spans="1:10">
      <c r="A10" s="33" t="s">
        <v>197</v>
      </c>
      <c r="B10" s="34" t="s">
        <v>198</v>
      </c>
      <c r="C10" s="34"/>
      <c r="D10" s="35" t="s">
        <v>183</v>
      </c>
      <c r="E10" s="36">
        <f>E11+E12</f>
        <v>53520</v>
      </c>
      <c r="F10" s="36">
        <f>F11+F12</f>
        <v>294360</v>
      </c>
      <c r="G10" s="36">
        <f>G11+G12</f>
        <v>240840</v>
      </c>
      <c r="H10" s="36">
        <f>H11+H12</f>
        <v>690408</v>
      </c>
      <c r="I10" s="36">
        <f>I11+I12</f>
        <v>32112</v>
      </c>
      <c r="J10" s="36">
        <f t="shared" si="0"/>
        <v>1311240</v>
      </c>
    </row>
    <row r="11" spans="1:10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720</v>
      </c>
      <c r="F11" s="36">
        <f>72*F96</f>
        <v>3960</v>
      </c>
      <c r="G11" s="36">
        <f>72*G96</f>
        <v>3240</v>
      </c>
      <c r="H11" s="36">
        <f>72*H96</f>
        <v>9288</v>
      </c>
      <c r="I11" s="36">
        <f>72*I96</f>
        <v>432</v>
      </c>
      <c r="J11" s="36">
        <f t="shared" si="0"/>
        <v>17640</v>
      </c>
    </row>
    <row r="12" spans="1:10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52800</v>
      </c>
      <c r="F12" s="36">
        <f>440*12*F96</f>
        <v>290400</v>
      </c>
      <c r="G12" s="36">
        <f>440*12*G96</f>
        <v>237600</v>
      </c>
      <c r="H12" s="36">
        <f>440*12*H96</f>
        <v>681120</v>
      </c>
      <c r="I12" s="36">
        <f>440*12*I96</f>
        <v>31680</v>
      </c>
      <c r="J12" s="36">
        <f t="shared" si="0"/>
        <v>1293600</v>
      </c>
    </row>
    <row r="13" spans="1:10">
      <c r="A13" s="33" t="s">
        <v>203</v>
      </c>
      <c r="B13" s="34" t="s">
        <v>204</v>
      </c>
      <c r="C13" s="34"/>
      <c r="D13" s="35" t="s">
        <v>205</v>
      </c>
      <c r="E13" s="36">
        <f>E14+E15+E16</f>
        <v>49500</v>
      </c>
      <c r="F13" s="36">
        <f>F14+F15+F16</f>
        <v>261795</v>
      </c>
      <c r="G13" s="36">
        <f>G14+G15+G16</f>
        <v>208850</v>
      </c>
      <c r="H13" s="36">
        <f>H14+H15+H16</f>
        <v>658445</v>
      </c>
      <c r="I13" s="36">
        <f>I14+I15+I16</f>
        <v>33220</v>
      </c>
      <c r="J13" s="36">
        <f t="shared" si="0"/>
        <v>1211810</v>
      </c>
    </row>
    <row r="14" spans="1:10" s="40" customFormat="1">
      <c r="A14" s="33" t="s">
        <v>206</v>
      </c>
      <c r="B14" s="38" t="s">
        <v>438</v>
      </c>
      <c r="C14" s="38" t="s">
        <v>189</v>
      </c>
      <c r="D14" s="39" t="s">
        <v>208</v>
      </c>
      <c r="E14" s="36">
        <f>E16*3</f>
        <v>29700</v>
      </c>
      <c r="F14" s="36">
        <f>F16*3</f>
        <v>157077</v>
      </c>
      <c r="G14" s="36">
        <f>G16*3</f>
        <v>125310</v>
      </c>
      <c r="H14" s="36">
        <f>H16*3</f>
        <v>395067</v>
      </c>
      <c r="I14" s="36">
        <f>I16*3</f>
        <v>19932</v>
      </c>
      <c r="J14" s="36">
        <f t="shared" si="0"/>
        <v>727086</v>
      </c>
    </row>
    <row r="15" spans="1:10" s="40" customFormat="1">
      <c r="A15" s="33" t="s">
        <v>209</v>
      </c>
      <c r="B15" s="38" t="s">
        <v>439</v>
      </c>
      <c r="C15" s="38" t="s">
        <v>189</v>
      </c>
      <c r="D15" s="39" t="s">
        <v>208</v>
      </c>
      <c r="E15" s="36">
        <f>E16</f>
        <v>9900</v>
      </c>
      <c r="F15" s="36">
        <f>F16</f>
        <v>52359</v>
      </c>
      <c r="G15" s="36">
        <f>G16</f>
        <v>41770</v>
      </c>
      <c r="H15" s="36">
        <f>H16</f>
        <v>131689</v>
      </c>
      <c r="I15" s="36">
        <f>I16</f>
        <v>6644</v>
      </c>
      <c r="J15" s="36">
        <f t="shared" si="0"/>
        <v>242362</v>
      </c>
    </row>
    <row r="16" spans="1:10" s="40" customFormat="1">
      <c r="A16" s="33" t="s">
        <v>211</v>
      </c>
      <c r="B16" s="38" t="s">
        <v>440</v>
      </c>
      <c r="C16" s="38" t="s">
        <v>189</v>
      </c>
      <c r="D16" s="39" t="s">
        <v>208</v>
      </c>
      <c r="E16" s="144">
        <v>9900</v>
      </c>
      <c r="F16" s="37">
        <v>52359</v>
      </c>
      <c r="G16" s="37">
        <v>41770</v>
      </c>
      <c r="H16" s="37">
        <v>131689</v>
      </c>
      <c r="I16" s="37">
        <v>6644</v>
      </c>
      <c r="J16" s="36">
        <f t="shared" si="0"/>
        <v>242362</v>
      </c>
    </row>
    <row r="17" spans="1:10">
      <c r="A17" s="33" t="s">
        <v>213</v>
      </c>
      <c r="B17" s="34" t="s">
        <v>214</v>
      </c>
      <c r="C17" s="34"/>
      <c r="D17" s="35" t="s">
        <v>183</v>
      </c>
      <c r="E17" s="36">
        <v>1490200</v>
      </c>
      <c r="F17" s="36">
        <v>8196100</v>
      </c>
      <c r="G17" s="36">
        <v>6705900</v>
      </c>
      <c r="H17" s="36">
        <v>20673669</v>
      </c>
      <c r="I17" s="36">
        <v>884694</v>
      </c>
      <c r="J17" s="36">
        <f t="shared" si="0"/>
        <v>37950563</v>
      </c>
    </row>
    <row r="18" spans="1:10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1490200</v>
      </c>
      <c r="F18" s="43">
        <f>F17-F19</f>
        <v>7877224</v>
      </c>
      <c r="G18" s="43">
        <f>G17-G19</f>
        <v>6552324</v>
      </c>
      <c r="H18" s="43">
        <f>H17-H19</f>
        <v>20188773</v>
      </c>
      <c r="I18" s="43">
        <f>I17-I19</f>
        <v>884694</v>
      </c>
      <c r="J18" s="36">
        <f t="shared" si="0"/>
        <v>36993215</v>
      </c>
    </row>
    <row r="19" spans="1:10">
      <c r="A19" s="33" t="s">
        <v>218</v>
      </c>
      <c r="B19" s="41" t="s">
        <v>219</v>
      </c>
      <c r="C19" s="41" t="s">
        <v>189</v>
      </c>
      <c r="D19" s="42" t="s">
        <v>220</v>
      </c>
      <c r="E19" s="43"/>
      <c r="F19" s="43">
        <v>318876</v>
      </c>
      <c r="G19" s="43">
        <v>153576</v>
      </c>
      <c r="H19" s="43">
        <v>484896</v>
      </c>
      <c r="I19" s="43"/>
      <c r="J19" s="36">
        <f t="shared" si="0"/>
        <v>957348</v>
      </c>
    </row>
    <row r="20" spans="1:10">
      <c r="A20" s="33" t="s">
        <v>221</v>
      </c>
      <c r="B20" s="34" t="s">
        <v>222</v>
      </c>
      <c r="C20" s="34"/>
      <c r="D20" s="42" t="s">
        <v>183</v>
      </c>
      <c r="E20" s="45">
        <f>E21</f>
        <v>198000</v>
      </c>
      <c r="F20" s="45">
        <f>F21</f>
        <v>1047180</v>
      </c>
      <c r="G20" s="45">
        <f>G21</f>
        <v>835400</v>
      </c>
      <c r="H20" s="45">
        <f>H21</f>
        <v>2633780</v>
      </c>
      <c r="I20" s="45">
        <f>I21</f>
        <v>132880</v>
      </c>
      <c r="J20" s="36">
        <f t="shared" si="0"/>
        <v>4847240</v>
      </c>
    </row>
    <row r="21" spans="1:10">
      <c r="A21" s="33" t="s">
        <v>223</v>
      </c>
      <c r="B21" s="34" t="s">
        <v>441</v>
      </c>
      <c r="C21" s="34" t="s">
        <v>225</v>
      </c>
      <c r="D21" s="42" t="s">
        <v>183</v>
      </c>
      <c r="E21" s="45">
        <f>E16*20</f>
        <v>198000</v>
      </c>
      <c r="F21" s="45">
        <f>F16*20</f>
        <v>1047180</v>
      </c>
      <c r="G21" s="45">
        <f>G16*20</f>
        <v>835400</v>
      </c>
      <c r="H21" s="45">
        <f>H16*20</f>
        <v>2633780</v>
      </c>
      <c r="I21" s="45">
        <f>I16*20</f>
        <v>132880</v>
      </c>
      <c r="J21" s="36">
        <f t="shared" si="0"/>
        <v>4847240</v>
      </c>
    </row>
    <row r="22" spans="1:10">
      <c r="A22" s="33" t="s">
        <v>226</v>
      </c>
      <c r="B22" s="34" t="s">
        <v>227</v>
      </c>
      <c r="C22" s="34"/>
      <c r="D22" s="42" t="s">
        <v>208</v>
      </c>
      <c r="E22" s="45">
        <f>E23+E24</f>
        <v>79200</v>
      </c>
      <c r="F22" s="45">
        <f>F23+F24</f>
        <v>418872</v>
      </c>
      <c r="G22" s="45">
        <f>G23+G24</f>
        <v>334160</v>
      </c>
      <c r="H22" s="45">
        <f>H23+H24</f>
        <v>1053512</v>
      </c>
      <c r="I22" s="45">
        <f>I23+I24</f>
        <v>53152</v>
      </c>
      <c r="J22" s="36">
        <f t="shared" si="0"/>
        <v>1938896</v>
      </c>
    </row>
    <row r="23" spans="1:10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39600</v>
      </c>
      <c r="F23" s="45">
        <f>F16*4</f>
        <v>209436</v>
      </c>
      <c r="G23" s="45">
        <f>G16*4</f>
        <v>167080</v>
      </c>
      <c r="H23" s="45">
        <f>H16*4</f>
        <v>526756</v>
      </c>
      <c r="I23" s="45">
        <f>I16*4</f>
        <v>26576</v>
      </c>
      <c r="J23" s="36">
        <f t="shared" si="0"/>
        <v>969448</v>
      </c>
    </row>
    <row r="24" spans="1:10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39600</v>
      </c>
      <c r="F24" s="45">
        <f>F16*4</f>
        <v>209436</v>
      </c>
      <c r="G24" s="45">
        <f>G16*4</f>
        <v>167080</v>
      </c>
      <c r="H24" s="45">
        <f>H16*4</f>
        <v>526756</v>
      </c>
      <c r="I24" s="45">
        <f>I16*4</f>
        <v>26576</v>
      </c>
      <c r="J24" s="36">
        <f t="shared" si="0"/>
        <v>969448</v>
      </c>
    </row>
    <row r="25" spans="1:10">
      <c r="A25" s="33" t="s">
        <v>233</v>
      </c>
      <c r="B25" s="34" t="s">
        <v>234</v>
      </c>
      <c r="C25" s="34"/>
      <c r="D25" s="35" t="s">
        <v>183</v>
      </c>
      <c r="E25" s="36">
        <f>E26</f>
        <v>316800</v>
      </c>
      <c r="F25" s="36">
        <f>F26</f>
        <v>1675488</v>
      </c>
      <c r="G25" s="36">
        <f>G26</f>
        <v>1336640</v>
      </c>
      <c r="H25" s="36">
        <f>H26</f>
        <v>4214048</v>
      </c>
      <c r="I25" s="36">
        <f>I26</f>
        <v>212608</v>
      </c>
      <c r="J25" s="36">
        <f t="shared" si="0"/>
        <v>7755584</v>
      </c>
    </row>
    <row r="26" spans="1:10" s="40" customFormat="1">
      <c r="A26" s="33" t="s">
        <v>235</v>
      </c>
      <c r="B26" s="38" t="s">
        <v>442</v>
      </c>
      <c r="C26" s="38" t="s">
        <v>237</v>
      </c>
      <c r="D26" s="39" t="s">
        <v>208</v>
      </c>
      <c r="E26" s="36">
        <f>E16*32</f>
        <v>316800</v>
      </c>
      <c r="F26" s="36">
        <f>F16*32</f>
        <v>1675488</v>
      </c>
      <c r="G26" s="36">
        <f>G16*32</f>
        <v>1336640</v>
      </c>
      <c r="H26" s="36">
        <f>H16*32</f>
        <v>4214048</v>
      </c>
      <c r="I26" s="36">
        <f>I16*32</f>
        <v>212608</v>
      </c>
      <c r="J26" s="36">
        <f t="shared" si="0"/>
        <v>7755584</v>
      </c>
    </row>
    <row r="27" spans="1:10">
      <c r="A27" s="33" t="s">
        <v>238</v>
      </c>
      <c r="B27" s="34" t="s">
        <v>239</v>
      </c>
      <c r="C27" s="34"/>
      <c r="D27" s="35" t="s">
        <v>183</v>
      </c>
      <c r="E27" s="36">
        <f>E28</f>
        <v>158400</v>
      </c>
      <c r="F27" s="36">
        <f>F28</f>
        <v>837744</v>
      </c>
      <c r="G27" s="36">
        <f>G28</f>
        <v>668320</v>
      </c>
      <c r="H27" s="36">
        <f>H28</f>
        <v>2107024</v>
      </c>
      <c r="I27" s="36">
        <f>I28</f>
        <v>106304</v>
      </c>
      <c r="J27" s="36">
        <f t="shared" si="0"/>
        <v>3877792</v>
      </c>
    </row>
    <row r="28" spans="1:10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158400</v>
      </c>
      <c r="F28" s="36">
        <f>F16*16</f>
        <v>837744</v>
      </c>
      <c r="G28" s="36">
        <f>G16*16</f>
        <v>668320</v>
      </c>
      <c r="H28" s="36">
        <f>H16*16</f>
        <v>2107024</v>
      </c>
      <c r="I28" s="36">
        <f>I16*16</f>
        <v>106304</v>
      </c>
      <c r="J28" s="36">
        <f t="shared" si="0"/>
        <v>3877792</v>
      </c>
    </row>
    <row r="29" spans="1:10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96000</v>
      </c>
      <c r="F29" s="36">
        <f>9600*F96</f>
        <v>528000</v>
      </c>
      <c r="G29" s="36">
        <f>9600*G96</f>
        <v>432000</v>
      </c>
      <c r="H29" s="36">
        <f>9600*H96</f>
        <v>1238400</v>
      </c>
      <c r="I29" s="36">
        <f>9600*I96</f>
        <v>57600</v>
      </c>
      <c r="J29" s="36">
        <f t="shared" si="0"/>
        <v>2352000</v>
      </c>
    </row>
    <row r="30" spans="1:10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138600</v>
      </c>
      <c r="F30" s="45">
        <f>F16*14</f>
        <v>733026</v>
      </c>
      <c r="G30" s="45">
        <f>G16*14</f>
        <v>584780</v>
      </c>
      <c r="H30" s="45">
        <f>H16*14</f>
        <v>1843646</v>
      </c>
      <c r="I30" s="45">
        <f>I16*14</f>
        <v>93016</v>
      </c>
      <c r="J30" s="36">
        <f t="shared" si="0"/>
        <v>3393068</v>
      </c>
    </row>
    <row r="31" spans="1:10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3240</v>
      </c>
      <c r="F31" s="36">
        <f>F32+F40+F42+F45+F47</f>
        <v>19200</v>
      </c>
      <c r="G31" s="36">
        <f>G32+G40+G42+G45+G47</f>
        <v>14280</v>
      </c>
      <c r="H31" s="36">
        <f>H32+H40+H42+H45+H47</f>
        <v>29640</v>
      </c>
      <c r="I31" s="36">
        <f>I32+I40+I42+I45+I47</f>
        <v>0</v>
      </c>
      <c r="J31" s="36">
        <f t="shared" si="0"/>
        <v>66360</v>
      </c>
    </row>
    <row r="32" spans="1:10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>F33+F34+F35+F36+F37+F38+F39</f>
        <v>0</v>
      </c>
      <c r="G32" s="36">
        <f>G33+G34+G35+G36+G37+G38+G39</f>
        <v>0</v>
      </c>
      <c r="H32" s="36">
        <f>H33+H34+H35+H36+H37+H38+H39</f>
        <v>0</v>
      </c>
      <c r="I32" s="36">
        <f>I33+I34+I35+I36+I37+I38+I39</f>
        <v>0</v>
      </c>
      <c r="J32" s="36">
        <f t="shared" si="0"/>
        <v>0</v>
      </c>
    </row>
    <row r="33" spans="1:10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36">
        <f t="shared" si="0"/>
        <v>0</v>
      </c>
    </row>
    <row r="34" spans="1:10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36">
        <f t="shared" si="0"/>
        <v>0</v>
      </c>
    </row>
    <row r="35" spans="1:10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36">
        <f t="shared" si="0"/>
        <v>0</v>
      </c>
    </row>
    <row r="36" spans="1:10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36">
        <f t="shared" si="0"/>
        <v>0</v>
      </c>
    </row>
    <row r="37" spans="1:10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36">
        <f t="shared" si="0"/>
        <v>0</v>
      </c>
    </row>
    <row r="38" spans="1:10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36">
        <f t="shared" si="0"/>
        <v>0</v>
      </c>
    </row>
    <row r="39" spans="1:10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36">
        <f t="shared" si="0"/>
        <v>0</v>
      </c>
    </row>
    <row r="40" spans="1:10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>F41</f>
        <v>0</v>
      </c>
      <c r="G40" s="36">
        <f>G41</f>
        <v>0</v>
      </c>
      <c r="H40" s="36">
        <f>H41</f>
        <v>0</v>
      </c>
      <c r="I40" s="36">
        <f>I41</f>
        <v>0</v>
      </c>
      <c r="J40" s="36">
        <f t="shared" si="0"/>
        <v>0</v>
      </c>
    </row>
    <row r="41" spans="1:10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36">
        <f t="shared" si="0"/>
        <v>0</v>
      </c>
    </row>
    <row r="42" spans="1:10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>F43+F44</f>
        <v>0</v>
      </c>
      <c r="G42" s="36">
        <f>G43+G44</f>
        <v>0</v>
      </c>
      <c r="H42" s="36">
        <f>H43+H44</f>
        <v>0</v>
      </c>
      <c r="I42" s="36">
        <f>I43+I44</f>
        <v>0</v>
      </c>
      <c r="J42" s="36">
        <f t="shared" si="0"/>
        <v>0</v>
      </c>
    </row>
    <row r="43" spans="1:10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36">
        <f t="shared" si="0"/>
        <v>0</v>
      </c>
    </row>
    <row r="44" spans="1:10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36">
        <f t="shared" si="0"/>
        <v>0</v>
      </c>
    </row>
    <row r="45" spans="1:10">
      <c r="A45" s="33" t="s">
        <v>280</v>
      </c>
      <c r="B45" s="34" t="s">
        <v>281</v>
      </c>
      <c r="C45" s="34"/>
      <c r="D45" s="35" t="s">
        <v>183</v>
      </c>
      <c r="E45" s="36">
        <f>E46</f>
        <v>1440</v>
      </c>
      <c r="F45" s="36">
        <f>F46</f>
        <v>7200</v>
      </c>
      <c r="G45" s="36">
        <f>G46</f>
        <v>5280</v>
      </c>
      <c r="H45" s="36">
        <f>H46</f>
        <v>9690</v>
      </c>
      <c r="I45" s="36">
        <f>I46</f>
        <v>0</v>
      </c>
      <c r="J45" s="36">
        <f t="shared" si="0"/>
        <v>23610</v>
      </c>
    </row>
    <row r="46" spans="1:10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1440</v>
      </c>
      <c r="F46" s="37">
        <v>7200</v>
      </c>
      <c r="G46" s="37">
        <v>5280</v>
      </c>
      <c r="H46" s="37">
        <v>9690</v>
      </c>
      <c r="I46" s="37"/>
      <c r="J46" s="36">
        <f t="shared" si="0"/>
        <v>23610</v>
      </c>
    </row>
    <row r="47" spans="1:10">
      <c r="A47" s="33" t="s">
        <v>284</v>
      </c>
      <c r="B47" s="34" t="s">
        <v>285</v>
      </c>
      <c r="C47" s="34"/>
      <c r="D47" s="35" t="s">
        <v>183</v>
      </c>
      <c r="E47" s="36">
        <f>SUM(E48:E51)</f>
        <v>1800</v>
      </c>
      <c r="F47" s="36">
        <f>SUM(F48:F51)</f>
        <v>12000</v>
      </c>
      <c r="G47" s="36">
        <f>SUM(G48:G51)</f>
        <v>9000</v>
      </c>
      <c r="H47" s="36">
        <f>SUM(H48:H51)</f>
        <v>19950</v>
      </c>
      <c r="I47" s="36">
        <f>SUM(I48:I51)</f>
        <v>0</v>
      </c>
      <c r="J47" s="36">
        <f t="shared" si="0"/>
        <v>42750</v>
      </c>
    </row>
    <row r="48" spans="1:10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1800</v>
      </c>
      <c r="F48" s="37">
        <v>12000</v>
      </c>
      <c r="G48" s="37">
        <v>9000</v>
      </c>
      <c r="H48" s="37">
        <v>19950</v>
      </c>
      <c r="I48" s="37"/>
      <c r="J48" s="36">
        <f t="shared" si="0"/>
        <v>42750</v>
      </c>
    </row>
    <row r="49" spans="1:10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36">
        <f t="shared" si="0"/>
        <v>0</v>
      </c>
    </row>
    <row r="50" spans="1:10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36">
        <f t="shared" si="0"/>
        <v>0</v>
      </c>
    </row>
    <row r="51" spans="1:10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36">
        <f t="shared" si="0"/>
        <v>0</v>
      </c>
    </row>
    <row r="52" spans="1:10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1079305.6000000001</v>
      </c>
      <c r="F52" s="36">
        <f>F53+F71+F73+F75+F77+F79+F81+F83+F85+F93</f>
        <v>2599502.25</v>
      </c>
      <c r="G52" s="36">
        <f>G53+G71+G73+G75+G77+G79+G81+G83+G85+G93</f>
        <v>2000726</v>
      </c>
      <c r="H52" s="36">
        <f>H53+H71+H73+H75+H77+H79+H81+H83+H85+H93</f>
        <v>5745654.7000000002</v>
      </c>
      <c r="I52" s="36">
        <f>I53+I71+I73+I75+I77+I79+I81+I83+I85+I93</f>
        <v>364836</v>
      </c>
      <c r="J52" s="36">
        <f t="shared" si="0"/>
        <v>11790024.550000001</v>
      </c>
    </row>
    <row r="53" spans="1:10">
      <c r="A53" s="33" t="s">
        <v>299</v>
      </c>
      <c r="B53" s="34" t="s">
        <v>300</v>
      </c>
      <c r="C53" s="34"/>
      <c r="D53" s="35" t="s">
        <v>301</v>
      </c>
      <c r="E53" s="36">
        <f>SUM(E54:E70)</f>
        <v>798000</v>
      </c>
      <c r="F53" s="36">
        <f>SUM(F54:F70)</f>
        <v>1936980</v>
      </c>
      <c r="G53" s="36">
        <f>SUM(G54:G70)</f>
        <v>1492260</v>
      </c>
      <c r="H53" s="36">
        <f>SUM(H54:H70)</f>
        <v>3572900</v>
      </c>
      <c r="I53" s="36">
        <f>SUM(I54:I70)</f>
        <v>192000</v>
      </c>
      <c r="J53" s="36">
        <f t="shared" si="0"/>
        <v>7992140</v>
      </c>
    </row>
    <row r="54" spans="1:10">
      <c r="A54" s="33" t="s">
        <v>302</v>
      </c>
      <c r="B54" s="34" t="s">
        <v>303</v>
      </c>
      <c r="C54" s="34" t="s">
        <v>189</v>
      </c>
      <c r="D54" s="47"/>
      <c r="E54" s="37">
        <v>788025</v>
      </c>
      <c r="F54" s="37">
        <v>346044</v>
      </c>
      <c r="G54" s="37">
        <v>80300</v>
      </c>
      <c r="H54" s="37">
        <v>227268</v>
      </c>
      <c r="I54" s="37">
        <v>5000</v>
      </c>
      <c r="J54" s="36">
        <f t="shared" si="0"/>
        <v>1446637</v>
      </c>
    </row>
    <row r="55" spans="1:10">
      <c r="A55" s="33" t="s">
        <v>304</v>
      </c>
      <c r="B55" s="34" t="s">
        <v>305</v>
      </c>
      <c r="C55" s="34" t="s">
        <v>189</v>
      </c>
      <c r="D55" s="47"/>
      <c r="E55" s="37"/>
      <c r="F55" s="37"/>
      <c r="G55" s="37">
        <v>5000</v>
      </c>
      <c r="H55" s="37">
        <v>41946.5</v>
      </c>
      <c r="I55" s="37"/>
      <c r="J55" s="36">
        <f t="shared" si="0"/>
        <v>46946.5</v>
      </c>
    </row>
    <row r="56" spans="1:10">
      <c r="A56" s="33" t="s">
        <v>306</v>
      </c>
      <c r="B56" s="34" t="s">
        <v>307</v>
      </c>
      <c r="C56" s="34" t="s">
        <v>189</v>
      </c>
      <c r="D56" s="47"/>
      <c r="E56" s="37"/>
      <c r="F56" s="37">
        <v>12000</v>
      </c>
      <c r="G56" s="37">
        <v>50000</v>
      </c>
      <c r="H56" s="37">
        <v>50000</v>
      </c>
      <c r="I56" s="37"/>
      <c r="J56" s="36">
        <f t="shared" si="0"/>
        <v>112000</v>
      </c>
    </row>
    <row r="57" spans="1:10">
      <c r="A57" s="33" t="s">
        <v>308</v>
      </c>
      <c r="B57" s="34" t="s">
        <v>309</v>
      </c>
      <c r="C57" s="34" t="s">
        <v>189</v>
      </c>
      <c r="D57" s="47"/>
      <c r="E57" s="37"/>
      <c r="F57" s="37">
        <v>50000</v>
      </c>
      <c r="G57" s="37">
        <v>50000</v>
      </c>
      <c r="H57" s="37">
        <v>300000</v>
      </c>
      <c r="I57" s="37">
        <v>5000</v>
      </c>
      <c r="J57" s="36">
        <f t="shared" si="0"/>
        <v>405000</v>
      </c>
    </row>
    <row r="58" spans="1:10">
      <c r="A58" s="33" t="s">
        <v>310</v>
      </c>
      <c r="B58" s="34" t="s">
        <v>311</v>
      </c>
      <c r="C58" s="34" t="s">
        <v>189</v>
      </c>
      <c r="D58" s="47"/>
      <c r="E58" s="37"/>
      <c r="F58" s="37">
        <v>140000</v>
      </c>
      <c r="G58" s="37">
        <v>150000</v>
      </c>
      <c r="H58" s="37">
        <v>280000</v>
      </c>
      <c r="I58" s="37">
        <v>25000</v>
      </c>
      <c r="J58" s="36">
        <f t="shared" si="0"/>
        <v>595000</v>
      </c>
    </row>
    <row r="59" spans="1:10">
      <c r="A59" s="33" t="s">
        <v>312</v>
      </c>
      <c r="B59" s="34" t="s">
        <v>313</v>
      </c>
      <c r="C59" s="34" t="s">
        <v>189</v>
      </c>
      <c r="D59" s="47"/>
      <c r="E59" s="37"/>
      <c r="F59" s="37">
        <v>25000</v>
      </c>
      <c r="G59" s="37">
        <v>20000</v>
      </c>
      <c r="H59" s="37">
        <v>9000</v>
      </c>
      <c r="I59" s="37">
        <v>15000</v>
      </c>
      <c r="J59" s="36">
        <f t="shared" si="0"/>
        <v>69000</v>
      </c>
    </row>
    <row r="60" spans="1:10">
      <c r="A60" s="33" t="s">
        <v>314</v>
      </c>
      <c r="B60" s="34" t="s">
        <v>315</v>
      </c>
      <c r="C60" s="34" t="s">
        <v>189</v>
      </c>
      <c r="D60" s="47"/>
      <c r="E60" s="37"/>
      <c r="F60" s="37">
        <v>20000</v>
      </c>
      <c r="G60" s="37">
        <v>12000</v>
      </c>
      <c r="H60" s="37">
        <v>25000</v>
      </c>
      <c r="I60" s="37">
        <v>1000</v>
      </c>
      <c r="J60" s="36">
        <f t="shared" si="0"/>
        <v>58000</v>
      </c>
    </row>
    <row r="61" spans="1:10">
      <c r="A61" s="33" t="s">
        <v>316</v>
      </c>
      <c r="B61" s="34" t="s">
        <v>317</v>
      </c>
      <c r="C61" s="34" t="s">
        <v>189</v>
      </c>
      <c r="D61" s="47"/>
      <c r="E61" s="37"/>
      <c r="F61" s="37">
        <v>220000</v>
      </c>
      <c r="G61" s="37">
        <v>296347</v>
      </c>
      <c r="H61" s="37">
        <v>290000</v>
      </c>
      <c r="I61" s="37">
        <v>20000</v>
      </c>
      <c r="J61" s="36">
        <f t="shared" si="0"/>
        <v>826347</v>
      </c>
    </row>
    <row r="62" spans="1:10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37"/>
      <c r="H62" s="37"/>
      <c r="I62" s="37"/>
      <c r="J62" s="36">
        <f t="shared" si="0"/>
        <v>0</v>
      </c>
    </row>
    <row r="63" spans="1:10">
      <c r="A63" s="33" t="s">
        <v>320</v>
      </c>
      <c r="B63" s="34" t="s">
        <v>443</v>
      </c>
      <c r="C63" s="34" t="s">
        <v>189</v>
      </c>
      <c r="D63" s="47" t="s">
        <v>444</v>
      </c>
      <c r="E63" s="37">
        <v>9975</v>
      </c>
      <c r="F63" s="37">
        <v>96849</v>
      </c>
      <c r="G63" s="37">
        <v>74613</v>
      </c>
      <c r="H63" s="37">
        <v>178645</v>
      </c>
      <c r="I63" s="37">
        <v>9600</v>
      </c>
      <c r="J63" s="36">
        <f t="shared" si="0"/>
        <v>369682</v>
      </c>
    </row>
    <row r="64" spans="1:10">
      <c r="A64" s="33" t="s">
        <v>324</v>
      </c>
      <c r="B64" s="34" t="s">
        <v>325</v>
      </c>
      <c r="C64" s="34" t="s">
        <v>189</v>
      </c>
      <c r="D64" s="47"/>
      <c r="E64" s="37"/>
      <c r="F64" s="37"/>
      <c r="G64" s="37"/>
      <c r="H64" s="37"/>
      <c r="I64" s="37"/>
      <c r="J64" s="36">
        <f t="shared" si="0"/>
        <v>0</v>
      </c>
    </row>
    <row r="65" spans="1:10">
      <c r="A65" s="33" t="s">
        <v>326</v>
      </c>
      <c r="B65" s="34" t="s">
        <v>327</v>
      </c>
      <c r="C65" s="34" t="s">
        <v>189</v>
      </c>
      <c r="D65" s="47"/>
      <c r="E65" s="37"/>
      <c r="F65" s="37">
        <v>400000</v>
      </c>
      <c r="G65" s="37">
        <v>355000</v>
      </c>
      <c r="H65" s="37">
        <v>551070</v>
      </c>
      <c r="I65" s="37">
        <v>40000</v>
      </c>
      <c r="J65" s="36">
        <f t="shared" si="0"/>
        <v>1346070</v>
      </c>
    </row>
    <row r="66" spans="1:10">
      <c r="A66" s="33" t="s">
        <v>328</v>
      </c>
      <c r="B66" s="34" t="s">
        <v>329</v>
      </c>
      <c r="C66" s="34" t="s">
        <v>189</v>
      </c>
      <c r="D66" s="47"/>
      <c r="E66" s="37"/>
      <c r="F66" s="37">
        <v>10000</v>
      </c>
      <c r="G66" s="37">
        <v>50000</v>
      </c>
      <c r="H66" s="37">
        <v>490000</v>
      </c>
      <c r="I66" s="37">
        <v>10000</v>
      </c>
      <c r="J66" s="36">
        <f t="shared" si="0"/>
        <v>560000</v>
      </c>
    </row>
    <row r="67" spans="1:10">
      <c r="A67" s="33" t="s">
        <v>330</v>
      </c>
      <c r="B67" s="34" t="s">
        <v>331</v>
      </c>
      <c r="C67" s="34" t="s">
        <v>189</v>
      </c>
      <c r="D67" s="47"/>
      <c r="E67" s="37"/>
      <c r="F67" s="37">
        <v>200000</v>
      </c>
      <c r="G67" s="37">
        <v>150000</v>
      </c>
      <c r="H67" s="37">
        <v>520000</v>
      </c>
      <c r="I67" s="37">
        <v>39000</v>
      </c>
      <c r="J67" s="36">
        <f t="shared" ref="J67:J109" si="1">SUM(E67:I67)</f>
        <v>909000</v>
      </c>
    </row>
    <row r="68" spans="1:10">
      <c r="A68" s="33" t="s">
        <v>332</v>
      </c>
      <c r="B68" s="34" t="s">
        <v>333</v>
      </c>
      <c r="C68" s="34" t="s">
        <v>189</v>
      </c>
      <c r="D68" s="47"/>
      <c r="E68" s="37"/>
      <c r="F68" s="37">
        <v>335529</v>
      </c>
      <c r="G68" s="37">
        <v>44000</v>
      </c>
      <c r="H68" s="37">
        <v>260000</v>
      </c>
      <c r="I68" s="37">
        <v>5000</v>
      </c>
      <c r="J68" s="36">
        <f t="shared" si="1"/>
        <v>644529</v>
      </c>
    </row>
    <row r="69" spans="1:10">
      <c r="A69" s="33" t="s">
        <v>334</v>
      </c>
      <c r="B69" s="34" t="s">
        <v>335</v>
      </c>
      <c r="C69" s="34" t="s">
        <v>189</v>
      </c>
      <c r="D69" s="47"/>
      <c r="E69" s="37"/>
      <c r="F69" s="37">
        <v>50000</v>
      </c>
      <c r="G69" s="37">
        <v>100000</v>
      </c>
      <c r="H69" s="37">
        <v>200000</v>
      </c>
      <c r="I69" s="37">
        <v>17400</v>
      </c>
      <c r="J69" s="36">
        <f t="shared" si="1"/>
        <v>367400</v>
      </c>
    </row>
    <row r="70" spans="1:10">
      <c r="A70" s="33" t="s">
        <v>336</v>
      </c>
      <c r="B70" s="34" t="s">
        <v>337</v>
      </c>
      <c r="C70" s="34" t="s">
        <v>189</v>
      </c>
      <c r="D70" s="47"/>
      <c r="E70" s="37"/>
      <c r="F70" s="37">
        <v>31558</v>
      </c>
      <c r="G70" s="37">
        <v>55000</v>
      </c>
      <c r="H70" s="37">
        <v>149970.5</v>
      </c>
      <c r="I70" s="37"/>
      <c r="J70" s="36">
        <f t="shared" si="1"/>
        <v>236528.5</v>
      </c>
    </row>
    <row r="71" spans="1:10">
      <c r="A71" s="33" t="s">
        <v>338</v>
      </c>
      <c r="B71" s="34" t="s">
        <v>339</v>
      </c>
      <c r="C71" s="34"/>
      <c r="D71" s="35"/>
      <c r="E71" s="36">
        <f>E72</f>
        <v>4000</v>
      </c>
      <c r="F71" s="36">
        <f>F72</f>
        <v>22000</v>
      </c>
      <c r="G71" s="36">
        <f>G72</f>
        <v>18000</v>
      </c>
      <c r="H71" s="36">
        <f>H72</f>
        <v>51600</v>
      </c>
      <c r="I71" s="36">
        <f>I72</f>
        <v>2400</v>
      </c>
      <c r="J71" s="36">
        <f t="shared" si="1"/>
        <v>98000</v>
      </c>
    </row>
    <row r="72" spans="1:10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4000</v>
      </c>
      <c r="F72" s="36">
        <f>F96*400</f>
        <v>22000</v>
      </c>
      <c r="G72" s="36">
        <f>G96*400</f>
        <v>18000</v>
      </c>
      <c r="H72" s="36">
        <f>H96*400</f>
        <v>51600</v>
      </c>
      <c r="I72" s="36">
        <f>I96*400</f>
        <v>2400</v>
      </c>
      <c r="J72" s="36">
        <f t="shared" si="1"/>
        <v>98000</v>
      </c>
    </row>
    <row r="73" spans="1:10">
      <c r="A73" s="33" t="s">
        <v>343</v>
      </c>
      <c r="B73" s="34" t="s">
        <v>344</v>
      </c>
      <c r="C73" s="34"/>
      <c r="D73" s="35" t="s">
        <v>183</v>
      </c>
      <c r="E73" s="36">
        <f>E74</f>
        <v>133521.60000000001</v>
      </c>
      <c r="F73" s="36">
        <f>F74</f>
        <v>97286.25</v>
      </c>
      <c r="G73" s="36">
        <f>G74</f>
        <v>77250</v>
      </c>
      <c r="H73" s="36">
        <f>H74</f>
        <v>438638.7</v>
      </c>
      <c r="I73" s="36">
        <f>I74</f>
        <v>54900</v>
      </c>
      <c r="J73" s="36">
        <f t="shared" si="1"/>
        <v>801596.55</v>
      </c>
    </row>
    <row r="74" spans="1:10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133521.60000000001</v>
      </c>
      <c r="F74" s="36">
        <f>F108*15</f>
        <v>97286.25</v>
      </c>
      <c r="G74" s="36">
        <f>G108*15</f>
        <v>77250</v>
      </c>
      <c r="H74" s="36">
        <f>H108*15</f>
        <v>438638.7</v>
      </c>
      <c r="I74" s="36">
        <f>I108*15</f>
        <v>54900</v>
      </c>
      <c r="J74" s="36">
        <f t="shared" si="1"/>
        <v>801596.55</v>
      </c>
    </row>
    <row r="75" spans="1:10">
      <c r="A75" s="33" t="s">
        <v>348</v>
      </c>
      <c r="B75" s="34" t="s">
        <v>349</v>
      </c>
      <c r="C75" s="34"/>
      <c r="D75" s="35" t="s">
        <v>183</v>
      </c>
      <c r="E75" s="36">
        <f>E76</f>
        <v>28984</v>
      </c>
      <c r="F75" s="36">
        <f>F76</f>
        <v>12000</v>
      </c>
      <c r="G75" s="36">
        <f>G76</f>
        <v>19736</v>
      </c>
      <c r="H75" s="36">
        <f>H76</f>
        <v>165280</v>
      </c>
      <c r="I75" s="36">
        <f>I76</f>
        <v>21600</v>
      </c>
      <c r="J75" s="36">
        <f t="shared" si="1"/>
        <v>247600</v>
      </c>
    </row>
    <row r="76" spans="1:10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28984</v>
      </c>
      <c r="F76" s="36">
        <f>F109*8</f>
        <v>12000</v>
      </c>
      <c r="G76" s="36">
        <f>G109*8</f>
        <v>19736</v>
      </c>
      <c r="H76" s="36">
        <f>H109*8</f>
        <v>165280</v>
      </c>
      <c r="I76" s="36">
        <f>I109*8</f>
        <v>21600</v>
      </c>
      <c r="J76" s="36">
        <f t="shared" si="1"/>
        <v>247600</v>
      </c>
    </row>
    <row r="77" spans="1:10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>F78</f>
        <v>0</v>
      </c>
      <c r="G77" s="36">
        <f>G78</f>
        <v>0</v>
      </c>
      <c r="H77" s="36">
        <f>H78</f>
        <v>0</v>
      </c>
      <c r="I77" s="36">
        <f>I78</f>
        <v>0</v>
      </c>
      <c r="J77" s="36">
        <f t="shared" si="1"/>
        <v>0</v>
      </c>
    </row>
    <row r="78" spans="1:10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36">
        <f t="shared" si="1"/>
        <v>0</v>
      </c>
    </row>
    <row r="79" spans="1:10">
      <c r="A79" s="33" t="s">
        <v>357</v>
      </c>
      <c r="B79" s="34" t="s">
        <v>358</v>
      </c>
      <c r="C79" s="34"/>
      <c r="D79" s="35" t="s">
        <v>183</v>
      </c>
      <c r="E79" s="36">
        <f>E80</f>
        <v>43200</v>
      </c>
      <c r="F79" s="36">
        <f>F80</f>
        <v>237600</v>
      </c>
      <c r="G79" s="36">
        <f>G80</f>
        <v>194400</v>
      </c>
      <c r="H79" s="36">
        <f>H80</f>
        <v>557280</v>
      </c>
      <c r="I79" s="36">
        <f>I80</f>
        <v>25920</v>
      </c>
      <c r="J79" s="36">
        <f t="shared" si="1"/>
        <v>1058400</v>
      </c>
    </row>
    <row r="80" spans="1:10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43200</v>
      </c>
      <c r="F80" s="36">
        <f>F96*4320</f>
        <v>237600</v>
      </c>
      <c r="G80" s="36">
        <f>G96*4320</f>
        <v>194400</v>
      </c>
      <c r="H80" s="36">
        <f>H96*4320</f>
        <v>557280</v>
      </c>
      <c r="I80" s="36">
        <f>I96*4320</f>
        <v>25920</v>
      </c>
      <c r="J80" s="36">
        <f t="shared" si="1"/>
        <v>1058400</v>
      </c>
    </row>
    <row r="81" spans="1:10">
      <c r="A81" s="33" t="s">
        <v>362</v>
      </c>
      <c r="B81" s="34" t="s">
        <v>363</v>
      </c>
      <c r="C81" s="34"/>
      <c r="D81" s="35" t="s">
        <v>183</v>
      </c>
      <c r="E81" s="36">
        <f>E82</f>
        <v>39600</v>
      </c>
      <c r="F81" s="36">
        <f>F82</f>
        <v>209436</v>
      </c>
      <c r="G81" s="36">
        <f>G82</f>
        <v>167080</v>
      </c>
      <c r="H81" s="36">
        <f>H82</f>
        <v>526756</v>
      </c>
      <c r="I81" s="36">
        <f>I82</f>
        <v>26576</v>
      </c>
      <c r="J81" s="36">
        <f t="shared" si="1"/>
        <v>969448</v>
      </c>
    </row>
    <row r="82" spans="1:10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39600</v>
      </c>
      <c r="F82" s="36">
        <f>F16*4</f>
        <v>209436</v>
      </c>
      <c r="G82" s="36">
        <f>G16*4</f>
        <v>167080</v>
      </c>
      <c r="H82" s="36">
        <f>H16*4</f>
        <v>526756</v>
      </c>
      <c r="I82" s="36">
        <f>I16*4</f>
        <v>26576</v>
      </c>
      <c r="J82" s="36">
        <f t="shared" si="1"/>
        <v>969448</v>
      </c>
    </row>
    <row r="83" spans="1:10">
      <c r="A83" s="33" t="s">
        <v>366</v>
      </c>
      <c r="B83" s="34" t="s">
        <v>367</v>
      </c>
      <c r="C83" s="34"/>
      <c r="D83" s="35" t="s">
        <v>183</v>
      </c>
      <c r="E83" s="36">
        <f>E84</f>
        <v>0</v>
      </c>
      <c r="F83" s="36">
        <f>F84</f>
        <v>32000</v>
      </c>
      <c r="G83" s="36">
        <f>G84</f>
        <v>0</v>
      </c>
      <c r="H83" s="36">
        <f>H84</f>
        <v>32000</v>
      </c>
      <c r="I83" s="36">
        <f>I84</f>
        <v>0</v>
      </c>
      <c r="J83" s="36">
        <f t="shared" si="1"/>
        <v>64000</v>
      </c>
    </row>
    <row r="84" spans="1:10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/>
      <c r="F84" s="37">
        <v>32000</v>
      </c>
      <c r="G84" s="37"/>
      <c r="H84" s="37">
        <v>32000</v>
      </c>
      <c r="I84" s="37"/>
      <c r="J84" s="36">
        <f t="shared" si="1"/>
        <v>64000</v>
      </c>
    </row>
    <row r="85" spans="1:10">
      <c r="A85" s="33" t="s">
        <v>371</v>
      </c>
      <c r="B85" s="34" t="s">
        <v>372</v>
      </c>
      <c r="C85" s="34"/>
      <c r="D85" s="35" t="s">
        <v>183</v>
      </c>
      <c r="E85" s="36">
        <f>E86+E89+E92</f>
        <v>0</v>
      </c>
      <c r="F85" s="36">
        <f>F86+F89+F92</f>
        <v>47200</v>
      </c>
      <c r="G85" s="36">
        <f>G86+G89+G92</f>
        <v>0</v>
      </c>
      <c r="H85" s="36">
        <f>H86+H89+H92</f>
        <v>401200</v>
      </c>
      <c r="I85" s="36">
        <f>I86+I89+I92</f>
        <v>9440</v>
      </c>
      <c r="J85" s="36">
        <f t="shared" si="1"/>
        <v>457840</v>
      </c>
    </row>
    <row r="86" spans="1:10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>F87+F88</f>
        <v>0</v>
      </c>
      <c r="G86" s="36">
        <f>G87+G88</f>
        <v>0</v>
      </c>
      <c r="H86" s="36">
        <f>H87+H88</f>
        <v>0</v>
      </c>
      <c r="I86" s="36">
        <f>I87+I88</f>
        <v>0</v>
      </c>
      <c r="J86" s="36">
        <f t="shared" si="1"/>
        <v>0</v>
      </c>
    </row>
    <row r="87" spans="1:10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36">
        <f t="shared" si="1"/>
        <v>0</v>
      </c>
    </row>
    <row r="88" spans="1:10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36">
        <f t="shared" si="1"/>
        <v>0</v>
      </c>
    </row>
    <row r="89" spans="1:10">
      <c r="A89" s="33" t="s">
        <v>380</v>
      </c>
      <c r="B89" s="34" t="s">
        <v>381</v>
      </c>
      <c r="C89" s="34"/>
      <c r="D89" s="35" t="s">
        <v>183</v>
      </c>
      <c r="E89" s="36">
        <f>E90+E91</f>
        <v>0</v>
      </c>
      <c r="F89" s="36">
        <f>F90+F91</f>
        <v>47200</v>
      </c>
      <c r="G89" s="36">
        <f>G90+G91</f>
        <v>0</v>
      </c>
      <c r="H89" s="36">
        <f>H90+H91</f>
        <v>401200</v>
      </c>
      <c r="I89" s="36">
        <f>I90+I91</f>
        <v>9440</v>
      </c>
      <c r="J89" s="36">
        <f t="shared" si="1"/>
        <v>457840</v>
      </c>
    </row>
    <row r="90" spans="1:10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0</v>
      </c>
      <c r="F90" s="36">
        <f>F107*400</f>
        <v>4000</v>
      </c>
      <c r="G90" s="36">
        <f>G107*400</f>
        <v>0</v>
      </c>
      <c r="H90" s="36">
        <f>H107*400</f>
        <v>34000</v>
      </c>
      <c r="I90" s="36">
        <f>I107*400</f>
        <v>800</v>
      </c>
      <c r="J90" s="36">
        <f t="shared" si="1"/>
        <v>38800</v>
      </c>
    </row>
    <row r="91" spans="1:10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0</v>
      </c>
      <c r="F91" s="36">
        <f>F107*4320</f>
        <v>43200</v>
      </c>
      <c r="G91" s="36">
        <f>G107*4320</f>
        <v>0</v>
      </c>
      <c r="H91" s="36">
        <f>H107*4320</f>
        <v>367200</v>
      </c>
      <c r="I91" s="36">
        <f>I107*4320</f>
        <v>8640</v>
      </c>
      <c r="J91" s="36">
        <f t="shared" si="1"/>
        <v>419040</v>
      </c>
    </row>
    <row r="92" spans="1:10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36">
        <f t="shared" si="1"/>
        <v>0</v>
      </c>
    </row>
    <row r="93" spans="1:10">
      <c r="A93" s="33" t="s">
        <v>390</v>
      </c>
      <c r="B93" s="34" t="s">
        <v>391</v>
      </c>
      <c r="C93" s="34"/>
      <c r="D93" s="35" t="s">
        <v>183</v>
      </c>
      <c r="E93" s="36">
        <f>E94</f>
        <v>32000</v>
      </c>
      <c r="F93" s="36">
        <f>F94</f>
        <v>5000</v>
      </c>
      <c r="G93" s="36">
        <f>G94</f>
        <v>32000</v>
      </c>
      <c r="H93" s="36">
        <f>H94</f>
        <v>0</v>
      </c>
      <c r="I93" s="36">
        <f>I94</f>
        <v>32000</v>
      </c>
      <c r="J93" s="36">
        <f t="shared" si="1"/>
        <v>101000</v>
      </c>
    </row>
    <row r="94" spans="1:10" ht="57" thickBot="1">
      <c r="A94" s="33" t="s">
        <v>392</v>
      </c>
      <c r="B94" s="50" t="s">
        <v>393</v>
      </c>
      <c r="C94" s="34" t="s">
        <v>189</v>
      </c>
      <c r="D94" s="51" t="s">
        <v>532</v>
      </c>
      <c r="E94" s="52">
        <v>32000</v>
      </c>
      <c r="F94" s="52">
        <v>5000</v>
      </c>
      <c r="G94" s="52">
        <v>32000</v>
      </c>
      <c r="H94" s="52"/>
      <c r="I94" s="52">
        <v>32000</v>
      </c>
      <c r="J94" s="36">
        <f t="shared" si="1"/>
        <v>101000</v>
      </c>
    </row>
    <row r="95" spans="1:10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36">
        <f t="shared" si="1"/>
        <v>0</v>
      </c>
    </row>
    <row r="96" spans="1:10" ht="22.5">
      <c r="A96" s="33" t="s">
        <v>397</v>
      </c>
      <c r="B96" s="34" t="s">
        <v>398</v>
      </c>
      <c r="C96" s="34"/>
      <c r="D96" s="35" t="s">
        <v>445</v>
      </c>
      <c r="E96" s="36">
        <f>E97+E98+E99+E100</f>
        <v>10</v>
      </c>
      <c r="F96" s="36">
        <f>F97+F98+F99+F100</f>
        <v>55</v>
      </c>
      <c r="G96" s="36">
        <f>G97+G98+G99+G100</f>
        <v>45</v>
      </c>
      <c r="H96" s="36">
        <f>H97+H98+H99+H100</f>
        <v>129</v>
      </c>
      <c r="I96" s="36">
        <f>I97+I98+I99+I100</f>
        <v>6</v>
      </c>
      <c r="J96" s="36">
        <f t="shared" si="1"/>
        <v>245</v>
      </c>
    </row>
    <row r="97" spans="1:10">
      <c r="A97" s="33" t="s">
        <v>400</v>
      </c>
      <c r="B97" s="56" t="s">
        <v>401</v>
      </c>
      <c r="C97" s="56"/>
      <c r="D97" s="42"/>
      <c r="E97" s="43"/>
      <c r="F97" s="43"/>
      <c r="G97" s="43"/>
      <c r="H97" s="43">
        <v>60</v>
      </c>
      <c r="I97" s="43"/>
      <c r="J97" s="36">
        <f t="shared" si="1"/>
        <v>60</v>
      </c>
    </row>
    <row r="98" spans="1:10">
      <c r="A98" s="33" t="s">
        <v>402</v>
      </c>
      <c r="B98" s="56" t="s">
        <v>403</v>
      </c>
      <c r="C98" s="56"/>
      <c r="D98" s="35"/>
      <c r="E98" s="37"/>
      <c r="F98" s="37"/>
      <c r="G98" s="37"/>
      <c r="H98" s="37">
        <v>69</v>
      </c>
      <c r="I98" s="37"/>
      <c r="J98" s="36">
        <f t="shared" si="1"/>
        <v>69</v>
      </c>
    </row>
    <row r="99" spans="1:10">
      <c r="A99" s="33" t="s">
        <v>404</v>
      </c>
      <c r="B99" s="56" t="s">
        <v>405</v>
      </c>
      <c r="C99" s="56"/>
      <c r="D99" s="42"/>
      <c r="E99" s="43">
        <v>10</v>
      </c>
      <c r="F99" s="43">
        <v>55</v>
      </c>
      <c r="G99" s="43">
        <v>45</v>
      </c>
      <c r="H99" s="43"/>
      <c r="I99" s="43"/>
      <c r="J99" s="36">
        <f t="shared" si="1"/>
        <v>110</v>
      </c>
    </row>
    <row r="100" spans="1:10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>
        <v>6</v>
      </c>
      <c r="J100" s="36">
        <f t="shared" si="1"/>
        <v>6</v>
      </c>
    </row>
    <row r="101" spans="1:10" ht="33.75">
      <c r="A101" s="33" t="s">
        <v>408</v>
      </c>
      <c r="B101" s="34" t="s">
        <v>409</v>
      </c>
      <c r="C101" s="34"/>
      <c r="D101" s="35" t="s">
        <v>446</v>
      </c>
      <c r="E101" s="36">
        <f>E102+E103+E104+E105</f>
        <v>75</v>
      </c>
      <c r="F101" s="36">
        <f>F102+F103+F104+F105</f>
        <v>726</v>
      </c>
      <c r="G101" s="36">
        <f>G102+G103+G104+G105</f>
        <v>561</v>
      </c>
      <c r="H101" s="36">
        <f>H102+H103+H104+H105</f>
        <v>1281</v>
      </c>
      <c r="I101" s="36">
        <f>I102+I103+I104+I105</f>
        <v>0</v>
      </c>
      <c r="J101" s="36">
        <f t="shared" si="1"/>
        <v>2643</v>
      </c>
    </row>
    <row r="102" spans="1:10">
      <c r="A102" s="33" t="s">
        <v>411</v>
      </c>
      <c r="B102" s="56" t="s">
        <v>401</v>
      </c>
      <c r="C102" s="56"/>
      <c r="D102" s="42"/>
      <c r="E102" s="43"/>
      <c r="F102" s="43"/>
      <c r="G102" s="43"/>
      <c r="H102" s="43">
        <v>537</v>
      </c>
      <c r="I102" s="43"/>
      <c r="J102" s="36">
        <f t="shared" si="1"/>
        <v>537</v>
      </c>
    </row>
    <row r="103" spans="1:10">
      <c r="A103" s="33" t="s">
        <v>412</v>
      </c>
      <c r="B103" s="56" t="s">
        <v>403</v>
      </c>
      <c r="C103" s="56"/>
      <c r="D103" s="35"/>
      <c r="E103" s="37"/>
      <c r="F103" s="37"/>
      <c r="G103" s="37"/>
      <c r="H103" s="37">
        <v>744</v>
      </c>
      <c r="I103" s="37"/>
      <c r="J103" s="36">
        <f t="shared" si="1"/>
        <v>744</v>
      </c>
    </row>
    <row r="104" spans="1:10">
      <c r="A104" s="33" t="s">
        <v>413</v>
      </c>
      <c r="B104" s="56" t="s">
        <v>405</v>
      </c>
      <c r="C104" s="56"/>
      <c r="D104" s="42"/>
      <c r="E104" s="43">
        <v>75</v>
      </c>
      <c r="F104" s="43">
        <v>726</v>
      </c>
      <c r="G104" s="43">
        <v>561</v>
      </c>
      <c r="H104" s="43"/>
      <c r="I104" s="43"/>
      <c r="J104" s="36">
        <f t="shared" si="1"/>
        <v>1362</v>
      </c>
    </row>
    <row r="105" spans="1:10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36">
        <f t="shared" si="1"/>
        <v>0</v>
      </c>
    </row>
    <row r="106" spans="1:10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36">
        <f t="shared" si="1"/>
        <v>0</v>
      </c>
    </row>
    <row r="107" spans="1:10">
      <c r="A107" s="33" t="s">
        <v>417</v>
      </c>
      <c r="B107" s="34" t="s">
        <v>418</v>
      </c>
      <c r="C107" s="34"/>
      <c r="D107" s="35"/>
      <c r="E107" s="37"/>
      <c r="F107" s="37">
        <v>10</v>
      </c>
      <c r="G107" s="37"/>
      <c r="H107" s="37">
        <v>85</v>
      </c>
      <c r="I107" s="37">
        <v>2</v>
      </c>
      <c r="J107" s="36">
        <f t="shared" si="1"/>
        <v>97</v>
      </c>
    </row>
    <row r="108" spans="1:10">
      <c r="A108" s="33" t="s">
        <v>419</v>
      </c>
      <c r="B108" s="56" t="s">
        <v>420</v>
      </c>
      <c r="C108" s="56"/>
      <c r="D108" s="47"/>
      <c r="E108" s="37">
        <v>8901.44</v>
      </c>
      <c r="F108" s="37">
        <v>6485.75</v>
      </c>
      <c r="G108" s="37">
        <v>5150</v>
      </c>
      <c r="H108" s="37">
        <v>29242.58</v>
      </c>
      <c r="I108" s="37">
        <v>3660</v>
      </c>
      <c r="J108" s="36">
        <f t="shared" si="1"/>
        <v>53439.770000000004</v>
      </c>
    </row>
    <row r="109" spans="1:10">
      <c r="A109" s="33" t="s">
        <v>421</v>
      </c>
      <c r="B109" s="56" t="s">
        <v>422</v>
      </c>
      <c r="C109" s="56"/>
      <c r="D109" s="47"/>
      <c r="E109" s="37">
        <v>3623</v>
      </c>
      <c r="F109" s="37">
        <v>1500</v>
      </c>
      <c r="G109" s="37">
        <v>2467</v>
      </c>
      <c r="H109" s="37">
        <v>20660</v>
      </c>
      <c r="I109" s="37">
        <v>2700</v>
      </c>
      <c r="J109" s="36">
        <f t="shared" si="1"/>
        <v>30950</v>
      </c>
    </row>
  </sheetData>
  <protectedRanges>
    <protectedRange password="E9C1" sqref="B31:D109 A4:D12 A2:J3 B13:D28 A13:A109 J4:J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J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9"/>
  <sheetViews>
    <sheetView workbookViewId="0">
      <selection activeCell="L3" sqref="L3:L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12" ht="25.5">
      <c r="A1" s="219" t="s">
        <v>177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</row>
    <row r="2" spans="1:12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429</v>
      </c>
      <c r="F2" s="32" t="s">
        <v>430</v>
      </c>
      <c r="G2" s="32" t="s">
        <v>431</v>
      </c>
      <c r="H2" s="32" t="s">
        <v>175</v>
      </c>
      <c r="I2" s="32" t="s">
        <v>432</v>
      </c>
      <c r="J2" s="32" t="s">
        <v>433</v>
      </c>
      <c r="K2" s="32" t="s">
        <v>434</v>
      </c>
      <c r="L2" s="32" t="s">
        <v>25</v>
      </c>
    </row>
    <row r="3" spans="1:12">
      <c r="A3" s="33" t="s">
        <v>181</v>
      </c>
      <c r="B3" s="34" t="s">
        <v>182</v>
      </c>
      <c r="C3" s="34"/>
      <c r="D3" s="35" t="s">
        <v>183</v>
      </c>
      <c r="E3" s="36">
        <f>E4+E31+E52</f>
        <v>30135162</v>
      </c>
      <c r="F3" s="36">
        <f t="shared" ref="F3:K3" si="0">F4+F31+F52</f>
        <v>25497133.420000002</v>
      </c>
      <c r="G3" s="36">
        <f t="shared" si="0"/>
        <v>7772961.5999999996</v>
      </c>
      <c r="H3" s="36">
        <f t="shared" si="0"/>
        <v>5618645</v>
      </c>
      <c r="I3" s="36">
        <f t="shared" si="0"/>
        <v>12200759.1</v>
      </c>
      <c r="J3" s="36">
        <f t="shared" si="0"/>
        <v>14325853.199999999</v>
      </c>
      <c r="K3" s="36">
        <f t="shared" si="0"/>
        <v>1551425.2</v>
      </c>
      <c r="L3" s="36">
        <f t="shared" ref="L3:L66" si="1">SUM(E3:K3)</f>
        <v>97101939.520000011</v>
      </c>
    </row>
    <row r="4" spans="1:12">
      <c r="A4" s="33" t="s">
        <v>184</v>
      </c>
      <c r="B4" s="34" t="s">
        <v>128</v>
      </c>
      <c r="C4" s="34"/>
      <c r="D4" s="35" t="s">
        <v>183</v>
      </c>
      <c r="E4" s="36">
        <f t="shared" ref="E4:K4" si="2">E5+E8+E13+E17+E20+E22+E25+E27+E29+E30</f>
        <v>26499309</v>
      </c>
      <c r="F4" s="36">
        <f t="shared" si="2"/>
        <v>21976487.600000001</v>
      </c>
      <c r="G4" s="36">
        <f t="shared" si="2"/>
        <v>5574417</v>
      </c>
      <c r="H4" s="36">
        <f t="shared" si="2"/>
        <v>4589320</v>
      </c>
      <c r="I4" s="36">
        <f t="shared" si="2"/>
        <v>10669234</v>
      </c>
      <c r="J4" s="36">
        <f t="shared" si="2"/>
        <v>12047063</v>
      </c>
      <c r="K4" s="36">
        <f t="shared" si="2"/>
        <v>1285262</v>
      </c>
      <c r="L4" s="36">
        <f t="shared" si="1"/>
        <v>82641092.599999994</v>
      </c>
    </row>
    <row r="5" spans="1:12">
      <c r="A5" s="33" t="s">
        <v>185</v>
      </c>
      <c r="B5" s="34" t="s">
        <v>186</v>
      </c>
      <c r="C5" s="34"/>
      <c r="D5" s="35" t="s">
        <v>183</v>
      </c>
      <c r="E5" s="36">
        <f>E6+E7</f>
        <v>3819953</v>
      </c>
      <c r="F5" s="36">
        <f t="shared" ref="F5:K5" si="3">F6+F7</f>
        <v>3145152</v>
      </c>
      <c r="G5" s="36">
        <f t="shared" si="3"/>
        <v>673844</v>
      </c>
      <c r="H5" s="36">
        <f t="shared" si="3"/>
        <v>653652</v>
      </c>
      <c r="I5" s="36">
        <f t="shared" si="3"/>
        <v>1379784</v>
      </c>
      <c r="J5" s="36">
        <f t="shared" si="3"/>
        <v>1315632</v>
      </c>
      <c r="K5" s="36">
        <f t="shared" si="3"/>
        <v>200988</v>
      </c>
      <c r="L5" s="36">
        <f t="shared" si="1"/>
        <v>11189005</v>
      </c>
    </row>
    <row r="6" spans="1:12">
      <c r="A6" s="33" t="s">
        <v>187</v>
      </c>
      <c r="B6" s="34" t="s">
        <v>188</v>
      </c>
      <c r="C6" s="34" t="s">
        <v>189</v>
      </c>
      <c r="D6" s="35" t="s">
        <v>190</v>
      </c>
      <c r="E6" s="37">
        <v>2177849</v>
      </c>
      <c r="F6" s="37">
        <v>1749528</v>
      </c>
      <c r="G6" s="37">
        <v>454224</v>
      </c>
      <c r="H6" s="37">
        <f>31955*12</f>
        <v>383460</v>
      </c>
      <c r="I6" s="37">
        <v>882504</v>
      </c>
      <c r="J6" s="91">
        <v>858201</v>
      </c>
      <c r="K6" s="37">
        <v>99000</v>
      </c>
      <c r="L6" s="36">
        <f t="shared" si="1"/>
        <v>6604766</v>
      </c>
    </row>
    <row r="7" spans="1:12">
      <c r="A7" s="33" t="s">
        <v>191</v>
      </c>
      <c r="B7" s="34" t="s">
        <v>192</v>
      </c>
      <c r="C7" s="34" t="s">
        <v>189</v>
      </c>
      <c r="D7" s="35" t="s">
        <v>190</v>
      </c>
      <c r="E7" s="37">
        <v>1642104</v>
      </c>
      <c r="F7" s="37">
        <v>1395624</v>
      </c>
      <c r="G7" s="37">
        <v>219620</v>
      </c>
      <c r="H7" s="37">
        <f>22516*12</f>
        <v>270192</v>
      </c>
      <c r="I7" s="37">
        <v>497280</v>
      </c>
      <c r="J7" s="91">
        <v>457431</v>
      </c>
      <c r="K7" s="37">
        <v>101988</v>
      </c>
      <c r="L7" s="36">
        <f t="shared" si="1"/>
        <v>4584239</v>
      </c>
    </row>
    <row r="8" spans="1:12">
      <c r="A8" s="33" t="s">
        <v>193</v>
      </c>
      <c r="B8" s="34" t="s">
        <v>194</v>
      </c>
      <c r="C8" s="34"/>
      <c r="D8" s="35" t="s">
        <v>183</v>
      </c>
      <c r="E8" s="36">
        <f>E9+E10</f>
        <v>450508</v>
      </c>
      <c r="F8" s="36">
        <f t="shared" ref="F8:K8" si="4">F9+F10</f>
        <v>385392</v>
      </c>
      <c r="G8" s="36">
        <f t="shared" si="4"/>
        <v>102636</v>
      </c>
      <c r="H8" s="36">
        <f t="shared" si="4"/>
        <v>86748</v>
      </c>
      <c r="I8" s="36">
        <f t="shared" si="4"/>
        <v>200352</v>
      </c>
      <c r="J8" s="36">
        <f t="shared" si="4"/>
        <v>237151</v>
      </c>
      <c r="K8" s="36">
        <f t="shared" si="4"/>
        <v>21852</v>
      </c>
      <c r="L8" s="36">
        <f t="shared" si="1"/>
        <v>1484639</v>
      </c>
    </row>
    <row r="9" spans="1:12">
      <c r="A9" s="33" t="s">
        <v>195</v>
      </c>
      <c r="B9" s="34" t="s">
        <v>196</v>
      </c>
      <c r="C9" s="34" t="s">
        <v>189</v>
      </c>
      <c r="D9" s="35" t="s">
        <v>190</v>
      </c>
      <c r="E9" s="37">
        <v>6292</v>
      </c>
      <c r="F9" s="37">
        <v>5400</v>
      </c>
      <c r="G9" s="37">
        <v>948</v>
      </c>
      <c r="H9" s="37">
        <f>93*12</f>
        <v>1116</v>
      </c>
      <c r="I9" s="37">
        <v>2328</v>
      </c>
      <c r="J9" s="91">
        <v>1663</v>
      </c>
      <c r="K9" s="37">
        <v>444</v>
      </c>
      <c r="L9" s="36">
        <f t="shared" si="1"/>
        <v>18191</v>
      </c>
    </row>
    <row r="10" spans="1:12">
      <c r="A10" s="33" t="s">
        <v>197</v>
      </c>
      <c r="B10" s="34" t="s">
        <v>198</v>
      </c>
      <c r="C10" s="34"/>
      <c r="D10" s="35" t="s">
        <v>183</v>
      </c>
      <c r="E10" s="36">
        <f>E11+E12</f>
        <v>444216</v>
      </c>
      <c r="F10" s="36">
        <f t="shared" ref="F10:K10" si="5">F11+F12</f>
        <v>379992</v>
      </c>
      <c r="G10" s="36">
        <f t="shared" si="5"/>
        <v>101688</v>
      </c>
      <c r="H10" s="36">
        <f t="shared" si="5"/>
        <v>85632</v>
      </c>
      <c r="I10" s="36">
        <f t="shared" si="5"/>
        <v>198024</v>
      </c>
      <c r="J10" s="36">
        <f t="shared" si="5"/>
        <v>235488</v>
      </c>
      <c r="K10" s="36">
        <f t="shared" si="5"/>
        <v>21408</v>
      </c>
      <c r="L10" s="36">
        <f t="shared" si="1"/>
        <v>1466448</v>
      </c>
    </row>
    <row r="11" spans="1:12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5976</v>
      </c>
      <c r="F11" s="36">
        <f t="shared" ref="F11:K11" si="6">72*F96</f>
        <v>5112</v>
      </c>
      <c r="G11" s="36">
        <f t="shared" si="6"/>
        <v>1368</v>
      </c>
      <c r="H11" s="36">
        <f t="shared" si="6"/>
        <v>1152</v>
      </c>
      <c r="I11" s="36">
        <f t="shared" si="6"/>
        <v>2664</v>
      </c>
      <c r="J11" s="36">
        <f t="shared" si="6"/>
        <v>3168</v>
      </c>
      <c r="K11" s="36">
        <f t="shared" si="6"/>
        <v>288</v>
      </c>
      <c r="L11" s="36">
        <f t="shared" si="1"/>
        <v>19728</v>
      </c>
    </row>
    <row r="12" spans="1:12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438240</v>
      </c>
      <c r="F12" s="36">
        <f t="shared" ref="F12:K12" si="7">440*12*F96</f>
        <v>374880</v>
      </c>
      <c r="G12" s="36">
        <f t="shared" si="7"/>
        <v>100320</v>
      </c>
      <c r="H12" s="36">
        <f t="shared" si="7"/>
        <v>84480</v>
      </c>
      <c r="I12" s="36">
        <f t="shared" si="7"/>
        <v>195360</v>
      </c>
      <c r="J12" s="36">
        <f t="shared" si="7"/>
        <v>232320</v>
      </c>
      <c r="K12" s="36">
        <f t="shared" si="7"/>
        <v>21120</v>
      </c>
      <c r="L12" s="36">
        <f t="shared" si="1"/>
        <v>1446720</v>
      </c>
    </row>
    <row r="13" spans="1:12">
      <c r="A13" s="33" t="s">
        <v>203</v>
      </c>
      <c r="B13" s="34" t="s">
        <v>204</v>
      </c>
      <c r="C13" s="34"/>
      <c r="D13" s="35" t="s">
        <v>205</v>
      </c>
      <c r="E13" s="36">
        <f>E14+E15+E16</f>
        <v>427915</v>
      </c>
      <c r="F13" s="36">
        <f t="shared" ref="F13:K13" si="8">F14+F15+F16</f>
        <v>336095.4</v>
      </c>
      <c r="G13" s="36">
        <f t="shared" si="8"/>
        <v>82662</v>
      </c>
      <c r="H13" s="36">
        <f t="shared" si="8"/>
        <v>69000</v>
      </c>
      <c r="I13" s="36">
        <f t="shared" si="8"/>
        <v>169482</v>
      </c>
      <c r="J13" s="36">
        <f t="shared" si="8"/>
        <v>185000</v>
      </c>
      <c r="K13" s="36">
        <f t="shared" si="8"/>
        <v>22854</v>
      </c>
      <c r="L13" s="36">
        <f t="shared" si="1"/>
        <v>1293008.3999999999</v>
      </c>
    </row>
    <row r="14" spans="1:12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256749</v>
      </c>
      <c r="F14" s="36">
        <f t="shared" ref="F14:K14" si="9">F16*3</f>
        <v>201657.24</v>
      </c>
      <c r="G14" s="36">
        <f t="shared" si="9"/>
        <v>49597.200000000004</v>
      </c>
      <c r="H14" s="36">
        <f t="shared" si="9"/>
        <v>41400</v>
      </c>
      <c r="I14" s="36">
        <f t="shared" si="9"/>
        <v>101689.20000000001</v>
      </c>
      <c r="J14" s="36">
        <f t="shared" si="9"/>
        <v>111000</v>
      </c>
      <c r="K14" s="36">
        <f t="shared" si="9"/>
        <v>13712.400000000001</v>
      </c>
      <c r="L14" s="36">
        <f t="shared" si="1"/>
        <v>775805.03999999992</v>
      </c>
    </row>
    <row r="15" spans="1:12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85583</v>
      </c>
      <c r="F15" s="36">
        <f t="shared" ref="F15:K15" si="10">F16</f>
        <v>67219.08</v>
      </c>
      <c r="G15" s="36">
        <f t="shared" si="10"/>
        <v>16532.400000000001</v>
      </c>
      <c r="H15" s="36">
        <f t="shared" si="10"/>
        <v>13800</v>
      </c>
      <c r="I15" s="36">
        <f t="shared" si="10"/>
        <v>33896.400000000001</v>
      </c>
      <c r="J15" s="36">
        <f t="shared" si="10"/>
        <v>37000</v>
      </c>
      <c r="K15" s="36">
        <f t="shared" si="10"/>
        <v>4570.8</v>
      </c>
      <c r="L15" s="36">
        <f t="shared" si="1"/>
        <v>258601.68</v>
      </c>
    </row>
    <row r="16" spans="1:12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v>85583</v>
      </c>
      <c r="F16" s="37">
        <v>67219.08</v>
      </c>
      <c r="G16" s="37">
        <v>16532.400000000001</v>
      </c>
      <c r="H16" s="37">
        <f>12*1150</f>
        <v>13800</v>
      </c>
      <c r="I16" s="37">
        <v>33896.400000000001</v>
      </c>
      <c r="J16" s="91">
        <v>37000</v>
      </c>
      <c r="K16" s="37">
        <v>4570.8</v>
      </c>
      <c r="L16" s="36">
        <f t="shared" si="1"/>
        <v>258601.68</v>
      </c>
    </row>
    <row r="17" spans="1:12">
      <c r="A17" s="33" t="s">
        <v>213</v>
      </c>
      <c r="B17" s="34" t="s">
        <v>214</v>
      </c>
      <c r="C17" s="34"/>
      <c r="D17" s="35" t="s">
        <v>183</v>
      </c>
      <c r="E17" s="36">
        <v>13301663</v>
      </c>
      <c r="F17" s="36">
        <v>11378531</v>
      </c>
      <c r="G17" s="36">
        <v>3044959</v>
      </c>
      <c r="H17" s="36">
        <v>2384320</v>
      </c>
      <c r="I17" s="36">
        <v>5513740</v>
      </c>
      <c r="J17" s="36">
        <v>6556880</v>
      </c>
      <c r="K17" s="36">
        <v>589796</v>
      </c>
      <c r="L17" s="36">
        <f t="shared" si="1"/>
        <v>42769889</v>
      </c>
    </row>
    <row r="18" spans="1:12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12961419</v>
      </c>
      <c r="F18" s="43">
        <f t="shared" ref="F18:K18" si="11">F17-F19</f>
        <v>10998631</v>
      </c>
      <c r="G18" s="43">
        <f t="shared" si="11"/>
        <v>3044959</v>
      </c>
      <c r="H18" s="43">
        <f t="shared" si="11"/>
        <v>2384320</v>
      </c>
      <c r="I18" s="43">
        <f t="shared" si="11"/>
        <v>5303740</v>
      </c>
      <c r="J18" s="43">
        <f t="shared" si="11"/>
        <v>6391302</v>
      </c>
      <c r="K18" s="43">
        <f t="shared" si="11"/>
        <v>589796</v>
      </c>
      <c r="L18" s="36">
        <f t="shared" si="1"/>
        <v>41674167</v>
      </c>
    </row>
    <row r="19" spans="1:12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340244</v>
      </c>
      <c r="F19" s="43">
        <v>379900</v>
      </c>
      <c r="G19" s="43"/>
      <c r="H19" s="43"/>
      <c r="I19" s="43">
        <v>210000</v>
      </c>
      <c r="J19" s="43">
        <v>165578</v>
      </c>
      <c r="K19" s="43"/>
      <c r="L19" s="36">
        <f t="shared" si="1"/>
        <v>1095722</v>
      </c>
    </row>
    <row r="20" spans="1:12">
      <c r="A20" s="33" t="s">
        <v>221</v>
      </c>
      <c r="B20" s="34" t="s">
        <v>222</v>
      </c>
      <c r="C20" s="34"/>
      <c r="D20" s="42" t="s">
        <v>183</v>
      </c>
      <c r="E20" s="45">
        <f>E21</f>
        <v>1711660</v>
      </c>
      <c r="F20" s="45">
        <f t="shared" ref="F20:K20" si="12">F21</f>
        <v>1344381.6</v>
      </c>
      <c r="G20" s="45">
        <f t="shared" si="12"/>
        <v>330648</v>
      </c>
      <c r="H20" s="45">
        <f t="shared" si="12"/>
        <v>276000</v>
      </c>
      <c r="I20" s="45">
        <f t="shared" si="12"/>
        <v>677928</v>
      </c>
      <c r="J20" s="45">
        <f t="shared" si="12"/>
        <v>740000</v>
      </c>
      <c r="K20" s="45">
        <f t="shared" si="12"/>
        <v>91416</v>
      </c>
      <c r="L20" s="36">
        <f t="shared" si="1"/>
        <v>5172033.5999999996</v>
      </c>
    </row>
    <row r="21" spans="1:12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1711660</v>
      </c>
      <c r="F21" s="45">
        <f t="shared" ref="F21:K21" si="13">F16*20</f>
        <v>1344381.6</v>
      </c>
      <c r="G21" s="45">
        <f t="shared" si="13"/>
        <v>330648</v>
      </c>
      <c r="H21" s="45">
        <f t="shared" si="13"/>
        <v>276000</v>
      </c>
      <c r="I21" s="45">
        <f t="shared" si="13"/>
        <v>677928</v>
      </c>
      <c r="J21" s="45">
        <f t="shared" si="13"/>
        <v>740000</v>
      </c>
      <c r="K21" s="45">
        <f t="shared" si="13"/>
        <v>91416</v>
      </c>
      <c r="L21" s="36">
        <f t="shared" si="1"/>
        <v>5172033.5999999996</v>
      </c>
    </row>
    <row r="22" spans="1:12">
      <c r="A22" s="33" t="s">
        <v>226</v>
      </c>
      <c r="B22" s="34" t="s">
        <v>227</v>
      </c>
      <c r="C22" s="34"/>
      <c r="D22" s="42" t="s">
        <v>208</v>
      </c>
      <c r="E22" s="45">
        <f>E23+E24</f>
        <v>684664</v>
      </c>
      <c r="F22" s="45">
        <f t="shared" ref="F22:K22" si="14">F23+F24</f>
        <v>537752.64</v>
      </c>
      <c r="G22" s="45">
        <f t="shared" si="14"/>
        <v>132259.20000000001</v>
      </c>
      <c r="H22" s="45">
        <f t="shared" si="14"/>
        <v>110400</v>
      </c>
      <c r="I22" s="45">
        <f t="shared" si="14"/>
        <v>271171.20000000001</v>
      </c>
      <c r="J22" s="45">
        <f t="shared" si="14"/>
        <v>296000</v>
      </c>
      <c r="K22" s="45">
        <f t="shared" si="14"/>
        <v>36566.400000000001</v>
      </c>
      <c r="L22" s="36">
        <f t="shared" si="1"/>
        <v>2068813.44</v>
      </c>
    </row>
    <row r="23" spans="1:12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342332</v>
      </c>
      <c r="F23" s="45">
        <f t="shared" ref="F23:K23" si="15">F16*4</f>
        <v>268876.32</v>
      </c>
      <c r="G23" s="45">
        <f t="shared" si="15"/>
        <v>66129.600000000006</v>
      </c>
      <c r="H23" s="45">
        <f t="shared" si="15"/>
        <v>55200</v>
      </c>
      <c r="I23" s="45">
        <f t="shared" si="15"/>
        <v>135585.60000000001</v>
      </c>
      <c r="J23" s="45">
        <f t="shared" si="15"/>
        <v>148000</v>
      </c>
      <c r="K23" s="45">
        <f t="shared" si="15"/>
        <v>18283.2</v>
      </c>
      <c r="L23" s="36">
        <f t="shared" si="1"/>
        <v>1034406.72</v>
      </c>
    </row>
    <row r="24" spans="1:12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342332</v>
      </c>
      <c r="F24" s="45">
        <f t="shared" ref="F24:K24" si="16">F16*4</f>
        <v>268876.32</v>
      </c>
      <c r="G24" s="45">
        <f t="shared" si="16"/>
        <v>66129.600000000006</v>
      </c>
      <c r="H24" s="45">
        <f t="shared" si="16"/>
        <v>55200</v>
      </c>
      <c r="I24" s="45">
        <f t="shared" si="16"/>
        <v>135585.60000000001</v>
      </c>
      <c r="J24" s="45">
        <f t="shared" si="16"/>
        <v>148000</v>
      </c>
      <c r="K24" s="45">
        <f t="shared" si="16"/>
        <v>18283.2</v>
      </c>
      <c r="L24" s="36">
        <f t="shared" si="1"/>
        <v>1034406.72</v>
      </c>
    </row>
    <row r="25" spans="1:12">
      <c r="A25" s="33" t="s">
        <v>233</v>
      </c>
      <c r="B25" s="34" t="s">
        <v>234</v>
      </c>
      <c r="C25" s="34"/>
      <c r="D25" s="35" t="s">
        <v>183</v>
      </c>
      <c r="E25" s="36">
        <f>E26</f>
        <v>2738656</v>
      </c>
      <c r="F25" s="36">
        <f t="shared" ref="F25:K25" si="17">F26</f>
        <v>2151010.56</v>
      </c>
      <c r="G25" s="36">
        <f t="shared" si="17"/>
        <v>529036.80000000005</v>
      </c>
      <c r="H25" s="36">
        <f t="shared" si="17"/>
        <v>441600</v>
      </c>
      <c r="I25" s="36">
        <f t="shared" si="17"/>
        <v>1084684.8</v>
      </c>
      <c r="J25" s="36">
        <f t="shared" si="17"/>
        <v>1184000</v>
      </c>
      <c r="K25" s="36">
        <f t="shared" si="17"/>
        <v>146265.60000000001</v>
      </c>
      <c r="L25" s="36">
        <f t="shared" si="1"/>
        <v>8275253.7599999998</v>
      </c>
    </row>
    <row r="26" spans="1:12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2738656</v>
      </c>
      <c r="F26" s="36">
        <f t="shared" ref="F26:K26" si="18">F16*32</f>
        <v>2151010.56</v>
      </c>
      <c r="G26" s="36">
        <f t="shared" si="18"/>
        <v>529036.80000000005</v>
      </c>
      <c r="H26" s="36">
        <f t="shared" si="18"/>
        <v>441600</v>
      </c>
      <c r="I26" s="36">
        <f t="shared" si="18"/>
        <v>1084684.8</v>
      </c>
      <c r="J26" s="36">
        <f t="shared" si="18"/>
        <v>1184000</v>
      </c>
      <c r="K26" s="36">
        <f t="shared" si="18"/>
        <v>146265.60000000001</v>
      </c>
      <c r="L26" s="36">
        <f t="shared" si="1"/>
        <v>8275253.7599999998</v>
      </c>
    </row>
    <row r="27" spans="1:12">
      <c r="A27" s="33" t="s">
        <v>238</v>
      </c>
      <c r="B27" s="34" t="s">
        <v>239</v>
      </c>
      <c r="C27" s="34"/>
      <c r="D27" s="35" t="s">
        <v>183</v>
      </c>
      <c r="E27" s="36">
        <f>E28</f>
        <v>1369328</v>
      </c>
      <c r="F27" s="36">
        <f t="shared" ref="F27:K27" si="19">F28</f>
        <v>1075505.28</v>
      </c>
      <c r="G27" s="36">
        <f t="shared" si="19"/>
        <v>264518.40000000002</v>
      </c>
      <c r="H27" s="36">
        <f t="shared" si="19"/>
        <v>220800</v>
      </c>
      <c r="I27" s="36">
        <f t="shared" si="19"/>
        <v>542342.40000000002</v>
      </c>
      <c r="J27" s="36">
        <f t="shared" si="19"/>
        <v>592000</v>
      </c>
      <c r="K27" s="36">
        <f t="shared" si="19"/>
        <v>73132.800000000003</v>
      </c>
      <c r="L27" s="36">
        <f t="shared" si="1"/>
        <v>4137626.88</v>
      </c>
    </row>
    <row r="28" spans="1:12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1369328</v>
      </c>
      <c r="F28" s="36">
        <f t="shared" ref="F28:K28" si="20">F16*16</f>
        <v>1075505.28</v>
      </c>
      <c r="G28" s="36">
        <f t="shared" si="20"/>
        <v>264518.40000000002</v>
      </c>
      <c r="H28" s="36">
        <f t="shared" si="20"/>
        <v>220800</v>
      </c>
      <c r="I28" s="36">
        <f t="shared" si="20"/>
        <v>542342.40000000002</v>
      </c>
      <c r="J28" s="36">
        <f t="shared" si="20"/>
        <v>592000</v>
      </c>
      <c r="K28" s="36">
        <f t="shared" si="20"/>
        <v>73132.800000000003</v>
      </c>
      <c r="L28" s="36">
        <f t="shared" si="1"/>
        <v>4137626.88</v>
      </c>
    </row>
    <row r="29" spans="1:12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796800</v>
      </c>
      <c r="F29" s="36">
        <f t="shared" ref="F29:K29" si="21">9600*F96</f>
        <v>681600</v>
      </c>
      <c r="G29" s="36">
        <f t="shared" si="21"/>
        <v>182400</v>
      </c>
      <c r="H29" s="36">
        <f t="shared" si="21"/>
        <v>153600</v>
      </c>
      <c r="I29" s="36">
        <f t="shared" si="21"/>
        <v>355200</v>
      </c>
      <c r="J29" s="36">
        <f t="shared" si="21"/>
        <v>422400</v>
      </c>
      <c r="K29" s="36">
        <f t="shared" si="21"/>
        <v>38400</v>
      </c>
      <c r="L29" s="36">
        <f t="shared" si="1"/>
        <v>2630400</v>
      </c>
    </row>
    <row r="30" spans="1:12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1198162</v>
      </c>
      <c r="F30" s="45">
        <f t="shared" ref="F30:K30" si="22">F16*14</f>
        <v>941067.12</v>
      </c>
      <c r="G30" s="45">
        <f t="shared" si="22"/>
        <v>231453.60000000003</v>
      </c>
      <c r="H30" s="45">
        <f t="shared" si="22"/>
        <v>193200</v>
      </c>
      <c r="I30" s="45">
        <f t="shared" si="22"/>
        <v>474549.60000000003</v>
      </c>
      <c r="J30" s="45">
        <f t="shared" si="22"/>
        <v>518000</v>
      </c>
      <c r="K30" s="45">
        <f t="shared" si="22"/>
        <v>63991.200000000004</v>
      </c>
      <c r="L30" s="36">
        <f t="shared" si="1"/>
        <v>3620423.5200000005</v>
      </c>
    </row>
    <row r="31" spans="1:12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13770</v>
      </c>
      <c r="F31" s="36">
        <f t="shared" ref="F31:K31" si="23">F32+F40+F42+F45+F47</f>
        <v>7680</v>
      </c>
      <c r="G31" s="36">
        <f t="shared" si="23"/>
        <v>6240</v>
      </c>
      <c r="H31" s="36">
        <f t="shared" si="23"/>
        <v>1800</v>
      </c>
      <c r="I31" s="36">
        <f t="shared" si="23"/>
        <v>9000</v>
      </c>
      <c r="J31" s="36">
        <f t="shared" si="23"/>
        <v>4080</v>
      </c>
      <c r="K31" s="36">
        <f t="shared" si="23"/>
        <v>0</v>
      </c>
      <c r="L31" s="36">
        <f t="shared" si="1"/>
        <v>42570</v>
      </c>
    </row>
    <row r="32" spans="1:12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K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1"/>
        <v>0</v>
      </c>
    </row>
    <row r="33" spans="1:12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36">
        <f t="shared" si="1"/>
        <v>0</v>
      </c>
    </row>
    <row r="34" spans="1:12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36">
        <f t="shared" si="1"/>
        <v>0</v>
      </c>
    </row>
    <row r="35" spans="1:12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36">
        <f t="shared" si="1"/>
        <v>0</v>
      </c>
    </row>
    <row r="36" spans="1:12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36">
        <f t="shared" si="1"/>
        <v>0</v>
      </c>
    </row>
    <row r="37" spans="1:12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36">
        <f t="shared" si="1"/>
        <v>0</v>
      </c>
    </row>
    <row r="38" spans="1:12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36">
        <f t="shared" si="1"/>
        <v>0</v>
      </c>
    </row>
    <row r="39" spans="1:12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36">
        <f t="shared" si="1"/>
        <v>0</v>
      </c>
    </row>
    <row r="40" spans="1:12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K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1"/>
        <v>0</v>
      </c>
    </row>
    <row r="41" spans="1:12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36">
        <f t="shared" si="1"/>
        <v>0</v>
      </c>
    </row>
    <row r="42" spans="1:12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K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1"/>
        <v>0</v>
      </c>
    </row>
    <row r="43" spans="1:12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36">
        <f t="shared" si="1"/>
        <v>0</v>
      </c>
    </row>
    <row r="44" spans="1:12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36">
        <f t="shared" si="1"/>
        <v>0</v>
      </c>
    </row>
    <row r="45" spans="1:12">
      <c r="A45" s="33" t="s">
        <v>280</v>
      </c>
      <c r="B45" s="34" t="s">
        <v>281</v>
      </c>
      <c r="C45" s="34"/>
      <c r="D45" s="35" t="s">
        <v>183</v>
      </c>
      <c r="E45" s="36">
        <f>E46</f>
        <v>5970</v>
      </c>
      <c r="F45" s="36">
        <f t="shared" ref="F45:K45" si="27">F46</f>
        <v>4680</v>
      </c>
      <c r="G45" s="36">
        <f t="shared" si="27"/>
        <v>1440</v>
      </c>
      <c r="H45" s="36">
        <f t="shared" si="27"/>
        <v>1800</v>
      </c>
      <c r="I45" s="36">
        <f t="shared" si="27"/>
        <v>6000</v>
      </c>
      <c r="J45" s="36">
        <f t="shared" si="27"/>
        <v>1080</v>
      </c>
      <c r="K45" s="36">
        <f t="shared" si="27"/>
        <v>0</v>
      </c>
      <c r="L45" s="36">
        <f t="shared" si="1"/>
        <v>20970</v>
      </c>
    </row>
    <row r="46" spans="1:12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5970</v>
      </c>
      <c r="F46" s="37">
        <v>4680</v>
      </c>
      <c r="G46" s="37">
        <v>1440</v>
      </c>
      <c r="H46" s="37">
        <f>150*12</f>
        <v>1800</v>
      </c>
      <c r="I46" s="37">
        <v>6000</v>
      </c>
      <c r="J46" s="91">
        <f>3*30*12</f>
        <v>1080</v>
      </c>
      <c r="K46" s="37"/>
      <c r="L46" s="36">
        <f t="shared" si="1"/>
        <v>20970</v>
      </c>
    </row>
    <row r="47" spans="1:12">
      <c r="A47" s="33" t="s">
        <v>284</v>
      </c>
      <c r="B47" s="34" t="s">
        <v>285</v>
      </c>
      <c r="C47" s="34"/>
      <c r="D47" s="35" t="s">
        <v>183</v>
      </c>
      <c r="E47" s="36">
        <f>SUM(E48:E51)</f>
        <v>7800</v>
      </c>
      <c r="F47" s="36">
        <f t="shared" ref="F47:K47" si="28">SUM(F48:F51)</f>
        <v>3000</v>
      </c>
      <c r="G47" s="36">
        <f t="shared" si="28"/>
        <v>4800</v>
      </c>
      <c r="H47" s="36">
        <f t="shared" si="28"/>
        <v>0</v>
      </c>
      <c r="I47" s="36">
        <f t="shared" si="28"/>
        <v>3000</v>
      </c>
      <c r="J47" s="36">
        <f t="shared" si="28"/>
        <v>3000</v>
      </c>
      <c r="K47" s="36">
        <f t="shared" si="28"/>
        <v>0</v>
      </c>
      <c r="L47" s="36">
        <f t="shared" si="1"/>
        <v>21600</v>
      </c>
    </row>
    <row r="48" spans="1:12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7800</v>
      </c>
      <c r="F48" s="37">
        <v>3000</v>
      </c>
      <c r="G48" s="37">
        <v>4800</v>
      </c>
      <c r="H48" s="37"/>
      <c r="I48" s="37">
        <v>3000</v>
      </c>
      <c r="J48" s="91">
        <f>5*50*12</f>
        <v>3000</v>
      </c>
      <c r="K48" s="37"/>
      <c r="L48" s="36">
        <f t="shared" si="1"/>
        <v>21600</v>
      </c>
    </row>
    <row r="49" spans="1:12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36">
        <f t="shared" si="1"/>
        <v>0</v>
      </c>
    </row>
    <row r="50" spans="1:12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36">
        <f t="shared" si="1"/>
        <v>0</v>
      </c>
    </row>
    <row r="51" spans="1:12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36">
        <f t="shared" si="1"/>
        <v>0</v>
      </c>
    </row>
    <row r="52" spans="1:12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3622083</v>
      </c>
      <c r="F52" s="36">
        <f t="shared" ref="F52:K52" si="29">F53+F71+F73+F75+F77+F79+F81+F83+F85+F93</f>
        <v>3512965.82</v>
      </c>
      <c r="G52" s="36">
        <f t="shared" si="29"/>
        <v>2192304.6</v>
      </c>
      <c r="H52" s="36">
        <f t="shared" si="29"/>
        <v>1027525</v>
      </c>
      <c r="I52" s="36">
        <f t="shared" si="29"/>
        <v>1522525.1</v>
      </c>
      <c r="J52" s="36">
        <f t="shared" si="29"/>
        <v>2274710.2000000002</v>
      </c>
      <c r="K52" s="36">
        <f t="shared" si="29"/>
        <v>266163.20000000001</v>
      </c>
      <c r="L52" s="36">
        <f t="shared" si="1"/>
        <v>14418276.919999998</v>
      </c>
    </row>
    <row r="53" spans="1:12">
      <c r="A53" s="33" t="s">
        <v>299</v>
      </c>
      <c r="B53" s="34" t="s">
        <v>300</v>
      </c>
      <c r="C53" s="34"/>
      <c r="D53" s="35" t="s">
        <v>301</v>
      </c>
      <c r="E53" s="36">
        <f>SUM(E54:E70)</f>
        <v>1904560</v>
      </c>
      <c r="F53" s="36">
        <f t="shared" ref="F53:K53" si="30">SUM(F54:F70)</f>
        <v>2391410</v>
      </c>
      <c r="G53" s="36">
        <f t="shared" si="30"/>
        <v>1614000</v>
      </c>
      <c r="H53" s="36">
        <f t="shared" si="30"/>
        <v>798000</v>
      </c>
      <c r="I53" s="36">
        <f t="shared" si="30"/>
        <v>1056020</v>
      </c>
      <c r="J53" s="36">
        <f t="shared" si="30"/>
        <v>1596000</v>
      </c>
      <c r="K53" s="36">
        <f t="shared" si="30"/>
        <v>128000</v>
      </c>
      <c r="L53" s="36">
        <f t="shared" si="1"/>
        <v>9487990</v>
      </c>
    </row>
    <row r="54" spans="1:12">
      <c r="A54" s="33" t="s">
        <v>302</v>
      </c>
      <c r="B54" s="34" t="s">
        <v>303</v>
      </c>
      <c r="C54" s="34" t="s">
        <v>189</v>
      </c>
      <c r="D54" s="47"/>
      <c r="E54" s="37">
        <v>726103</v>
      </c>
      <c r="F54" s="37">
        <v>400000</v>
      </c>
      <c r="G54" s="37">
        <v>150000</v>
      </c>
      <c r="H54" s="37">
        <v>325030</v>
      </c>
      <c r="I54" s="37">
        <v>274680</v>
      </c>
      <c r="J54" s="91">
        <v>594403</v>
      </c>
      <c r="K54" s="37">
        <v>121600</v>
      </c>
      <c r="L54" s="36">
        <f t="shared" si="1"/>
        <v>2591816</v>
      </c>
    </row>
    <row r="55" spans="1:12">
      <c r="A55" s="33" t="s">
        <v>304</v>
      </c>
      <c r="B55" s="34" t="s">
        <v>305</v>
      </c>
      <c r="C55" s="34" t="s">
        <v>189</v>
      </c>
      <c r="D55" s="47"/>
      <c r="E55" s="37">
        <v>70000</v>
      </c>
      <c r="F55" s="37">
        <v>70000</v>
      </c>
      <c r="G55" s="37"/>
      <c r="H55" s="37">
        <v>0</v>
      </c>
      <c r="I55" s="37"/>
      <c r="J55" s="91"/>
      <c r="K55" s="37"/>
      <c r="L55" s="36">
        <f t="shared" si="1"/>
        <v>140000</v>
      </c>
    </row>
    <row r="56" spans="1:12">
      <c r="A56" s="33" t="s">
        <v>306</v>
      </c>
      <c r="B56" s="34" t="s">
        <v>307</v>
      </c>
      <c r="C56" s="34" t="s">
        <v>189</v>
      </c>
      <c r="D56" s="47"/>
      <c r="E56" s="37">
        <v>15000</v>
      </c>
      <c r="F56" s="37"/>
      <c r="G56" s="37"/>
      <c r="H56" s="37">
        <v>5000</v>
      </c>
      <c r="I56" s="37"/>
      <c r="J56" s="91"/>
      <c r="K56" s="37"/>
      <c r="L56" s="36">
        <f t="shared" si="1"/>
        <v>20000</v>
      </c>
    </row>
    <row r="57" spans="1:12">
      <c r="A57" s="33" t="s">
        <v>308</v>
      </c>
      <c r="B57" s="34" t="s">
        <v>309</v>
      </c>
      <c r="C57" s="34" t="s">
        <v>189</v>
      </c>
      <c r="D57" s="47"/>
      <c r="E57" s="37">
        <v>65000</v>
      </c>
      <c r="F57" s="37">
        <v>50000</v>
      </c>
      <c r="G57" s="37">
        <v>20000</v>
      </c>
      <c r="H57" s="37">
        <v>8000</v>
      </c>
      <c r="I57" s="37">
        <v>25000</v>
      </c>
      <c r="J57" s="91">
        <v>60000</v>
      </c>
      <c r="K57" s="37"/>
      <c r="L57" s="36">
        <f t="shared" si="1"/>
        <v>228000</v>
      </c>
    </row>
    <row r="58" spans="1:12">
      <c r="A58" s="33" t="s">
        <v>310</v>
      </c>
      <c r="B58" s="34" t="s">
        <v>311</v>
      </c>
      <c r="C58" s="34" t="s">
        <v>189</v>
      </c>
      <c r="D58" s="47"/>
      <c r="E58" s="37">
        <v>200000</v>
      </c>
      <c r="F58" s="37">
        <v>90000</v>
      </c>
      <c r="G58" s="37">
        <v>40000</v>
      </c>
      <c r="H58" s="37">
        <v>40000</v>
      </c>
      <c r="I58" s="37">
        <v>80000</v>
      </c>
      <c r="J58" s="91">
        <v>160000</v>
      </c>
      <c r="K58" s="37"/>
      <c r="L58" s="36">
        <f t="shared" si="1"/>
        <v>610000</v>
      </c>
    </row>
    <row r="59" spans="1:12">
      <c r="A59" s="33" t="s">
        <v>312</v>
      </c>
      <c r="B59" s="34" t="s">
        <v>313</v>
      </c>
      <c r="C59" s="34" t="s">
        <v>189</v>
      </c>
      <c r="D59" s="47"/>
      <c r="E59" s="37">
        <v>10000</v>
      </c>
      <c r="F59" s="37">
        <v>5000</v>
      </c>
      <c r="G59" s="37">
        <v>5000</v>
      </c>
      <c r="H59" s="37">
        <v>5000</v>
      </c>
      <c r="I59" s="37">
        <v>4500</v>
      </c>
      <c r="J59" s="91">
        <v>8000</v>
      </c>
      <c r="K59" s="37"/>
      <c r="L59" s="36">
        <f t="shared" si="1"/>
        <v>37500</v>
      </c>
    </row>
    <row r="60" spans="1:12">
      <c r="A60" s="33" t="s">
        <v>314</v>
      </c>
      <c r="B60" s="34" t="s">
        <v>315</v>
      </c>
      <c r="C60" s="34" t="s">
        <v>189</v>
      </c>
      <c r="D60" s="47"/>
      <c r="E60" s="37">
        <v>50000</v>
      </c>
      <c r="F60" s="37">
        <v>20000</v>
      </c>
      <c r="G60" s="37">
        <v>5000</v>
      </c>
      <c r="H60" s="37">
        <v>20000</v>
      </c>
      <c r="I60" s="37">
        <v>15000</v>
      </c>
      <c r="J60" s="91">
        <v>10000</v>
      </c>
      <c r="K60" s="37"/>
      <c r="L60" s="36">
        <f t="shared" si="1"/>
        <v>120000</v>
      </c>
    </row>
    <row r="61" spans="1:12">
      <c r="A61" s="33" t="s">
        <v>316</v>
      </c>
      <c r="B61" s="34" t="s">
        <v>317</v>
      </c>
      <c r="C61" s="34" t="s">
        <v>189</v>
      </c>
      <c r="D61" s="47"/>
      <c r="E61" s="37">
        <v>60000</v>
      </c>
      <c r="F61" s="37">
        <v>160000</v>
      </c>
      <c r="G61" s="37">
        <v>200000</v>
      </c>
      <c r="H61" s="37">
        <v>30000</v>
      </c>
      <c r="I61" s="37">
        <v>100000</v>
      </c>
      <c r="J61" s="91">
        <v>250000</v>
      </c>
      <c r="K61" s="37"/>
      <c r="L61" s="36">
        <f t="shared" si="1"/>
        <v>800000</v>
      </c>
    </row>
    <row r="62" spans="1:12">
      <c r="A62" s="33" t="s">
        <v>318</v>
      </c>
      <c r="B62" s="34" t="s">
        <v>319</v>
      </c>
      <c r="C62" s="34" t="s">
        <v>189</v>
      </c>
      <c r="D62" s="47"/>
      <c r="E62" s="37">
        <v>0</v>
      </c>
      <c r="F62" s="37">
        <v>10000</v>
      </c>
      <c r="G62" s="37"/>
      <c r="H62" s="37">
        <v>0</v>
      </c>
      <c r="I62" s="37"/>
      <c r="J62" s="91">
        <v>1000</v>
      </c>
      <c r="K62" s="37"/>
      <c r="L62" s="36">
        <f t="shared" si="1"/>
        <v>11000</v>
      </c>
    </row>
    <row r="63" spans="1:12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95228</v>
      </c>
      <c r="F63" s="37">
        <v>119570.5</v>
      </c>
      <c r="G63" s="37">
        <v>17619.5</v>
      </c>
      <c r="H63" s="37">
        <v>11970</v>
      </c>
      <c r="I63" s="37">
        <v>52801</v>
      </c>
      <c r="J63" s="91">
        <v>67697</v>
      </c>
      <c r="K63" s="37">
        <v>6400</v>
      </c>
      <c r="L63" s="36">
        <f t="shared" si="1"/>
        <v>371286</v>
      </c>
    </row>
    <row r="64" spans="1:12">
      <c r="A64" s="33" t="s">
        <v>324</v>
      </c>
      <c r="B64" s="34" t="s">
        <v>325</v>
      </c>
      <c r="C64" s="34" t="s">
        <v>189</v>
      </c>
      <c r="D64" s="47"/>
      <c r="E64" s="37">
        <v>10000</v>
      </c>
      <c r="F64" s="37">
        <v>20000</v>
      </c>
      <c r="G64" s="37">
        <v>5000</v>
      </c>
      <c r="H64" s="37">
        <v>2000</v>
      </c>
      <c r="I64" s="37">
        <v>2000</v>
      </c>
      <c r="J64" s="91">
        <v>1000</v>
      </c>
      <c r="K64" s="37"/>
      <c r="L64" s="36">
        <f t="shared" si="1"/>
        <v>40000</v>
      </c>
    </row>
    <row r="65" spans="1:12">
      <c r="A65" s="33" t="s">
        <v>326</v>
      </c>
      <c r="B65" s="34" t="s">
        <v>327</v>
      </c>
      <c r="C65" s="34" t="s">
        <v>189</v>
      </c>
      <c r="D65" s="47"/>
      <c r="E65" s="37">
        <v>80000</v>
      </c>
      <c r="F65" s="37">
        <v>200000</v>
      </c>
      <c r="G65" s="37"/>
      <c r="H65" s="37">
        <v>0</v>
      </c>
      <c r="I65" s="37"/>
      <c r="J65" s="91"/>
      <c r="K65" s="37"/>
      <c r="L65" s="36">
        <f t="shared" si="1"/>
        <v>280000</v>
      </c>
    </row>
    <row r="66" spans="1:12">
      <c r="A66" s="33" t="s">
        <v>328</v>
      </c>
      <c r="B66" s="34" t="s">
        <v>329</v>
      </c>
      <c r="C66" s="34" t="s">
        <v>189</v>
      </c>
      <c r="D66" s="47"/>
      <c r="E66" s="37">
        <v>30000</v>
      </c>
      <c r="F66" s="37">
        <v>20000</v>
      </c>
      <c r="G66" s="37">
        <v>10000</v>
      </c>
      <c r="H66" s="37">
        <v>10000</v>
      </c>
      <c r="I66" s="37">
        <v>10000</v>
      </c>
      <c r="J66" s="91">
        <v>10000</v>
      </c>
      <c r="K66" s="37"/>
      <c r="L66" s="36">
        <f t="shared" si="1"/>
        <v>90000</v>
      </c>
    </row>
    <row r="67" spans="1:12">
      <c r="A67" s="33" t="s">
        <v>330</v>
      </c>
      <c r="B67" s="34" t="s">
        <v>331</v>
      </c>
      <c r="C67" s="34" t="s">
        <v>189</v>
      </c>
      <c r="D67" s="47"/>
      <c r="E67" s="37">
        <v>200000</v>
      </c>
      <c r="F67" s="37">
        <v>550000</v>
      </c>
      <c r="G67" s="37">
        <v>565279.5</v>
      </c>
      <c r="H67" s="37">
        <v>50000</v>
      </c>
      <c r="I67" s="37">
        <v>160000</v>
      </c>
      <c r="J67" s="91">
        <v>79500</v>
      </c>
      <c r="K67" s="37"/>
      <c r="L67" s="36">
        <f t="shared" ref="L67:L109" si="31">SUM(E67:K67)</f>
        <v>1604779.5</v>
      </c>
    </row>
    <row r="68" spans="1:12">
      <c r="A68" s="33" t="s">
        <v>332</v>
      </c>
      <c r="B68" s="34" t="s">
        <v>333</v>
      </c>
      <c r="C68" s="34" t="s">
        <v>189</v>
      </c>
      <c r="D68" s="47"/>
      <c r="E68" s="37">
        <v>123229</v>
      </c>
      <c r="F68" s="37">
        <v>176839.5</v>
      </c>
      <c r="G68" s="37">
        <v>8000</v>
      </c>
      <c r="H68" s="37">
        <f>1000+120000+10000</f>
        <v>131000</v>
      </c>
      <c r="I68" s="37">
        <v>32039</v>
      </c>
      <c r="J68" s="91">
        <v>239400</v>
      </c>
      <c r="K68" s="37"/>
      <c r="L68" s="36">
        <f t="shared" si="31"/>
        <v>710507.5</v>
      </c>
    </row>
    <row r="69" spans="1:12">
      <c r="A69" s="33" t="s">
        <v>334</v>
      </c>
      <c r="B69" s="34" t="s">
        <v>335</v>
      </c>
      <c r="C69" s="34" t="s">
        <v>189</v>
      </c>
      <c r="D69" s="47"/>
      <c r="E69" s="37">
        <v>120000</v>
      </c>
      <c r="F69" s="37">
        <v>500000</v>
      </c>
      <c r="G69" s="37"/>
      <c r="H69" s="37">
        <v>110000</v>
      </c>
      <c r="I69" s="37">
        <v>300000</v>
      </c>
      <c r="J69" s="91">
        <v>40000</v>
      </c>
      <c r="K69" s="37"/>
      <c r="L69" s="36">
        <f t="shared" si="31"/>
        <v>1070000</v>
      </c>
    </row>
    <row r="70" spans="1:12">
      <c r="A70" s="33" t="s">
        <v>336</v>
      </c>
      <c r="B70" s="34" t="s">
        <v>337</v>
      </c>
      <c r="C70" s="34" t="s">
        <v>189</v>
      </c>
      <c r="D70" s="47"/>
      <c r="E70" s="37">
        <v>50000</v>
      </c>
      <c r="F70" s="37"/>
      <c r="G70" s="37">
        <v>588101</v>
      </c>
      <c r="H70" s="37">
        <v>50000</v>
      </c>
      <c r="I70" s="37"/>
      <c r="J70" s="91">
        <v>75000</v>
      </c>
      <c r="K70" s="37"/>
      <c r="L70" s="36">
        <f t="shared" si="31"/>
        <v>763101</v>
      </c>
    </row>
    <row r="71" spans="1:12">
      <c r="A71" s="33" t="s">
        <v>338</v>
      </c>
      <c r="B71" s="34" t="s">
        <v>339</v>
      </c>
      <c r="C71" s="34"/>
      <c r="D71" s="35"/>
      <c r="E71" s="36">
        <f>E72</f>
        <v>33200</v>
      </c>
      <c r="F71" s="36">
        <f t="shared" ref="F71:K71" si="32">F72</f>
        <v>28400</v>
      </c>
      <c r="G71" s="36">
        <f t="shared" si="32"/>
        <v>7600</v>
      </c>
      <c r="H71" s="36">
        <f t="shared" si="32"/>
        <v>6400</v>
      </c>
      <c r="I71" s="36">
        <f t="shared" si="32"/>
        <v>14800</v>
      </c>
      <c r="J71" s="36">
        <f t="shared" si="32"/>
        <v>17600</v>
      </c>
      <c r="K71" s="36">
        <f t="shared" si="32"/>
        <v>1600</v>
      </c>
      <c r="L71" s="36">
        <f t="shared" si="31"/>
        <v>109600</v>
      </c>
    </row>
    <row r="72" spans="1:12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33200</v>
      </c>
      <c r="F72" s="36">
        <f t="shared" ref="F72:K72" si="33">F96*400</f>
        <v>28400</v>
      </c>
      <c r="G72" s="36">
        <f t="shared" si="33"/>
        <v>7600</v>
      </c>
      <c r="H72" s="36">
        <f t="shared" si="33"/>
        <v>6400</v>
      </c>
      <c r="I72" s="36">
        <f t="shared" si="33"/>
        <v>14800</v>
      </c>
      <c r="J72" s="36">
        <f t="shared" si="33"/>
        <v>17600</v>
      </c>
      <c r="K72" s="36">
        <f t="shared" si="33"/>
        <v>1600</v>
      </c>
      <c r="L72" s="36">
        <f t="shared" si="31"/>
        <v>109600</v>
      </c>
    </row>
    <row r="73" spans="1:12">
      <c r="A73" s="33" t="s">
        <v>343</v>
      </c>
      <c r="B73" s="34" t="s">
        <v>344</v>
      </c>
      <c r="C73" s="34"/>
      <c r="D73" s="35" t="s">
        <v>183</v>
      </c>
      <c r="E73" s="36">
        <f>E74</f>
        <v>512967.00000000006</v>
      </c>
      <c r="F73" s="36">
        <f t="shared" ref="F73:K73" si="34">F74</f>
        <v>100471.5</v>
      </c>
      <c r="G73" s="36">
        <f t="shared" si="34"/>
        <v>297375</v>
      </c>
      <c r="H73" s="36">
        <f t="shared" si="34"/>
        <v>22725</v>
      </c>
      <c r="I73" s="36">
        <f t="shared" si="34"/>
        <v>86839.5</v>
      </c>
      <c r="J73" s="36">
        <f t="shared" si="34"/>
        <v>224590.2</v>
      </c>
      <c r="K73" s="36">
        <f t="shared" si="34"/>
        <v>45000</v>
      </c>
      <c r="L73" s="36">
        <f t="shared" si="31"/>
        <v>1289968.2</v>
      </c>
    </row>
    <row r="74" spans="1:12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512967.00000000006</v>
      </c>
      <c r="F74" s="36">
        <f t="shared" ref="F74:K74" si="35">F108*15</f>
        <v>100471.5</v>
      </c>
      <c r="G74" s="36">
        <f t="shared" si="35"/>
        <v>297375</v>
      </c>
      <c r="H74" s="36">
        <f t="shared" si="35"/>
        <v>22725</v>
      </c>
      <c r="I74" s="36">
        <f t="shared" si="35"/>
        <v>86839.5</v>
      </c>
      <c r="J74" s="36">
        <f t="shared" si="35"/>
        <v>224590.2</v>
      </c>
      <c r="K74" s="36">
        <f t="shared" si="35"/>
        <v>45000</v>
      </c>
      <c r="L74" s="36">
        <f t="shared" si="31"/>
        <v>1289968.2</v>
      </c>
    </row>
    <row r="75" spans="1:12">
      <c r="A75" s="33" t="s">
        <v>348</v>
      </c>
      <c r="B75" s="34" t="s">
        <v>349</v>
      </c>
      <c r="C75" s="34"/>
      <c r="D75" s="35" t="s">
        <v>183</v>
      </c>
      <c r="E75" s="36">
        <f>E76</f>
        <v>178864</v>
      </c>
      <c r="F75" s="36">
        <f t="shared" ref="F75:K75" si="36">F76</f>
        <v>40528</v>
      </c>
      <c r="G75" s="36">
        <f t="shared" si="36"/>
        <v>93120</v>
      </c>
      <c r="H75" s="36">
        <f t="shared" si="36"/>
        <v>1600</v>
      </c>
      <c r="I75" s="36">
        <f t="shared" si="36"/>
        <v>28000</v>
      </c>
      <c r="J75" s="36">
        <f t="shared" si="36"/>
        <v>66440</v>
      </c>
      <c r="K75" s="36">
        <f t="shared" si="36"/>
        <v>24000</v>
      </c>
      <c r="L75" s="36">
        <f t="shared" si="31"/>
        <v>432552</v>
      </c>
    </row>
    <row r="76" spans="1:12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178864</v>
      </c>
      <c r="F76" s="36">
        <f t="shared" ref="F76:K76" si="37">F109*8</f>
        <v>40528</v>
      </c>
      <c r="G76" s="36">
        <f t="shared" si="37"/>
        <v>93120</v>
      </c>
      <c r="H76" s="36">
        <f t="shared" si="37"/>
        <v>1600</v>
      </c>
      <c r="I76" s="36">
        <f t="shared" si="37"/>
        <v>28000</v>
      </c>
      <c r="J76" s="36">
        <f t="shared" si="37"/>
        <v>66440</v>
      </c>
      <c r="K76" s="36">
        <f t="shared" si="37"/>
        <v>24000</v>
      </c>
      <c r="L76" s="36">
        <f t="shared" si="31"/>
        <v>432552</v>
      </c>
    </row>
    <row r="77" spans="1:12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K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1"/>
        <v>0</v>
      </c>
    </row>
    <row r="78" spans="1:12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36">
        <f t="shared" si="31"/>
        <v>0</v>
      </c>
    </row>
    <row r="79" spans="1:12">
      <c r="A79" s="33" t="s">
        <v>357</v>
      </c>
      <c r="B79" s="34" t="s">
        <v>358</v>
      </c>
      <c r="C79" s="34"/>
      <c r="D79" s="35" t="s">
        <v>183</v>
      </c>
      <c r="E79" s="36">
        <f>E80</f>
        <v>358560</v>
      </c>
      <c r="F79" s="36">
        <f t="shared" ref="F79:K79" si="39">F80</f>
        <v>306720</v>
      </c>
      <c r="G79" s="36">
        <f t="shared" si="39"/>
        <v>82080</v>
      </c>
      <c r="H79" s="36">
        <f t="shared" si="39"/>
        <v>69120</v>
      </c>
      <c r="I79" s="36">
        <f t="shared" si="39"/>
        <v>159840</v>
      </c>
      <c r="J79" s="36">
        <f t="shared" si="39"/>
        <v>190080</v>
      </c>
      <c r="K79" s="36">
        <f t="shared" si="39"/>
        <v>17280</v>
      </c>
      <c r="L79" s="36">
        <f t="shared" si="31"/>
        <v>1183680</v>
      </c>
    </row>
    <row r="80" spans="1:12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358560</v>
      </c>
      <c r="F80" s="36">
        <f t="shared" ref="F80:K80" si="40">F96*4320</f>
        <v>306720</v>
      </c>
      <c r="G80" s="36">
        <f t="shared" si="40"/>
        <v>82080</v>
      </c>
      <c r="H80" s="36">
        <f t="shared" si="40"/>
        <v>69120</v>
      </c>
      <c r="I80" s="36">
        <f t="shared" si="40"/>
        <v>159840</v>
      </c>
      <c r="J80" s="36">
        <f t="shared" si="40"/>
        <v>190080</v>
      </c>
      <c r="K80" s="36">
        <f t="shared" si="40"/>
        <v>17280</v>
      </c>
      <c r="L80" s="36">
        <f t="shared" si="31"/>
        <v>1183680</v>
      </c>
    </row>
    <row r="81" spans="1:12">
      <c r="A81" s="33" t="s">
        <v>362</v>
      </c>
      <c r="B81" s="34" t="s">
        <v>363</v>
      </c>
      <c r="C81" s="34"/>
      <c r="D81" s="35" t="s">
        <v>183</v>
      </c>
      <c r="E81" s="36">
        <f>E82</f>
        <v>342332</v>
      </c>
      <c r="F81" s="36">
        <f t="shared" ref="F81:K81" si="41">F82</f>
        <v>268876.32</v>
      </c>
      <c r="G81" s="36">
        <f t="shared" si="41"/>
        <v>66129.600000000006</v>
      </c>
      <c r="H81" s="36">
        <f t="shared" si="41"/>
        <v>55200</v>
      </c>
      <c r="I81" s="36">
        <f t="shared" si="41"/>
        <v>135585.60000000001</v>
      </c>
      <c r="J81" s="36">
        <f t="shared" si="41"/>
        <v>148000</v>
      </c>
      <c r="K81" s="36">
        <f t="shared" si="41"/>
        <v>18283.2</v>
      </c>
      <c r="L81" s="36">
        <f t="shared" si="31"/>
        <v>1034406.72</v>
      </c>
    </row>
    <row r="82" spans="1:12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342332</v>
      </c>
      <c r="F82" s="36">
        <f t="shared" ref="F82:K82" si="42">F16*4</f>
        <v>268876.32</v>
      </c>
      <c r="G82" s="36">
        <f t="shared" si="42"/>
        <v>66129.600000000006</v>
      </c>
      <c r="H82" s="36">
        <f t="shared" si="42"/>
        <v>55200</v>
      </c>
      <c r="I82" s="36">
        <f t="shared" si="42"/>
        <v>135585.60000000001</v>
      </c>
      <c r="J82" s="36">
        <f t="shared" si="42"/>
        <v>148000</v>
      </c>
      <c r="K82" s="36">
        <f t="shared" si="42"/>
        <v>18283.2</v>
      </c>
      <c r="L82" s="36">
        <f t="shared" si="31"/>
        <v>1034406.72</v>
      </c>
    </row>
    <row r="83" spans="1:12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K83" si="43">F84</f>
        <v>32000</v>
      </c>
      <c r="G83" s="36">
        <f t="shared" si="43"/>
        <v>0</v>
      </c>
      <c r="H83" s="36">
        <f t="shared" si="43"/>
        <v>0</v>
      </c>
      <c r="I83" s="36">
        <f t="shared" si="43"/>
        <v>0</v>
      </c>
      <c r="J83" s="36">
        <f t="shared" si="43"/>
        <v>0</v>
      </c>
      <c r="K83" s="36">
        <f t="shared" si="43"/>
        <v>0</v>
      </c>
      <c r="L83" s="36">
        <f t="shared" si="31"/>
        <v>64000</v>
      </c>
    </row>
    <row r="84" spans="1:12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/>
      <c r="H84" s="37"/>
      <c r="I84" s="37"/>
      <c r="J84" s="37"/>
      <c r="K84" s="37"/>
      <c r="L84" s="36">
        <f t="shared" si="31"/>
        <v>64000</v>
      </c>
    </row>
    <row r="85" spans="1:12">
      <c r="A85" s="33" t="s">
        <v>371</v>
      </c>
      <c r="B85" s="34" t="s">
        <v>372</v>
      </c>
      <c r="C85" s="34"/>
      <c r="D85" s="35" t="s">
        <v>183</v>
      </c>
      <c r="E85" s="36">
        <f>E86+E89+E92</f>
        <v>259600</v>
      </c>
      <c r="F85" s="36">
        <f t="shared" ref="F85:K85" si="44">F86+F89+F92</f>
        <v>344560</v>
      </c>
      <c r="G85" s="36">
        <f t="shared" si="44"/>
        <v>0</v>
      </c>
      <c r="H85" s="36">
        <f t="shared" si="44"/>
        <v>42480</v>
      </c>
      <c r="I85" s="36">
        <f t="shared" si="44"/>
        <v>9440</v>
      </c>
      <c r="J85" s="36">
        <f t="shared" si="44"/>
        <v>0</v>
      </c>
      <c r="K85" s="36">
        <f t="shared" si="44"/>
        <v>0</v>
      </c>
      <c r="L85" s="36">
        <f t="shared" si="31"/>
        <v>656080</v>
      </c>
    </row>
    <row r="86" spans="1:12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K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31"/>
        <v>0</v>
      </c>
    </row>
    <row r="87" spans="1:12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36">
        <f t="shared" si="31"/>
        <v>0</v>
      </c>
    </row>
    <row r="88" spans="1:12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36">
        <f t="shared" si="31"/>
        <v>0</v>
      </c>
    </row>
    <row r="89" spans="1:12">
      <c r="A89" s="33" t="s">
        <v>380</v>
      </c>
      <c r="B89" s="34" t="s">
        <v>381</v>
      </c>
      <c r="C89" s="34"/>
      <c r="D89" s="35" t="s">
        <v>183</v>
      </c>
      <c r="E89" s="36">
        <f>E90+E91</f>
        <v>259600</v>
      </c>
      <c r="F89" s="36">
        <f t="shared" ref="F89:K89" si="46">F90+F91</f>
        <v>344560</v>
      </c>
      <c r="G89" s="36">
        <f t="shared" si="46"/>
        <v>0</v>
      </c>
      <c r="H89" s="36">
        <f t="shared" si="46"/>
        <v>42480</v>
      </c>
      <c r="I89" s="36">
        <f t="shared" si="46"/>
        <v>9440</v>
      </c>
      <c r="J89" s="36">
        <f t="shared" si="46"/>
        <v>0</v>
      </c>
      <c r="K89" s="36">
        <f t="shared" si="46"/>
        <v>0</v>
      </c>
      <c r="L89" s="36">
        <f t="shared" si="31"/>
        <v>656080</v>
      </c>
    </row>
    <row r="90" spans="1:12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22000</v>
      </c>
      <c r="F90" s="36">
        <f t="shared" ref="F90:K90" si="47">F107*400</f>
        <v>29200</v>
      </c>
      <c r="G90" s="36">
        <f t="shared" si="47"/>
        <v>0</v>
      </c>
      <c r="H90" s="36">
        <f t="shared" si="47"/>
        <v>3600</v>
      </c>
      <c r="I90" s="36">
        <f t="shared" si="47"/>
        <v>800</v>
      </c>
      <c r="J90" s="36">
        <f t="shared" si="47"/>
        <v>0</v>
      </c>
      <c r="K90" s="36">
        <f t="shared" si="47"/>
        <v>0</v>
      </c>
      <c r="L90" s="36">
        <f t="shared" si="31"/>
        <v>55600</v>
      </c>
    </row>
    <row r="91" spans="1:12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237600</v>
      </c>
      <c r="F91" s="36">
        <f t="shared" ref="F91:K91" si="48">F107*4320</f>
        <v>315360</v>
      </c>
      <c r="G91" s="36">
        <f t="shared" si="48"/>
        <v>0</v>
      </c>
      <c r="H91" s="36">
        <f t="shared" si="48"/>
        <v>38880</v>
      </c>
      <c r="I91" s="36">
        <f t="shared" si="48"/>
        <v>8640</v>
      </c>
      <c r="J91" s="36">
        <f t="shared" si="48"/>
        <v>0</v>
      </c>
      <c r="K91" s="36">
        <f t="shared" si="48"/>
        <v>0</v>
      </c>
      <c r="L91" s="36">
        <f t="shared" si="31"/>
        <v>600480</v>
      </c>
    </row>
    <row r="92" spans="1:12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36">
        <f t="shared" si="31"/>
        <v>0</v>
      </c>
    </row>
    <row r="93" spans="1:12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K93" si="49">F94</f>
        <v>0</v>
      </c>
      <c r="G93" s="36">
        <f t="shared" si="49"/>
        <v>32000</v>
      </c>
      <c r="H93" s="36">
        <f t="shared" si="49"/>
        <v>32000</v>
      </c>
      <c r="I93" s="36">
        <f t="shared" si="49"/>
        <v>32000</v>
      </c>
      <c r="J93" s="36">
        <f t="shared" si="49"/>
        <v>32000</v>
      </c>
      <c r="K93" s="36">
        <f t="shared" si="49"/>
        <v>32000</v>
      </c>
      <c r="L93" s="36">
        <f t="shared" si="31"/>
        <v>160000</v>
      </c>
    </row>
    <row r="94" spans="1:12" ht="57" thickBot="1">
      <c r="A94" s="33" t="s">
        <v>392</v>
      </c>
      <c r="B94" s="50" t="s">
        <v>393</v>
      </c>
      <c r="C94" s="34" t="s">
        <v>189</v>
      </c>
      <c r="D94" s="51" t="s">
        <v>521</v>
      </c>
      <c r="E94" s="52"/>
      <c r="F94" s="52"/>
      <c r="G94" s="37">
        <v>32000</v>
      </c>
      <c r="H94" s="37">
        <v>32000</v>
      </c>
      <c r="I94" s="37">
        <v>32000</v>
      </c>
      <c r="J94" s="37">
        <v>32000</v>
      </c>
      <c r="K94" s="37">
        <v>32000</v>
      </c>
      <c r="L94" s="36">
        <f t="shared" si="31"/>
        <v>160000</v>
      </c>
    </row>
    <row r="95" spans="1:12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36">
        <f t="shared" si="31"/>
        <v>0</v>
      </c>
    </row>
    <row r="96" spans="1:12" ht="22.5">
      <c r="A96" s="33" t="s">
        <v>397</v>
      </c>
      <c r="B96" s="34" t="s">
        <v>398</v>
      </c>
      <c r="C96" s="34"/>
      <c r="D96" s="35" t="s">
        <v>522</v>
      </c>
      <c r="E96" s="36">
        <f>E97+E98+E99+E100</f>
        <v>83</v>
      </c>
      <c r="F96" s="36">
        <f t="shared" ref="F96:K96" si="50">F97+F98+F99+F100</f>
        <v>71</v>
      </c>
      <c r="G96" s="36">
        <f t="shared" si="50"/>
        <v>19</v>
      </c>
      <c r="H96" s="36">
        <f t="shared" si="50"/>
        <v>16</v>
      </c>
      <c r="I96" s="36">
        <f t="shared" si="50"/>
        <v>37</v>
      </c>
      <c r="J96" s="36">
        <f t="shared" si="50"/>
        <v>44</v>
      </c>
      <c r="K96" s="36">
        <f t="shared" si="50"/>
        <v>4</v>
      </c>
      <c r="L96" s="36">
        <f t="shared" si="31"/>
        <v>274</v>
      </c>
    </row>
    <row r="97" spans="1:12">
      <c r="A97" s="33" t="s">
        <v>400</v>
      </c>
      <c r="B97" s="56" t="s">
        <v>401</v>
      </c>
      <c r="C97" s="56"/>
      <c r="D97" s="42"/>
      <c r="E97" s="43">
        <v>83</v>
      </c>
      <c r="F97" s="43"/>
      <c r="G97" s="43"/>
      <c r="H97" s="43"/>
      <c r="I97" s="43"/>
      <c r="J97" s="43"/>
      <c r="K97" s="43"/>
      <c r="L97" s="36">
        <f t="shared" si="31"/>
        <v>83</v>
      </c>
    </row>
    <row r="98" spans="1:12">
      <c r="A98" s="33" t="s">
        <v>402</v>
      </c>
      <c r="B98" s="56" t="s">
        <v>403</v>
      </c>
      <c r="C98" s="56"/>
      <c r="D98" s="35"/>
      <c r="E98" s="37"/>
      <c r="F98" s="37">
        <v>71</v>
      </c>
      <c r="G98" s="37">
        <v>19</v>
      </c>
      <c r="H98" s="37"/>
      <c r="I98" s="37"/>
      <c r="J98" s="37"/>
      <c r="K98" s="37"/>
      <c r="L98" s="36">
        <f t="shared" si="31"/>
        <v>90</v>
      </c>
    </row>
    <row r="99" spans="1:12">
      <c r="A99" s="33" t="s">
        <v>404</v>
      </c>
      <c r="B99" s="56" t="s">
        <v>405</v>
      </c>
      <c r="C99" s="56"/>
      <c r="D99" s="42"/>
      <c r="E99" s="43"/>
      <c r="F99" s="43"/>
      <c r="G99" s="43"/>
      <c r="H99" s="43">
        <v>16</v>
      </c>
      <c r="I99" s="43">
        <v>37</v>
      </c>
      <c r="J99" s="92">
        <v>44</v>
      </c>
      <c r="K99" s="43"/>
      <c r="L99" s="36">
        <f t="shared" si="31"/>
        <v>97</v>
      </c>
    </row>
    <row r="100" spans="1:12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>
        <v>4</v>
      </c>
      <c r="L100" s="36">
        <f t="shared" si="31"/>
        <v>4</v>
      </c>
    </row>
    <row r="101" spans="1:12" ht="33.75">
      <c r="A101" s="33" t="s">
        <v>408</v>
      </c>
      <c r="B101" s="34" t="s">
        <v>409</v>
      </c>
      <c r="C101" s="34"/>
      <c r="D101" s="35" t="s">
        <v>523</v>
      </c>
      <c r="E101" s="36">
        <f>E102+E103+E104+E105</f>
        <v>667</v>
      </c>
      <c r="F101" s="36">
        <f t="shared" ref="F101:K101" si="51">F102+F103+F104+F105</f>
        <v>889</v>
      </c>
      <c r="G101" s="36">
        <f t="shared" si="51"/>
        <v>131</v>
      </c>
      <c r="H101" s="36">
        <f t="shared" si="51"/>
        <v>90</v>
      </c>
      <c r="I101" s="36">
        <f t="shared" si="51"/>
        <v>397</v>
      </c>
      <c r="J101" s="36">
        <f t="shared" si="51"/>
        <v>509</v>
      </c>
      <c r="K101" s="36">
        <f t="shared" si="51"/>
        <v>0</v>
      </c>
      <c r="L101" s="36">
        <f t="shared" si="31"/>
        <v>2683</v>
      </c>
    </row>
    <row r="102" spans="1:12">
      <c r="A102" s="33" t="s">
        <v>411</v>
      </c>
      <c r="B102" s="56" t="s">
        <v>401</v>
      </c>
      <c r="C102" s="56"/>
      <c r="D102" s="42"/>
      <c r="E102" s="43">
        <v>667</v>
      </c>
      <c r="F102" s="43"/>
      <c r="G102" s="43"/>
      <c r="H102" s="43"/>
      <c r="I102" s="43"/>
      <c r="J102" s="43"/>
      <c r="K102" s="43"/>
      <c r="L102" s="36">
        <f t="shared" si="31"/>
        <v>667</v>
      </c>
    </row>
    <row r="103" spans="1:12">
      <c r="A103" s="33" t="s">
        <v>412</v>
      </c>
      <c r="B103" s="56" t="s">
        <v>403</v>
      </c>
      <c r="C103" s="56"/>
      <c r="D103" s="35"/>
      <c r="E103" s="37"/>
      <c r="F103" s="37">
        <v>889</v>
      </c>
      <c r="G103" s="37">
        <v>131</v>
      </c>
      <c r="H103" s="37"/>
      <c r="I103" s="37"/>
      <c r="J103" s="37"/>
      <c r="K103" s="37"/>
      <c r="L103" s="36">
        <f t="shared" si="31"/>
        <v>1020</v>
      </c>
    </row>
    <row r="104" spans="1:12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>
        <v>90</v>
      </c>
      <c r="I104" s="43">
        <v>397</v>
      </c>
      <c r="J104" s="92">
        <v>509</v>
      </c>
      <c r="K104" s="43"/>
      <c r="L104" s="36">
        <f t="shared" si="31"/>
        <v>996</v>
      </c>
    </row>
    <row r="105" spans="1:12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36">
        <f t="shared" si="31"/>
        <v>0</v>
      </c>
    </row>
    <row r="106" spans="1:12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36">
        <f t="shared" si="31"/>
        <v>0</v>
      </c>
    </row>
    <row r="107" spans="1:12">
      <c r="A107" s="33" t="s">
        <v>417</v>
      </c>
      <c r="B107" s="34" t="s">
        <v>418</v>
      </c>
      <c r="C107" s="34"/>
      <c r="D107" s="35"/>
      <c r="E107" s="37">
        <v>55</v>
      </c>
      <c r="F107" s="37">
        <v>73</v>
      </c>
      <c r="G107" s="37"/>
      <c r="H107" s="37">
        <v>9</v>
      </c>
      <c r="I107" s="37">
        <v>2</v>
      </c>
      <c r="J107" s="37"/>
      <c r="K107" s="37"/>
      <c r="L107" s="36">
        <f t="shared" si="31"/>
        <v>139</v>
      </c>
    </row>
    <row r="108" spans="1:12">
      <c r="A108" s="33" t="s">
        <v>419</v>
      </c>
      <c r="B108" s="56" t="s">
        <v>420</v>
      </c>
      <c r="C108" s="56"/>
      <c r="D108" s="47"/>
      <c r="E108" s="37">
        <v>34197.800000000003</v>
      </c>
      <c r="F108" s="37">
        <v>6698.1</v>
      </c>
      <c r="G108" s="37">
        <v>19825</v>
      </c>
      <c r="H108" s="37">
        <v>1515</v>
      </c>
      <c r="I108" s="37">
        <v>5789.3</v>
      </c>
      <c r="J108" s="91">
        <f>6544.84+8427.84</f>
        <v>14972.68</v>
      </c>
      <c r="K108" s="37">
        <v>3000</v>
      </c>
      <c r="L108" s="36">
        <f t="shared" si="31"/>
        <v>85997.88</v>
      </c>
    </row>
    <row r="109" spans="1:12">
      <c r="A109" s="33" t="s">
        <v>421</v>
      </c>
      <c r="B109" s="56" t="s">
        <v>422</v>
      </c>
      <c r="C109" s="56"/>
      <c r="D109" s="47"/>
      <c r="E109" s="37">
        <v>22358</v>
      </c>
      <c r="F109" s="37">
        <v>5066</v>
      </c>
      <c r="G109" s="37">
        <v>11640</v>
      </c>
      <c r="H109" s="37">
        <v>200</v>
      </c>
      <c r="I109" s="37">
        <v>3500</v>
      </c>
      <c r="J109" s="91">
        <f>4310+3995</f>
        <v>8305</v>
      </c>
      <c r="K109" s="37">
        <v>3000</v>
      </c>
      <c r="L109" s="36">
        <f t="shared" si="31"/>
        <v>54069</v>
      </c>
    </row>
  </sheetData>
  <protectedRanges>
    <protectedRange password="E9C1" sqref="B31:D109 A4:D12 A2:L3 B13:D28 A13:A109 L4:L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L1"/>
  </mergeCells>
  <phoneticPr fontId="1" type="noConversion"/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9"/>
  <sheetViews>
    <sheetView topLeftCell="L1" workbookViewId="0">
      <selection activeCell="V3" sqref="V3:V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23" ht="25.5">
      <c r="A1" s="219" t="s">
        <v>177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</row>
    <row r="2" spans="1:23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40</v>
      </c>
      <c r="F2" s="32" t="s">
        <v>423</v>
      </c>
      <c r="G2" s="32" t="s">
        <v>38</v>
      </c>
      <c r="H2" s="32" t="s">
        <v>39</v>
      </c>
      <c r="I2" s="32" t="s">
        <v>42</v>
      </c>
      <c r="J2" s="32" t="s">
        <v>44</v>
      </c>
      <c r="K2" s="32" t="s">
        <v>45</v>
      </c>
      <c r="L2" s="32" t="s">
        <v>424</v>
      </c>
      <c r="M2" s="32" t="s">
        <v>43</v>
      </c>
      <c r="N2" s="32" t="s">
        <v>47</v>
      </c>
      <c r="O2" s="32" t="s">
        <v>425</v>
      </c>
      <c r="P2" s="32" t="s">
        <v>50</v>
      </c>
      <c r="Q2" s="32" t="s">
        <v>51</v>
      </c>
      <c r="R2" s="32" t="s">
        <v>176</v>
      </c>
      <c r="S2" s="32" t="s">
        <v>426</v>
      </c>
      <c r="T2" s="32" t="s">
        <v>427</v>
      </c>
      <c r="U2" s="32" t="s">
        <v>428</v>
      </c>
      <c r="V2" s="32" t="s">
        <v>25</v>
      </c>
    </row>
    <row r="3" spans="1:23">
      <c r="A3" s="33" t="s">
        <v>181</v>
      </c>
      <c r="B3" s="34" t="s">
        <v>182</v>
      </c>
      <c r="C3" s="34"/>
      <c r="D3" s="35" t="s">
        <v>183</v>
      </c>
      <c r="E3" s="36">
        <f>E4+E31+E52</f>
        <v>90805518.120000005</v>
      </c>
      <c r="F3" s="36">
        <f t="shared" ref="F3:S3" si="0">F4+F31+F52</f>
        <v>30678359.620000001</v>
      </c>
      <c r="G3" s="36">
        <f t="shared" si="0"/>
        <v>29604085.100000001</v>
      </c>
      <c r="H3" s="36">
        <f t="shared" si="0"/>
        <v>1983923.4</v>
      </c>
      <c r="I3" s="36">
        <f t="shared" si="0"/>
        <v>31170271.629999999</v>
      </c>
      <c r="J3" s="36">
        <f t="shared" si="0"/>
        <v>104670566</v>
      </c>
      <c r="K3" s="36">
        <f t="shared" si="0"/>
        <v>22491004.5</v>
      </c>
      <c r="L3" s="36">
        <f t="shared" si="0"/>
        <v>41605039</v>
      </c>
      <c r="M3" s="36">
        <f t="shared" si="0"/>
        <v>22080041</v>
      </c>
      <c r="N3" s="36">
        <f t="shared" si="0"/>
        <v>38428318.129999995</v>
      </c>
      <c r="O3" s="36">
        <f t="shared" si="0"/>
        <v>56860530.600000001</v>
      </c>
      <c r="P3" s="36">
        <f t="shared" si="0"/>
        <v>15561090.6</v>
      </c>
      <c r="Q3" s="36">
        <f t="shared" si="0"/>
        <v>11859867</v>
      </c>
      <c r="R3" s="36">
        <f t="shared" si="0"/>
        <v>9360314.5999999996</v>
      </c>
      <c r="S3" s="36">
        <f t="shared" si="0"/>
        <v>15068283.6</v>
      </c>
      <c r="T3" s="37">
        <f>T4+T31+T52</f>
        <v>2537995</v>
      </c>
      <c r="U3" s="37">
        <f>U4+U31+U52</f>
        <v>2141953.6</v>
      </c>
      <c r="V3" s="36">
        <f t="shared" ref="V3:V66" si="1">SUM(E3:U3)</f>
        <v>526907161.50000012</v>
      </c>
      <c r="W3" s="143"/>
    </row>
    <row r="4" spans="1:23">
      <c r="A4" s="33" t="s">
        <v>184</v>
      </c>
      <c r="B4" s="34" t="s">
        <v>128</v>
      </c>
      <c r="C4" s="34"/>
      <c r="D4" s="35" t="s">
        <v>183</v>
      </c>
      <c r="E4" s="36">
        <f t="shared" ref="E4:S4" si="2">E5+E8+E13+E17+E20+E22+E25+E27+E29+E30</f>
        <v>80458671.870000005</v>
      </c>
      <c r="F4" s="36">
        <f t="shared" si="2"/>
        <v>27025112.420000002</v>
      </c>
      <c r="G4" s="36">
        <f t="shared" si="2"/>
        <v>26330783.800000001</v>
      </c>
      <c r="H4" s="36">
        <f t="shared" si="2"/>
        <v>0</v>
      </c>
      <c r="I4" s="36">
        <f t="shared" si="2"/>
        <v>26988989.68</v>
      </c>
      <c r="J4" s="36">
        <f t="shared" si="2"/>
        <v>88020684.75</v>
      </c>
      <c r="K4" s="36">
        <f t="shared" si="2"/>
        <v>19686231.050000001</v>
      </c>
      <c r="L4" s="36">
        <f t="shared" si="2"/>
        <v>34751612.700000003</v>
      </c>
      <c r="M4" s="36">
        <f t="shared" si="2"/>
        <v>19309861.300000001</v>
      </c>
      <c r="N4" s="36">
        <f t="shared" si="2"/>
        <v>32293548.379999999</v>
      </c>
      <c r="O4" s="36">
        <f t="shared" si="2"/>
        <v>48352370</v>
      </c>
      <c r="P4" s="36">
        <f t="shared" si="2"/>
        <v>13525120.6</v>
      </c>
      <c r="Q4" s="36">
        <f t="shared" si="2"/>
        <v>10209420</v>
      </c>
      <c r="R4" s="36">
        <f t="shared" si="2"/>
        <v>7924887.7999999998</v>
      </c>
      <c r="S4" s="36">
        <f t="shared" si="2"/>
        <v>13101029.039999999</v>
      </c>
      <c r="T4" s="37">
        <f>T5+T8+T13+T17+T20+T22+T25+T27+T29+T30</f>
        <v>2134067</v>
      </c>
      <c r="U4" s="37">
        <f>U5+U8+U13+U17+U20+U22+U25+U27+U29+U30</f>
        <v>1160842.4000000001</v>
      </c>
      <c r="V4" s="36">
        <f t="shared" si="1"/>
        <v>451273232.79000002</v>
      </c>
      <c r="W4" s="143"/>
    </row>
    <row r="5" spans="1:23">
      <c r="A5" s="33" t="s">
        <v>185</v>
      </c>
      <c r="B5" s="34" t="s">
        <v>186</v>
      </c>
      <c r="C5" s="34"/>
      <c r="D5" s="35" t="s">
        <v>183</v>
      </c>
      <c r="E5" s="36">
        <f>E6+E7</f>
        <v>11719956.870000001</v>
      </c>
      <c r="F5" s="36">
        <f t="shared" ref="F5:S5" si="3">F6+F7</f>
        <v>3938604.42</v>
      </c>
      <c r="G5" s="36">
        <f t="shared" si="3"/>
        <v>3941484.8000000003</v>
      </c>
      <c r="H5" s="36">
        <f t="shared" si="3"/>
        <v>0</v>
      </c>
      <c r="I5" s="36">
        <f t="shared" si="3"/>
        <v>3529631.68</v>
      </c>
      <c r="J5" s="36">
        <f t="shared" si="3"/>
        <v>12026580.75</v>
      </c>
      <c r="K5" s="36">
        <f t="shared" si="3"/>
        <v>2850060.05</v>
      </c>
      <c r="L5" s="36">
        <f t="shared" si="3"/>
        <v>4481004.7</v>
      </c>
      <c r="M5" s="36">
        <f t="shared" si="3"/>
        <v>2833775.3</v>
      </c>
      <c r="N5" s="36">
        <f t="shared" si="3"/>
        <v>3986555.38</v>
      </c>
      <c r="O5" s="36">
        <f t="shared" si="3"/>
        <v>6888108</v>
      </c>
      <c r="P5" s="36">
        <f t="shared" si="3"/>
        <v>1943256.6</v>
      </c>
      <c r="Q5" s="36">
        <f t="shared" si="3"/>
        <v>1285692</v>
      </c>
      <c r="R5" s="36">
        <f t="shared" si="3"/>
        <v>995207.8</v>
      </c>
      <c r="S5" s="36">
        <f t="shared" si="3"/>
        <v>1849788.24</v>
      </c>
      <c r="T5" s="37">
        <f>T6+T7</f>
        <v>300276</v>
      </c>
      <c r="U5" s="37">
        <f>U6+U7</f>
        <v>138948.4</v>
      </c>
      <c r="V5" s="36">
        <f t="shared" si="1"/>
        <v>62708930.989999995</v>
      </c>
    </row>
    <row r="6" spans="1:23">
      <c r="A6" s="33" t="s">
        <v>187</v>
      </c>
      <c r="B6" s="34" t="s">
        <v>188</v>
      </c>
      <c r="C6" s="34" t="s">
        <v>189</v>
      </c>
      <c r="D6" s="35" t="s">
        <v>190</v>
      </c>
      <c r="E6" s="37">
        <f>555499*12+0.87</f>
        <v>6665988.8700000001</v>
      </c>
      <c r="F6" s="37">
        <f>187497*12+0.42</f>
        <v>2249964.42</v>
      </c>
      <c r="G6" s="37">
        <f>176594*12+0.7+0.1</f>
        <v>2119128.8000000003</v>
      </c>
      <c r="H6" s="37"/>
      <c r="I6" s="37">
        <f>193970*12-0.32</f>
        <v>2327639.6800000002</v>
      </c>
      <c r="J6" s="37">
        <f>595335*12+0.75</f>
        <v>7144020.75</v>
      </c>
      <c r="K6" s="37">
        <f>125208*12+0.05</f>
        <v>1502496.05</v>
      </c>
      <c r="L6" s="37">
        <f>227914*12+0.7</f>
        <v>2734968.7</v>
      </c>
      <c r="M6" s="37">
        <f>126043*12-0.7</f>
        <v>1512515.3</v>
      </c>
      <c r="N6" s="37">
        <f>215048*12-0.62</f>
        <v>2580575.38</v>
      </c>
      <c r="O6" s="37">
        <f>335865*12</f>
        <v>4030380</v>
      </c>
      <c r="P6" s="37">
        <f>91269*12+0.6</f>
        <v>1095228.6000000001</v>
      </c>
      <c r="Q6" s="37">
        <f>71602*12</f>
        <v>859224</v>
      </c>
      <c r="R6" s="37">
        <f>54230*12-0.2</f>
        <v>650759.80000000005</v>
      </c>
      <c r="S6" s="37">
        <f>87068*12+0.24</f>
        <v>1044816.24</v>
      </c>
      <c r="T6" s="37">
        <f>14006*12</f>
        <v>168072</v>
      </c>
      <c r="U6" s="37">
        <f>7524*12+0.4</f>
        <v>90288.4</v>
      </c>
      <c r="V6" s="36">
        <f t="shared" si="1"/>
        <v>36776066.989999995</v>
      </c>
    </row>
    <row r="7" spans="1:23">
      <c r="A7" s="33" t="s">
        <v>191</v>
      </c>
      <c r="B7" s="34" t="s">
        <v>192</v>
      </c>
      <c r="C7" s="34" t="s">
        <v>189</v>
      </c>
      <c r="D7" s="35" t="s">
        <v>190</v>
      </c>
      <c r="E7" s="37">
        <f>421164*12</f>
        <v>5053968</v>
      </c>
      <c r="F7" s="37">
        <f>140720*12</f>
        <v>1688640</v>
      </c>
      <c r="G7" s="37">
        <f>151863*12</f>
        <v>1822356</v>
      </c>
      <c r="H7" s="37"/>
      <c r="I7" s="37">
        <f>100166*12</f>
        <v>1201992</v>
      </c>
      <c r="J7" s="37">
        <f>406880*12</f>
        <v>4882560</v>
      </c>
      <c r="K7" s="37">
        <f>112297*12</f>
        <v>1347564</v>
      </c>
      <c r="L7" s="37">
        <f>145503*12</f>
        <v>1746036</v>
      </c>
      <c r="M7" s="37">
        <f>110105*12</f>
        <v>1321260</v>
      </c>
      <c r="N7" s="37">
        <f>117165*12</f>
        <v>1405980</v>
      </c>
      <c r="O7" s="37">
        <f>238144*12</f>
        <v>2857728</v>
      </c>
      <c r="P7" s="37">
        <f>70669*12</f>
        <v>848028</v>
      </c>
      <c r="Q7" s="37">
        <f>35539*12</f>
        <v>426468</v>
      </c>
      <c r="R7" s="37">
        <f>28704*12</f>
        <v>344448</v>
      </c>
      <c r="S7" s="37">
        <f>67081*12</f>
        <v>804972</v>
      </c>
      <c r="T7" s="37">
        <f>11017*12</f>
        <v>132204</v>
      </c>
      <c r="U7" s="37">
        <f>4055*12</f>
        <v>48660</v>
      </c>
      <c r="V7" s="36">
        <f t="shared" si="1"/>
        <v>25932864</v>
      </c>
    </row>
    <row r="8" spans="1:23">
      <c r="A8" s="33" t="s">
        <v>193</v>
      </c>
      <c r="B8" s="34" t="s">
        <v>194</v>
      </c>
      <c r="C8" s="34"/>
      <c r="D8" s="35" t="s">
        <v>183</v>
      </c>
      <c r="E8" s="36">
        <f>E9+E10</f>
        <v>1382700</v>
      </c>
      <c r="F8" s="36">
        <f t="shared" ref="F8:S8" si="4">F9+F10</f>
        <v>466656</v>
      </c>
      <c r="G8" s="36">
        <f t="shared" si="4"/>
        <v>444216</v>
      </c>
      <c r="H8" s="36">
        <f t="shared" si="4"/>
        <v>0</v>
      </c>
      <c r="I8" s="36">
        <f t="shared" si="4"/>
        <v>485988</v>
      </c>
      <c r="J8" s="36">
        <f t="shared" si="4"/>
        <v>1560936</v>
      </c>
      <c r="K8" s="36">
        <f t="shared" si="4"/>
        <v>342588</v>
      </c>
      <c r="L8" s="36">
        <f t="shared" si="4"/>
        <v>625932</v>
      </c>
      <c r="M8" s="36">
        <f t="shared" si="4"/>
        <v>336816</v>
      </c>
      <c r="N8" s="36">
        <f t="shared" si="4"/>
        <v>588696</v>
      </c>
      <c r="O8" s="36">
        <f t="shared" si="4"/>
        <v>907464</v>
      </c>
      <c r="P8" s="36">
        <f t="shared" si="4"/>
        <v>249744</v>
      </c>
      <c r="Q8" s="36">
        <f t="shared" si="4"/>
        <v>194688</v>
      </c>
      <c r="R8" s="36">
        <f t="shared" si="4"/>
        <v>151320</v>
      </c>
      <c r="S8" s="36">
        <f t="shared" si="4"/>
        <v>244500</v>
      </c>
      <c r="T8" s="37">
        <f>T9+T10</f>
        <v>37908</v>
      </c>
      <c r="U8" s="37">
        <f>U9+U10</f>
        <v>22272</v>
      </c>
      <c r="V8" s="36">
        <f t="shared" si="1"/>
        <v>8042424</v>
      </c>
    </row>
    <row r="9" spans="1:23">
      <c r="A9" s="33" t="s">
        <v>195</v>
      </c>
      <c r="B9" s="34" t="s">
        <v>196</v>
      </c>
      <c r="C9" s="34" t="s">
        <v>189</v>
      </c>
      <c r="D9" s="35" t="s">
        <v>190</v>
      </c>
      <c r="E9" s="37">
        <f>1495*12</f>
        <v>17940</v>
      </c>
      <c r="F9" s="37">
        <f>532*12</f>
        <v>6384</v>
      </c>
      <c r="G9" s="37"/>
      <c r="H9" s="37"/>
      <c r="I9" s="37">
        <f>359*12</f>
        <v>4308</v>
      </c>
      <c r="J9" s="37">
        <f>1630*12</f>
        <v>19560</v>
      </c>
      <c r="K9" s="37">
        <f>451*12</f>
        <v>5412</v>
      </c>
      <c r="L9" s="37">
        <f>425*12</f>
        <v>5100</v>
      </c>
      <c r="M9" s="37">
        <f>416*12</f>
        <v>4992</v>
      </c>
      <c r="N9" s="37">
        <f>444*12</f>
        <v>5328</v>
      </c>
      <c r="O9" s="37">
        <f>1140*12</f>
        <v>13680</v>
      </c>
      <c r="P9" s="37">
        <f>296*12</f>
        <v>3552</v>
      </c>
      <c r="Q9" s="37">
        <f>168*12</f>
        <v>2016</v>
      </c>
      <c r="R9" s="37">
        <f>122*12</f>
        <v>1464</v>
      </c>
      <c r="S9" s="37">
        <f>305*12</f>
        <v>3660</v>
      </c>
      <c r="T9" s="37">
        <f>37*12</f>
        <v>444</v>
      </c>
      <c r="U9" s="37">
        <f>72*12</f>
        <v>864</v>
      </c>
      <c r="V9" s="36">
        <f t="shared" si="1"/>
        <v>94704</v>
      </c>
    </row>
    <row r="10" spans="1:23">
      <c r="A10" s="33" t="s">
        <v>197</v>
      </c>
      <c r="B10" s="34" t="s">
        <v>198</v>
      </c>
      <c r="C10" s="34"/>
      <c r="D10" s="35" t="s">
        <v>183</v>
      </c>
      <c r="E10" s="36">
        <f>E11+E12</f>
        <v>1364760</v>
      </c>
      <c r="F10" s="36">
        <f t="shared" ref="F10:S10" si="5">F11+F12</f>
        <v>460272</v>
      </c>
      <c r="G10" s="36">
        <f t="shared" si="5"/>
        <v>444216</v>
      </c>
      <c r="H10" s="36">
        <f t="shared" si="5"/>
        <v>0</v>
      </c>
      <c r="I10" s="36">
        <f t="shared" si="5"/>
        <v>481680</v>
      </c>
      <c r="J10" s="36">
        <f t="shared" si="5"/>
        <v>1541376</v>
      </c>
      <c r="K10" s="36">
        <f t="shared" si="5"/>
        <v>337176</v>
      </c>
      <c r="L10" s="36">
        <f t="shared" si="5"/>
        <v>620832</v>
      </c>
      <c r="M10" s="36">
        <f t="shared" si="5"/>
        <v>331824</v>
      </c>
      <c r="N10" s="36">
        <f t="shared" si="5"/>
        <v>583368</v>
      </c>
      <c r="O10" s="36">
        <f t="shared" si="5"/>
        <v>893784</v>
      </c>
      <c r="P10" s="36">
        <f t="shared" si="5"/>
        <v>246192</v>
      </c>
      <c r="Q10" s="36">
        <f t="shared" si="5"/>
        <v>192672</v>
      </c>
      <c r="R10" s="36">
        <f t="shared" si="5"/>
        <v>149856</v>
      </c>
      <c r="S10" s="36">
        <f t="shared" si="5"/>
        <v>240840</v>
      </c>
      <c r="T10" s="37">
        <f>T11+T12</f>
        <v>37464</v>
      </c>
      <c r="U10" s="37">
        <f>U11+U12</f>
        <v>21408</v>
      </c>
      <c r="V10" s="36">
        <f t="shared" si="1"/>
        <v>7947720</v>
      </c>
    </row>
    <row r="11" spans="1:23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18360</v>
      </c>
      <c r="F11" s="36">
        <f t="shared" ref="F11:S11" si="6">72*F96</f>
        <v>6192</v>
      </c>
      <c r="G11" s="36">
        <f t="shared" si="6"/>
        <v>5976</v>
      </c>
      <c r="H11" s="36">
        <f t="shared" si="6"/>
        <v>0</v>
      </c>
      <c r="I11" s="36">
        <f t="shared" si="6"/>
        <v>6480</v>
      </c>
      <c r="J11" s="36">
        <f t="shared" si="6"/>
        <v>20736</v>
      </c>
      <c r="K11" s="36">
        <f t="shared" si="6"/>
        <v>4536</v>
      </c>
      <c r="L11" s="36">
        <f t="shared" si="6"/>
        <v>8352</v>
      </c>
      <c r="M11" s="36">
        <f t="shared" si="6"/>
        <v>4464</v>
      </c>
      <c r="N11" s="36">
        <f t="shared" si="6"/>
        <v>7848</v>
      </c>
      <c r="O11" s="36">
        <f t="shared" si="6"/>
        <v>12024</v>
      </c>
      <c r="P11" s="36">
        <f t="shared" si="6"/>
        <v>3312</v>
      </c>
      <c r="Q11" s="36">
        <f t="shared" si="6"/>
        <v>2592</v>
      </c>
      <c r="R11" s="36">
        <f t="shared" si="6"/>
        <v>2016</v>
      </c>
      <c r="S11" s="36">
        <f t="shared" si="6"/>
        <v>3240</v>
      </c>
      <c r="T11" s="37">
        <f>72*T96</f>
        <v>504</v>
      </c>
      <c r="U11" s="37">
        <f>72*U96</f>
        <v>288</v>
      </c>
      <c r="V11" s="36">
        <f t="shared" si="1"/>
        <v>106920</v>
      </c>
    </row>
    <row r="12" spans="1:23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1346400</v>
      </c>
      <c r="F12" s="36">
        <f t="shared" ref="F12:S12" si="7">440*12*F96</f>
        <v>454080</v>
      </c>
      <c r="G12" s="36">
        <f t="shared" si="7"/>
        <v>438240</v>
      </c>
      <c r="H12" s="36">
        <f t="shared" si="7"/>
        <v>0</v>
      </c>
      <c r="I12" s="36">
        <f t="shared" si="7"/>
        <v>475200</v>
      </c>
      <c r="J12" s="36">
        <f t="shared" si="7"/>
        <v>1520640</v>
      </c>
      <c r="K12" s="36">
        <f t="shared" si="7"/>
        <v>332640</v>
      </c>
      <c r="L12" s="36">
        <f t="shared" si="7"/>
        <v>612480</v>
      </c>
      <c r="M12" s="36">
        <f t="shared" si="7"/>
        <v>327360</v>
      </c>
      <c r="N12" s="36">
        <f t="shared" si="7"/>
        <v>575520</v>
      </c>
      <c r="O12" s="36">
        <f t="shared" si="7"/>
        <v>881760</v>
      </c>
      <c r="P12" s="36">
        <f t="shared" si="7"/>
        <v>242880</v>
      </c>
      <c r="Q12" s="36">
        <f t="shared" si="7"/>
        <v>190080</v>
      </c>
      <c r="R12" s="36">
        <f t="shared" si="7"/>
        <v>147840</v>
      </c>
      <c r="S12" s="36">
        <f t="shared" si="7"/>
        <v>237600</v>
      </c>
      <c r="T12" s="37">
        <f>440*12*T96</f>
        <v>36960</v>
      </c>
      <c r="U12" s="37">
        <f>440*12*U96</f>
        <v>21120</v>
      </c>
      <c r="V12" s="36">
        <f t="shared" si="1"/>
        <v>7840800</v>
      </c>
    </row>
    <row r="13" spans="1:23">
      <c r="A13" s="33" t="s">
        <v>203</v>
      </c>
      <c r="B13" s="34" t="s">
        <v>204</v>
      </c>
      <c r="C13" s="34"/>
      <c r="D13" s="35" t="s">
        <v>205</v>
      </c>
      <c r="E13" s="36">
        <f>E14+E15+E16</f>
        <v>1265340</v>
      </c>
      <c r="F13" s="36">
        <f t="shared" ref="F13:S13" si="8">F14+F15+F16</f>
        <v>421673.99999999994</v>
      </c>
      <c r="G13" s="36">
        <f t="shared" si="8"/>
        <v>412980</v>
      </c>
      <c r="H13" s="36">
        <f t="shared" si="8"/>
        <v>0</v>
      </c>
      <c r="I13" s="36">
        <f t="shared" si="8"/>
        <v>404520</v>
      </c>
      <c r="J13" s="36">
        <f t="shared" si="8"/>
        <v>1342800</v>
      </c>
      <c r="K13" s="36">
        <f t="shared" si="8"/>
        <v>304860</v>
      </c>
      <c r="L13" s="36">
        <f t="shared" si="8"/>
        <v>523200</v>
      </c>
      <c r="M13" s="36">
        <f t="shared" si="8"/>
        <v>295152</v>
      </c>
      <c r="N13" s="36">
        <f t="shared" si="8"/>
        <v>484392</v>
      </c>
      <c r="O13" s="36">
        <f t="shared" si="8"/>
        <v>740382.00000000012</v>
      </c>
      <c r="P13" s="36">
        <f t="shared" si="8"/>
        <v>212400</v>
      </c>
      <c r="Q13" s="36">
        <f t="shared" si="8"/>
        <v>158880</v>
      </c>
      <c r="R13" s="36">
        <f t="shared" si="8"/>
        <v>123000</v>
      </c>
      <c r="S13" s="36">
        <f t="shared" si="8"/>
        <v>203623.2</v>
      </c>
      <c r="T13" s="37">
        <f>T14+T15+T16</f>
        <v>36660</v>
      </c>
      <c r="U13" s="37">
        <f>U14+U15+U16</f>
        <v>19218</v>
      </c>
      <c r="V13" s="36">
        <f t="shared" si="1"/>
        <v>6949081.2000000002</v>
      </c>
    </row>
    <row r="14" spans="1:23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759204</v>
      </c>
      <c r="F14" s="36">
        <f t="shared" ref="F14:S14" si="9">F16*3</f>
        <v>253004.39999999997</v>
      </c>
      <c r="G14" s="36">
        <f t="shared" si="9"/>
        <v>247788</v>
      </c>
      <c r="H14" s="36">
        <f t="shared" si="9"/>
        <v>0</v>
      </c>
      <c r="I14" s="36">
        <f t="shared" si="9"/>
        <v>242712</v>
      </c>
      <c r="J14" s="36">
        <f t="shared" si="9"/>
        <v>805680</v>
      </c>
      <c r="K14" s="36">
        <f t="shared" si="9"/>
        <v>182916</v>
      </c>
      <c r="L14" s="36">
        <f t="shared" si="9"/>
        <v>313920</v>
      </c>
      <c r="M14" s="36">
        <f t="shared" si="9"/>
        <v>177091.19999999998</v>
      </c>
      <c r="N14" s="36">
        <f t="shared" si="9"/>
        <v>290635.19999999995</v>
      </c>
      <c r="O14" s="36">
        <f t="shared" si="9"/>
        <v>444229.20000000007</v>
      </c>
      <c r="P14" s="36">
        <f t="shared" si="9"/>
        <v>127440</v>
      </c>
      <c r="Q14" s="36">
        <f t="shared" si="9"/>
        <v>95328</v>
      </c>
      <c r="R14" s="36">
        <f t="shared" si="9"/>
        <v>73800</v>
      </c>
      <c r="S14" s="36">
        <f t="shared" si="9"/>
        <v>122173.92</v>
      </c>
      <c r="T14" s="37">
        <f>T16*3</f>
        <v>21996</v>
      </c>
      <c r="U14" s="37">
        <f>U16*3</f>
        <v>11530.800000000001</v>
      </c>
      <c r="V14" s="36">
        <f t="shared" si="1"/>
        <v>4169448.7199999997</v>
      </c>
    </row>
    <row r="15" spans="1:23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253068</v>
      </c>
      <c r="F15" s="36">
        <f t="shared" ref="F15:U15" si="10">F16</f>
        <v>84334.799999999988</v>
      </c>
      <c r="G15" s="36">
        <f t="shared" si="10"/>
        <v>82596</v>
      </c>
      <c r="H15" s="36">
        <f t="shared" si="10"/>
        <v>0</v>
      </c>
      <c r="I15" s="36">
        <f t="shared" si="10"/>
        <v>80904</v>
      </c>
      <c r="J15" s="36">
        <f t="shared" si="10"/>
        <v>268560</v>
      </c>
      <c r="K15" s="36">
        <f t="shared" si="10"/>
        <v>60972</v>
      </c>
      <c r="L15" s="36">
        <f t="shared" si="10"/>
        <v>104640</v>
      </c>
      <c r="M15" s="36">
        <f t="shared" si="10"/>
        <v>59030.399999999994</v>
      </c>
      <c r="N15" s="36">
        <f t="shared" si="10"/>
        <v>96878.399999999994</v>
      </c>
      <c r="O15" s="36">
        <f t="shared" si="10"/>
        <v>148076.40000000002</v>
      </c>
      <c r="P15" s="36">
        <f t="shared" si="10"/>
        <v>42480</v>
      </c>
      <c r="Q15" s="36">
        <f t="shared" si="10"/>
        <v>31776</v>
      </c>
      <c r="R15" s="36">
        <f t="shared" si="10"/>
        <v>24600</v>
      </c>
      <c r="S15" s="36">
        <f t="shared" si="10"/>
        <v>40724.639999999999</v>
      </c>
      <c r="T15" s="37">
        <f t="shared" si="10"/>
        <v>7332</v>
      </c>
      <c r="U15" s="37">
        <f t="shared" si="10"/>
        <v>3843.6000000000004</v>
      </c>
      <c r="V15" s="36">
        <f t="shared" si="1"/>
        <v>1389816.24</v>
      </c>
    </row>
    <row r="16" spans="1:23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f>21089*12</f>
        <v>253068</v>
      </c>
      <c r="F16" s="37">
        <f>7027.9*12</f>
        <v>84334.799999999988</v>
      </c>
      <c r="G16" s="37">
        <f>6883*12</f>
        <v>82596</v>
      </c>
      <c r="H16" s="37"/>
      <c r="I16" s="37">
        <f>6742*12</f>
        <v>80904</v>
      </c>
      <c r="J16" s="37">
        <f>22380*12</f>
        <v>268560</v>
      </c>
      <c r="K16" s="37">
        <f>5081*12</f>
        <v>60972</v>
      </c>
      <c r="L16" s="37">
        <f>8720*12</f>
        <v>104640</v>
      </c>
      <c r="M16" s="37">
        <f>4919.2*12</f>
        <v>59030.399999999994</v>
      </c>
      <c r="N16" s="37">
        <f>8073.2*12</f>
        <v>96878.399999999994</v>
      </c>
      <c r="O16" s="37">
        <f>12339.7*12</f>
        <v>148076.40000000002</v>
      </c>
      <c r="P16" s="37">
        <v>42480</v>
      </c>
      <c r="Q16" s="37">
        <f>2648*12</f>
        <v>31776</v>
      </c>
      <c r="R16" s="37">
        <f>2050*12</f>
        <v>24600</v>
      </c>
      <c r="S16" s="37">
        <f>3393.72*12</f>
        <v>40724.639999999999</v>
      </c>
      <c r="T16" s="37">
        <v>7332</v>
      </c>
      <c r="U16" s="37">
        <f>320.3*12</f>
        <v>3843.6000000000004</v>
      </c>
      <c r="V16" s="36">
        <f t="shared" si="1"/>
        <v>1389816.24</v>
      </c>
    </row>
    <row r="17" spans="1:22">
      <c r="A17" s="33" t="s">
        <v>213</v>
      </c>
      <c r="B17" s="34" t="s">
        <v>214</v>
      </c>
      <c r="C17" s="34"/>
      <c r="D17" s="35" t="s">
        <v>183</v>
      </c>
      <c r="E17" s="36">
        <v>40866555</v>
      </c>
      <c r="F17" s="36">
        <v>13782446</v>
      </c>
      <c r="G17" s="36">
        <v>13301663</v>
      </c>
      <c r="H17" s="36"/>
      <c r="I17" s="36">
        <v>14423490</v>
      </c>
      <c r="J17" s="36">
        <v>46155168</v>
      </c>
      <c r="K17" s="36">
        <v>10096443</v>
      </c>
      <c r="L17" s="36">
        <v>18590276</v>
      </c>
      <c r="M17" s="36">
        <v>9936182</v>
      </c>
      <c r="N17" s="36">
        <v>17468449</v>
      </c>
      <c r="O17" s="36">
        <v>24886340</v>
      </c>
      <c r="P17" s="36">
        <v>6854920</v>
      </c>
      <c r="Q17" s="36">
        <v>5364720</v>
      </c>
      <c r="R17" s="36">
        <v>4172560</v>
      </c>
      <c r="S17" s="36">
        <v>6705900</v>
      </c>
      <c r="T17" s="37">
        <v>1032143</v>
      </c>
      <c r="U17" s="37">
        <v>596080</v>
      </c>
      <c r="V17" s="36">
        <f t="shared" si="1"/>
        <v>234233335</v>
      </c>
    </row>
    <row r="18" spans="1:22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40205356</v>
      </c>
      <c r="F18" s="43">
        <f t="shared" ref="F18:U18" si="11">F17-F19</f>
        <v>13598194</v>
      </c>
      <c r="G18" s="43">
        <f t="shared" si="11"/>
        <v>13118104</v>
      </c>
      <c r="H18" s="43"/>
      <c r="I18" s="43">
        <f t="shared" si="11"/>
        <v>14244014</v>
      </c>
      <c r="J18" s="43">
        <f t="shared" si="11"/>
        <v>45891208</v>
      </c>
      <c r="K18" s="43">
        <f t="shared" si="11"/>
        <v>9743279</v>
      </c>
      <c r="L18" s="43">
        <f t="shared" si="11"/>
        <v>18197376</v>
      </c>
      <c r="M18" s="43">
        <f t="shared" si="11"/>
        <v>9570458</v>
      </c>
      <c r="N18" s="43">
        <f t="shared" si="11"/>
        <v>17277060</v>
      </c>
      <c r="O18" s="43">
        <f t="shared" si="11"/>
        <v>24623856</v>
      </c>
      <c r="P18" s="43">
        <f t="shared" si="11"/>
        <v>6705472</v>
      </c>
      <c r="Q18" s="43">
        <f t="shared" si="11"/>
        <v>5212584</v>
      </c>
      <c r="R18" s="43">
        <f t="shared" si="11"/>
        <v>4019704</v>
      </c>
      <c r="S18" s="43">
        <f t="shared" si="11"/>
        <v>6555924</v>
      </c>
      <c r="T18" s="43">
        <f t="shared" si="11"/>
        <v>1032143</v>
      </c>
      <c r="U18" s="43">
        <f t="shared" si="11"/>
        <v>596080</v>
      </c>
      <c r="V18" s="36">
        <f t="shared" si="1"/>
        <v>230590812</v>
      </c>
    </row>
    <row r="19" spans="1:22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f>221908+439291</f>
        <v>661199</v>
      </c>
      <c r="F19" s="43">
        <v>184252</v>
      </c>
      <c r="G19" s="43">
        <v>183559</v>
      </c>
      <c r="H19" s="43"/>
      <c r="I19" s="43">
        <v>179476</v>
      </c>
      <c r="J19" s="43">
        <v>263960</v>
      </c>
      <c r="K19" s="43">
        <v>353164</v>
      </c>
      <c r="L19" s="43">
        <v>392900</v>
      </c>
      <c r="M19" s="43">
        <v>365724</v>
      </c>
      <c r="N19" s="43">
        <v>191389</v>
      </c>
      <c r="O19" s="43">
        <v>262484</v>
      </c>
      <c r="P19" s="43">
        <v>149448</v>
      </c>
      <c r="Q19" s="43">
        <v>152136</v>
      </c>
      <c r="R19" s="43">
        <v>152856</v>
      </c>
      <c r="S19" s="43">
        <v>149976</v>
      </c>
      <c r="T19" s="43"/>
      <c r="U19" s="43"/>
      <c r="V19" s="36">
        <f t="shared" si="1"/>
        <v>3642523</v>
      </c>
    </row>
    <row r="20" spans="1:22">
      <c r="A20" s="33" t="s">
        <v>221</v>
      </c>
      <c r="B20" s="34" t="s">
        <v>222</v>
      </c>
      <c r="C20" s="34"/>
      <c r="D20" s="42" t="s">
        <v>183</v>
      </c>
      <c r="E20" s="45">
        <f>E21</f>
        <v>5061360</v>
      </c>
      <c r="F20" s="45">
        <f t="shared" ref="F20:U20" si="12">F21</f>
        <v>1686695.9999999998</v>
      </c>
      <c r="G20" s="45">
        <f t="shared" si="12"/>
        <v>1651920</v>
      </c>
      <c r="H20" s="45">
        <f t="shared" si="12"/>
        <v>0</v>
      </c>
      <c r="I20" s="45">
        <f t="shared" si="12"/>
        <v>1618080</v>
      </c>
      <c r="J20" s="45">
        <f t="shared" si="12"/>
        <v>5371200</v>
      </c>
      <c r="K20" s="45">
        <f t="shared" si="12"/>
        <v>1219440</v>
      </c>
      <c r="L20" s="45">
        <f t="shared" si="12"/>
        <v>2092800</v>
      </c>
      <c r="M20" s="45">
        <f t="shared" si="12"/>
        <v>1180608</v>
      </c>
      <c r="N20" s="45">
        <f t="shared" si="12"/>
        <v>1937568</v>
      </c>
      <c r="O20" s="45">
        <f t="shared" si="12"/>
        <v>2961528.0000000005</v>
      </c>
      <c r="P20" s="45">
        <f t="shared" si="12"/>
        <v>849600</v>
      </c>
      <c r="Q20" s="45">
        <f t="shared" si="12"/>
        <v>635520</v>
      </c>
      <c r="R20" s="45">
        <f t="shared" si="12"/>
        <v>492000</v>
      </c>
      <c r="S20" s="45">
        <f t="shared" si="12"/>
        <v>814492.8</v>
      </c>
      <c r="T20" s="43">
        <f t="shared" si="12"/>
        <v>146640</v>
      </c>
      <c r="U20" s="43">
        <f t="shared" si="12"/>
        <v>76872</v>
      </c>
      <c r="V20" s="36">
        <f t="shared" si="1"/>
        <v>27796324.800000001</v>
      </c>
    </row>
    <row r="21" spans="1:22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5061360</v>
      </c>
      <c r="F21" s="45">
        <f t="shared" ref="F21:S21" si="13">F16*20</f>
        <v>1686695.9999999998</v>
      </c>
      <c r="G21" s="45">
        <f t="shared" si="13"/>
        <v>1651920</v>
      </c>
      <c r="H21" s="45">
        <f t="shared" si="13"/>
        <v>0</v>
      </c>
      <c r="I21" s="45">
        <f t="shared" si="13"/>
        <v>1618080</v>
      </c>
      <c r="J21" s="45">
        <f t="shared" si="13"/>
        <v>5371200</v>
      </c>
      <c r="K21" s="45">
        <f t="shared" si="13"/>
        <v>1219440</v>
      </c>
      <c r="L21" s="45">
        <f t="shared" si="13"/>
        <v>2092800</v>
      </c>
      <c r="M21" s="45">
        <f t="shared" si="13"/>
        <v>1180608</v>
      </c>
      <c r="N21" s="45">
        <f t="shared" si="13"/>
        <v>1937568</v>
      </c>
      <c r="O21" s="45">
        <f t="shared" si="13"/>
        <v>2961528.0000000005</v>
      </c>
      <c r="P21" s="45">
        <f t="shared" si="13"/>
        <v>849600</v>
      </c>
      <c r="Q21" s="45">
        <f t="shared" si="13"/>
        <v>635520</v>
      </c>
      <c r="R21" s="45">
        <f t="shared" si="13"/>
        <v>492000</v>
      </c>
      <c r="S21" s="45">
        <f t="shared" si="13"/>
        <v>814492.8</v>
      </c>
      <c r="T21" s="43">
        <f>T16*20</f>
        <v>146640</v>
      </c>
      <c r="U21" s="43">
        <f>U16*20</f>
        <v>76872</v>
      </c>
      <c r="V21" s="36">
        <f t="shared" si="1"/>
        <v>27796324.800000001</v>
      </c>
    </row>
    <row r="22" spans="1:22">
      <c r="A22" s="33" t="s">
        <v>226</v>
      </c>
      <c r="B22" s="34" t="s">
        <v>227</v>
      </c>
      <c r="C22" s="34"/>
      <c r="D22" s="42" t="s">
        <v>208</v>
      </c>
      <c r="E22" s="45">
        <f>E23+E24</f>
        <v>2024544</v>
      </c>
      <c r="F22" s="45">
        <f t="shared" ref="F22:S22" si="14">F23+F24</f>
        <v>674678.39999999991</v>
      </c>
      <c r="G22" s="45">
        <f t="shared" si="14"/>
        <v>660768</v>
      </c>
      <c r="H22" s="45">
        <f t="shared" si="14"/>
        <v>0</v>
      </c>
      <c r="I22" s="45">
        <f t="shared" si="14"/>
        <v>647232</v>
      </c>
      <c r="J22" s="45">
        <f t="shared" si="14"/>
        <v>2148480</v>
      </c>
      <c r="K22" s="45">
        <f t="shared" si="14"/>
        <v>487776</v>
      </c>
      <c r="L22" s="45">
        <f t="shared" si="14"/>
        <v>837120</v>
      </c>
      <c r="M22" s="45">
        <f t="shared" si="14"/>
        <v>472243.19999999995</v>
      </c>
      <c r="N22" s="45">
        <f t="shared" si="14"/>
        <v>775027.19999999995</v>
      </c>
      <c r="O22" s="45">
        <f t="shared" si="14"/>
        <v>1184611.2000000002</v>
      </c>
      <c r="P22" s="45">
        <f t="shared" si="14"/>
        <v>339840</v>
      </c>
      <c r="Q22" s="45">
        <f t="shared" si="14"/>
        <v>254208</v>
      </c>
      <c r="R22" s="45">
        <f t="shared" si="14"/>
        <v>196800</v>
      </c>
      <c r="S22" s="45">
        <f t="shared" si="14"/>
        <v>325797.12</v>
      </c>
      <c r="T22" s="43">
        <f>T23+T24</f>
        <v>58656</v>
      </c>
      <c r="U22" s="43">
        <f>U23+U24</f>
        <v>30748.800000000003</v>
      </c>
      <c r="V22" s="36">
        <f t="shared" si="1"/>
        <v>11118529.92</v>
      </c>
    </row>
    <row r="23" spans="1:22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1012272</v>
      </c>
      <c r="F23" s="45">
        <f t="shared" ref="F23:S23" si="15">F16*4</f>
        <v>337339.19999999995</v>
      </c>
      <c r="G23" s="45">
        <f t="shared" si="15"/>
        <v>330384</v>
      </c>
      <c r="H23" s="45">
        <f t="shared" si="15"/>
        <v>0</v>
      </c>
      <c r="I23" s="45">
        <f t="shared" si="15"/>
        <v>323616</v>
      </c>
      <c r="J23" s="45">
        <f t="shared" si="15"/>
        <v>1074240</v>
      </c>
      <c r="K23" s="45">
        <f t="shared" si="15"/>
        <v>243888</v>
      </c>
      <c r="L23" s="45">
        <f t="shared" si="15"/>
        <v>418560</v>
      </c>
      <c r="M23" s="45">
        <f t="shared" si="15"/>
        <v>236121.59999999998</v>
      </c>
      <c r="N23" s="45">
        <f t="shared" si="15"/>
        <v>387513.59999999998</v>
      </c>
      <c r="O23" s="45">
        <f t="shared" si="15"/>
        <v>592305.60000000009</v>
      </c>
      <c r="P23" s="45">
        <f t="shared" si="15"/>
        <v>169920</v>
      </c>
      <c r="Q23" s="45">
        <f t="shared" si="15"/>
        <v>127104</v>
      </c>
      <c r="R23" s="45">
        <f t="shared" si="15"/>
        <v>98400</v>
      </c>
      <c r="S23" s="45">
        <f t="shared" si="15"/>
        <v>162898.56</v>
      </c>
      <c r="T23" s="43">
        <f>T16*4</f>
        <v>29328</v>
      </c>
      <c r="U23" s="43">
        <f>U16*4</f>
        <v>15374.400000000001</v>
      </c>
      <c r="V23" s="36">
        <f t="shared" si="1"/>
        <v>5559264.96</v>
      </c>
    </row>
    <row r="24" spans="1:22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1012272</v>
      </c>
      <c r="F24" s="45">
        <f t="shared" ref="F24:S24" si="16">F16*4</f>
        <v>337339.19999999995</v>
      </c>
      <c r="G24" s="45">
        <f t="shared" si="16"/>
        <v>330384</v>
      </c>
      <c r="H24" s="45">
        <f t="shared" si="16"/>
        <v>0</v>
      </c>
      <c r="I24" s="45">
        <f t="shared" si="16"/>
        <v>323616</v>
      </c>
      <c r="J24" s="45">
        <f t="shared" si="16"/>
        <v>1074240</v>
      </c>
      <c r="K24" s="45">
        <f t="shared" si="16"/>
        <v>243888</v>
      </c>
      <c r="L24" s="45">
        <f t="shared" si="16"/>
        <v>418560</v>
      </c>
      <c r="M24" s="45">
        <f t="shared" si="16"/>
        <v>236121.59999999998</v>
      </c>
      <c r="N24" s="45">
        <f t="shared" si="16"/>
        <v>387513.59999999998</v>
      </c>
      <c r="O24" s="45">
        <f t="shared" si="16"/>
        <v>592305.60000000009</v>
      </c>
      <c r="P24" s="45">
        <f t="shared" si="16"/>
        <v>169920</v>
      </c>
      <c r="Q24" s="45">
        <f t="shared" si="16"/>
        <v>127104</v>
      </c>
      <c r="R24" s="45">
        <f t="shared" si="16"/>
        <v>98400</v>
      </c>
      <c r="S24" s="45">
        <f t="shared" si="16"/>
        <v>162898.56</v>
      </c>
      <c r="T24" s="43">
        <f>T16*4</f>
        <v>29328</v>
      </c>
      <c r="U24" s="43">
        <f>U16*4</f>
        <v>15374.400000000001</v>
      </c>
      <c r="V24" s="36">
        <f t="shared" si="1"/>
        <v>5559264.96</v>
      </c>
    </row>
    <row r="25" spans="1:22">
      <c r="A25" s="33" t="s">
        <v>233</v>
      </c>
      <c r="B25" s="34" t="s">
        <v>234</v>
      </c>
      <c r="C25" s="34"/>
      <c r="D25" s="35" t="s">
        <v>183</v>
      </c>
      <c r="E25" s="36">
        <f>E26</f>
        <v>8098176</v>
      </c>
      <c r="F25" s="36">
        <f t="shared" ref="F25:U25" si="17">F26</f>
        <v>2698713.5999999996</v>
      </c>
      <c r="G25" s="36">
        <f t="shared" si="17"/>
        <v>2643072</v>
      </c>
      <c r="H25" s="36">
        <f t="shared" si="17"/>
        <v>0</v>
      </c>
      <c r="I25" s="36">
        <f t="shared" si="17"/>
        <v>2588928</v>
      </c>
      <c r="J25" s="36">
        <f t="shared" si="17"/>
        <v>8593920</v>
      </c>
      <c r="K25" s="36">
        <f t="shared" si="17"/>
        <v>1951104</v>
      </c>
      <c r="L25" s="36">
        <f t="shared" si="17"/>
        <v>3348480</v>
      </c>
      <c r="M25" s="36">
        <f t="shared" si="17"/>
        <v>1888972.7999999998</v>
      </c>
      <c r="N25" s="36">
        <f t="shared" si="17"/>
        <v>3100108.7999999998</v>
      </c>
      <c r="O25" s="36">
        <f t="shared" si="17"/>
        <v>4738444.8000000007</v>
      </c>
      <c r="P25" s="36">
        <f t="shared" si="17"/>
        <v>1359360</v>
      </c>
      <c r="Q25" s="36">
        <f t="shared" si="17"/>
        <v>1016832</v>
      </c>
      <c r="R25" s="36">
        <f t="shared" si="17"/>
        <v>787200</v>
      </c>
      <c r="S25" s="36">
        <f t="shared" si="17"/>
        <v>1303188.48</v>
      </c>
      <c r="T25" s="37">
        <f t="shared" si="17"/>
        <v>234624</v>
      </c>
      <c r="U25" s="37">
        <f t="shared" si="17"/>
        <v>122995.20000000001</v>
      </c>
      <c r="V25" s="36">
        <f t="shared" si="1"/>
        <v>44474119.68</v>
      </c>
    </row>
    <row r="26" spans="1:22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8098176</v>
      </c>
      <c r="F26" s="36">
        <f t="shared" ref="F26:S26" si="18">F16*32</f>
        <v>2698713.5999999996</v>
      </c>
      <c r="G26" s="36">
        <f t="shared" si="18"/>
        <v>2643072</v>
      </c>
      <c r="H26" s="36">
        <f t="shared" si="18"/>
        <v>0</v>
      </c>
      <c r="I26" s="36">
        <f t="shared" si="18"/>
        <v>2588928</v>
      </c>
      <c r="J26" s="36">
        <f t="shared" si="18"/>
        <v>8593920</v>
      </c>
      <c r="K26" s="36">
        <f t="shared" si="18"/>
        <v>1951104</v>
      </c>
      <c r="L26" s="36">
        <f t="shared" si="18"/>
        <v>3348480</v>
      </c>
      <c r="M26" s="36">
        <f t="shared" si="18"/>
        <v>1888972.7999999998</v>
      </c>
      <c r="N26" s="36">
        <f t="shared" si="18"/>
        <v>3100108.7999999998</v>
      </c>
      <c r="O26" s="36">
        <f t="shared" si="18"/>
        <v>4738444.8000000007</v>
      </c>
      <c r="P26" s="36">
        <f t="shared" si="18"/>
        <v>1359360</v>
      </c>
      <c r="Q26" s="36">
        <f t="shared" si="18"/>
        <v>1016832</v>
      </c>
      <c r="R26" s="36">
        <f t="shared" si="18"/>
        <v>787200</v>
      </c>
      <c r="S26" s="36">
        <f t="shared" si="18"/>
        <v>1303188.48</v>
      </c>
      <c r="T26" s="37">
        <f>T16*32</f>
        <v>234624</v>
      </c>
      <c r="U26" s="37">
        <f>U16*32</f>
        <v>122995.20000000001</v>
      </c>
      <c r="V26" s="36">
        <f t="shared" si="1"/>
        <v>44474119.68</v>
      </c>
    </row>
    <row r="27" spans="1:22">
      <c r="A27" s="33" t="s">
        <v>238</v>
      </c>
      <c r="B27" s="34" t="s">
        <v>239</v>
      </c>
      <c r="C27" s="34"/>
      <c r="D27" s="35" t="s">
        <v>183</v>
      </c>
      <c r="E27" s="36">
        <f>E28</f>
        <v>4049088</v>
      </c>
      <c r="F27" s="36">
        <f t="shared" ref="F27:U27" si="19">F28</f>
        <v>1349356.7999999998</v>
      </c>
      <c r="G27" s="36">
        <f t="shared" si="19"/>
        <v>1321536</v>
      </c>
      <c r="H27" s="36">
        <f t="shared" si="19"/>
        <v>0</v>
      </c>
      <c r="I27" s="36">
        <f t="shared" si="19"/>
        <v>1294464</v>
      </c>
      <c r="J27" s="36">
        <f t="shared" si="19"/>
        <v>4296960</v>
      </c>
      <c r="K27" s="36">
        <f t="shared" si="19"/>
        <v>975552</v>
      </c>
      <c r="L27" s="36">
        <f t="shared" si="19"/>
        <v>1674240</v>
      </c>
      <c r="M27" s="36">
        <f t="shared" si="19"/>
        <v>944486.39999999991</v>
      </c>
      <c r="N27" s="36">
        <f t="shared" si="19"/>
        <v>1550054.3999999999</v>
      </c>
      <c r="O27" s="36">
        <f t="shared" si="19"/>
        <v>2369222.4000000004</v>
      </c>
      <c r="P27" s="36">
        <f t="shared" si="19"/>
        <v>679680</v>
      </c>
      <c r="Q27" s="36">
        <f t="shared" si="19"/>
        <v>508416</v>
      </c>
      <c r="R27" s="36">
        <f t="shared" si="19"/>
        <v>393600</v>
      </c>
      <c r="S27" s="36">
        <f t="shared" si="19"/>
        <v>651594.23999999999</v>
      </c>
      <c r="T27" s="37">
        <f t="shared" si="19"/>
        <v>117312</v>
      </c>
      <c r="U27" s="37">
        <f t="shared" si="19"/>
        <v>61497.600000000006</v>
      </c>
      <c r="V27" s="36">
        <f t="shared" si="1"/>
        <v>22237059.84</v>
      </c>
    </row>
    <row r="28" spans="1:22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4049088</v>
      </c>
      <c r="F28" s="36">
        <f t="shared" ref="F28:S28" si="20">F16*16</f>
        <v>1349356.7999999998</v>
      </c>
      <c r="G28" s="36">
        <f t="shared" si="20"/>
        <v>1321536</v>
      </c>
      <c r="H28" s="36">
        <f t="shared" si="20"/>
        <v>0</v>
      </c>
      <c r="I28" s="36">
        <f t="shared" si="20"/>
        <v>1294464</v>
      </c>
      <c r="J28" s="36">
        <f t="shared" si="20"/>
        <v>4296960</v>
      </c>
      <c r="K28" s="36">
        <f t="shared" si="20"/>
        <v>975552</v>
      </c>
      <c r="L28" s="36">
        <f t="shared" si="20"/>
        <v>1674240</v>
      </c>
      <c r="M28" s="36">
        <f t="shared" si="20"/>
        <v>944486.39999999991</v>
      </c>
      <c r="N28" s="36">
        <f t="shared" si="20"/>
        <v>1550054.3999999999</v>
      </c>
      <c r="O28" s="36">
        <f t="shared" si="20"/>
        <v>2369222.4000000004</v>
      </c>
      <c r="P28" s="36">
        <f t="shared" si="20"/>
        <v>679680</v>
      </c>
      <c r="Q28" s="36">
        <f t="shared" si="20"/>
        <v>508416</v>
      </c>
      <c r="R28" s="36">
        <f t="shared" si="20"/>
        <v>393600</v>
      </c>
      <c r="S28" s="36">
        <f t="shared" si="20"/>
        <v>651594.23999999999</v>
      </c>
      <c r="T28" s="37">
        <f>T16*16</f>
        <v>117312</v>
      </c>
      <c r="U28" s="37">
        <f>U16*16</f>
        <v>61497.600000000006</v>
      </c>
      <c r="V28" s="36">
        <f t="shared" si="1"/>
        <v>22237059.84</v>
      </c>
    </row>
    <row r="29" spans="1:22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2448000</v>
      </c>
      <c r="F29" s="36">
        <f t="shared" ref="F29:S29" si="21">9600*F96</f>
        <v>825600</v>
      </c>
      <c r="G29" s="36">
        <f t="shared" si="21"/>
        <v>796800</v>
      </c>
      <c r="H29" s="36">
        <f t="shared" si="21"/>
        <v>0</v>
      </c>
      <c r="I29" s="36">
        <f t="shared" si="21"/>
        <v>864000</v>
      </c>
      <c r="J29" s="36">
        <f t="shared" si="21"/>
        <v>2764800</v>
      </c>
      <c r="K29" s="36">
        <f t="shared" si="21"/>
        <v>604800</v>
      </c>
      <c r="L29" s="36">
        <f t="shared" si="21"/>
        <v>1113600</v>
      </c>
      <c r="M29" s="36">
        <f t="shared" si="21"/>
        <v>595200</v>
      </c>
      <c r="N29" s="36">
        <f t="shared" si="21"/>
        <v>1046400</v>
      </c>
      <c r="O29" s="36">
        <f t="shared" si="21"/>
        <v>1603200</v>
      </c>
      <c r="P29" s="36">
        <f t="shared" si="21"/>
        <v>441600</v>
      </c>
      <c r="Q29" s="36">
        <f t="shared" si="21"/>
        <v>345600</v>
      </c>
      <c r="R29" s="36">
        <f t="shared" si="21"/>
        <v>268800</v>
      </c>
      <c r="S29" s="36">
        <f t="shared" si="21"/>
        <v>432000</v>
      </c>
      <c r="T29" s="37">
        <f>9600*T96</f>
        <v>67200</v>
      </c>
      <c r="U29" s="37">
        <f>9600*U96</f>
        <v>38400</v>
      </c>
      <c r="V29" s="36">
        <f t="shared" si="1"/>
        <v>14256000</v>
      </c>
    </row>
    <row r="30" spans="1:22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3542952</v>
      </c>
      <c r="F30" s="45">
        <f t="shared" ref="F30:S30" si="22">F16*14</f>
        <v>1180687.1999999997</v>
      </c>
      <c r="G30" s="45">
        <f t="shared" si="22"/>
        <v>1156344</v>
      </c>
      <c r="H30" s="45">
        <f t="shared" si="22"/>
        <v>0</v>
      </c>
      <c r="I30" s="45">
        <f t="shared" si="22"/>
        <v>1132656</v>
      </c>
      <c r="J30" s="45">
        <f t="shared" si="22"/>
        <v>3759840</v>
      </c>
      <c r="K30" s="45">
        <f t="shared" si="22"/>
        <v>853608</v>
      </c>
      <c r="L30" s="45">
        <f t="shared" si="22"/>
        <v>1464960</v>
      </c>
      <c r="M30" s="45">
        <f t="shared" si="22"/>
        <v>826425.59999999986</v>
      </c>
      <c r="N30" s="45">
        <f t="shared" si="22"/>
        <v>1356297.5999999999</v>
      </c>
      <c r="O30" s="45">
        <f t="shared" si="22"/>
        <v>2073069.6000000003</v>
      </c>
      <c r="P30" s="45">
        <f t="shared" si="22"/>
        <v>594720</v>
      </c>
      <c r="Q30" s="45">
        <f t="shared" si="22"/>
        <v>444864</v>
      </c>
      <c r="R30" s="45">
        <f t="shared" si="22"/>
        <v>344400</v>
      </c>
      <c r="S30" s="45">
        <f t="shared" si="22"/>
        <v>570144.96</v>
      </c>
      <c r="T30" s="43">
        <f>T16*14</f>
        <v>102648</v>
      </c>
      <c r="U30" s="43">
        <f>U16*14</f>
        <v>53810.400000000009</v>
      </c>
      <c r="V30" s="36">
        <f t="shared" si="1"/>
        <v>19457427.359999999</v>
      </c>
    </row>
    <row r="31" spans="1:22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65491.199999999997</v>
      </c>
      <c r="F31" s="36">
        <f t="shared" ref="F31:S31" si="23">F32+F40+F42+F45+F47</f>
        <v>10200</v>
      </c>
      <c r="G31" s="36">
        <f t="shared" si="23"/>
        <v>10440</v>
      </c>
      <c r="H31" s="36">
        <f t="shared" si="23"/>
        <v>0</v>
      </c>
      <c r="I31" s="36">
        <f t="shared" si="23"/>
        <v>8640</v>
      </c>
      <c r="J31" s="36">
        <f t="shared" si="23"/>
        <v>26980</v>
      </c>
      <c r="K31" s="36">
        <f t="shared" si="23"/>
        <v>6120</v>
      </c>
      <c r="L31" s="36">
        <f t="shared" si="23"/>
        <v>4320</v>
      </c>
      <c r="M31" s="36">
        <f t="shared" si="23"/>
        <v>3270</v>
      </c>
      <c r="N31" s="36">
        <f t="shared" si="23"/>
        <v>8480</v>
      </c>
      <c r="O31" s="36">
        <f t="shared" si="23"/>
        <v>20560</v>
      </c>
      <c r="P31" s="36">
        <f t="shared" si="23"/>
        <v>4380</v>
      </c>
      <c r="Q31" s="36">
        <f t="shared" si="23"/>
        <v>4030</v>
      </c>
      <c r="R31" s="36">
        <f t="shared" si="23"/>
        <v>3520</v>
      </c>
      <c r="S31" s="36">
        <f t="shared" si="23"/>
        <v>6560</v>
      </c>
      <c r="T31" s="37">
        <f>T32+T40+T42+T45+T47</f>
        <v>1080</v>
      </c>
      <c r="U31" s="37">
        <f>U32+U40+U42+U45+U47</f>
        <v>860</v>
      </c>
      <c r="V31" s="36">
        <f t="shared" si="1"/>
        <v>184931.20000000001</v>
      </c>
    </row>
    <row r="32" spans="1:22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S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24"/>
        <v>0</v>
      </c>
      <c r="T32" s="37">
        <f>T33+T34+T35+T36+T37+T38+T39</f>
        <v>0</v>
      </c>
      <c r="U32" s="37">
        <f>U33+U34+U35+U36+U37+U38+U39</f>
        <v>0</v>
      </c>
      <c r="V32" s="36">
        <f t="shared" si="1"/>
        <v>0</v>
      </c>
    </row>
    <row r="33" spans="1:22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36">
        <f t="shared" si="1"/>
        <v>0</v>
      </c>
    </row>
    <row r="34" spans="1:22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36">
        <f t="shared" si="1"/>
        <v>0</v>
      </c>
    </row>
    <row r="35" spans="1:22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36">
        <f t="shared" si="1"/>
        <v>0</v>
      </c>
    </row>
    <row r="36" spans="1:22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36">
        <f t="shared" si="1"/>
        <v>0</v>
      </c>
    </row>
    <row r="37" spans="1:22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36">
        <f t="shared" si="1"/>
        <v>0</v>
      </c>
    </row>
    <row r="38" spans="1:22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36">
        <f t="shared" si="1"/>
        <v>0</v>
      </c>
    </row>
    <row r="39" spans="1:22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36">
        <f t="shared" si="1"/>
        <v>0</v>
      </c>
    </row>
    <row r="40" spans="1:22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U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25"/>
        <v>0</v>
      </c>
      <c r="T40" s="37">
        <f t="shared" si="25"/>
        <v>0</v>
      </c>
      <c r="U40" s="37">
        <f t="shared" si="25"/>
        <v>0</v>
      </c>
      <c r="V40" s="36">
        <f t="shared" si="1"/>
        <v>0</v>
      </c>
    </row>
    <row r="41" spans="1:22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36">
        <f t="shared" si="1"/>
        <v>0</v>
      </c>
    </row>
    <row r="42" spans="1:22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S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26"/>
        <v>0</v>
      </c>
      <c r="T42" s="37">
        <f>T43+T44</f>
        <v>0</v>
      </c>
      <c r="U42" s="37">
        <f>U43+U44</f>
        <v>0</v>
      </c>
      <c r="V42" s="36">
        <f t="shared" si="1"/>
        <v>0</v>
      </c>
    </row>
    <row r="43" spans="1:22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36">
        <f t="shared" si="1"/>
        <v>0</v>
      </c>
    </row>
    <row r="44" spans="1:22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36">
        <f t="shared" si="1"/>
        <v>0</v>
      </c>
    </row>
    <row r="45" spans="1:22">
      <c r="A45" s="33" t="s">
        <v>280</v>
      </c>
      <c r="B45" s="34" t="s">
        <v>281</v>
      </c>
      <c r="C45" s="34"/>
      <c r="D45" s="35" t="s">
        <v>183</v>
      </c>
      <c r="E45" s="36">
        <f>E46</f>
        <v>22680</v>
      </c>
      <c r="F45" s="36">
        <f t="shared" ref="F45:U45" si="27">F46</f>
        <v>7200</v>
      </c>
      <c r="G45" s="36">
        <f t="shared" si="27"/>
        <v>10440</v>
      </c>
      <c r="H45" s="36">
        <f t="shared" si="27"/>
        <v>0</v>
      </c>
      <c r="I45" s="36">
        <f t="shared" si="27"/>
        <v>6840</v>
      </c>
      <c r="J45" s="36">
        <f t="shared" si="27"/>
        <v>22680</v>
      </c>
      <c r="K45" s="36">
        <f t="shared" si="27"/>
        <v>6120</v>
      </c>
      <c r="L45" s="36">
        <f t="shared" si="27"/>
        <v>4320</v>
      </c>
      <c r="M45" s="36">
        <f t="shared" si="27"/>
        <v>2520</v>
      </c>
      <c r="N45" s="36">
        <f t="shared" si="27"/>
        <v>6480</v>
      </c>
      <c r="O45" s="36">
        <f t="shared" si="27"/>
        <v>16560</v>
      </c>
      <c r="P45" s="36">
        <f t="shared" si="27"/>
        <v>2880</v>
      </c>
      <c r="Q45" s="36">
        <f t="shared" si="27"/>
        <v>2880</v>
      </c>
      <c r="R45" s="36">
        <f t="shared" si="27"/>
        <v>2520</v>
      </c>
      <c r="S45" s="36">
        <f t="shared" si="27"/>
        <v>5760</v>
      </c>
      <c r="T45" s="37">
        <f t="shared" si="27"/>
        <v>1080</v>
      </c>
      <c r="U45" s="37">
        <f t="shared" si="27"/>
        <v>360</v>
      </c>
      <c r="V45" s="36">
        <f t="shared" si="1"/>
        <v>121320</v>
      </c>
    </row>
    <row r="46" spans="1:22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f>1890*12</f>
        <v>22680</v>
      </c>
      <c r="F46" s="37">
        <f>600*12</f>
        <v>7200</v>
      </c>
      <c r="G46" s="37">
        <f>870*12</f>
        <v>10440</v>
      </c>
      <c r="H46" s="37"/>
      <c r="I46" s="37">
        <f>570*12</f>
        <v>6840</v>
      </c>
      <c r="J46" s="37">
        <f>1890*12</f>
        <v>22680</v>
      </c>
      <c r="K46" s="37">
        <f>510*12</f>
        <v>6120</v>
      </c>
      <c r="L46" s="37">
        <f>360*12</f>
        <v>4320</v>
      </c>
      <c r="M46" s="37">
        <f>210*12</f>
        <v>2520</v>
      </c>
      <c r="N46" s="37">
        <f>540*12</f>
        <v>6480</v>
      </c>
      <c r="O46" s="37">
        <f>1380*12</f>
        <v>16560</v>
      </c>
      <c r="P46" s="37">
        <f>240*12</f>
        <v>2880</v>
      </c>
      <c r="Q46" s="37">
        <f>240*12</f>
        <v>2880</v>
      </c>
      <c r="R46" s="37">
        <f>210*12</f>
        <v>2520</v>
      </c>
      <c r="S46" s="37">
        <f>480*12</f>
        <v>5760</v>
      </c>
      <c r="T46" s="37">
        <f>90*12</f>
        <v>1080</v>
      </c>
      <c r="U46" s="37">
        <f>30*12</f>
        <v>360</v>
      </c>
      <c r="V46" s="36">
        <f t="shared" si="1"/>
        <v>121320</v>
      </c>
    </row>
    <row r="47" spans="1:22">
      <c r="A47" s="33" t="s">
        <v>284</v>
      </c>
      <c r="B47" s="34" t="s">
        <v>285</v>
      </c>
      <c r="C47" s="34"/>
      <c r="D47" s="35" t="s">
        <v>183</v>
      </c>
      <c r="E47" s="36">
        <f>SUM(E48:E51)</f>
        <v>42811.199999999997</v>
      </c>
      <c r="F47" s="36">
        <f t="shared" ref="F47:S47" si="28">SUM(F48:F51)</f>
        <v>3000</v>
      </c>
      <c r="G47" s="36">
        <f t="shared" si="28"/>
        <v>0</v>
      </c>
      <c r="H47" s="36">
        <f t="shared" si="28"/>
        <v>0</v>
      </c>
      <c r="I47" s="36">
        <f t="shared" si="28"/>
        <v>1800</v>
      </c>
      <c r="J47" s="36">
        <f t="shared" si="28"/>
        <v>4300</v>
      </c>
      <c r="K47" s="36">
        <f t="shared" si="28"/>
        <v>0</v>
      </c>
      <c r="L47" s="36">
        <f t="shared" si="28"/>
        <v>0</v>
      </c>
      <c r="M47" s="36">
        <f t="shared" si="28"/>
        <v>750</v>
      </c>
      <c r="N47" s="36">
        <f t="shared" si="28"/>
        <v>2000</v>
      </c>
      <c r="O47" s="36">
        <f t="shared" si="28"/>
        <v>4000</v>
      </c>
      <c r="P47" s="36">
        <f t="shared" si="28"/>
        <v>1500</v>
      </c>
      <c r="Q47" s="36">
        <f t="shared" si="28"/>
        <v>1150</v>
      </c>
      <c r="R47" s="36">
        <f t="shared" si="28"/>
        <v>1000</v>
      </c>
      <c r="S47" s="36">
        <f t="shared" si="28"/>
        <v>800</v>
      </c>
      <c r="T47" s="37">
        <f>SUM(T48:T51)</f>
        <v>0</v>
      </c>
      <c r="U47" s="37">
        <f>SUM(U48:U51)</f>
        <v>500</v>
      </c>
      <c r="V47" s="36">
        <f t="shared" si="1"/>
        <v>63611.199999999997</v>
      </c>
    </row>
    <row r="48" spans="1:22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4100</v>
      </c>
      <c r="F48" s="37">
        <v>3000</v>
      </c>
      <c r="G48" s="37"/>
      <c r="H48" s="37"/>
      <c r="I48" s="37">
        <v>1800</v>
      </c>
      <c r="J48" s="37">
        <v>4300</v>
      </c>
      <c r="K48" s="37"/>
      <c r="L48" s="37"/>
      <c r="M48" s="37">
        <v>750</v>
      </c>
      <c r="N48" s="37">
        <v>2000</v>
      </c>
      <c r="O48" s="37">
        <v>4000</v>
      </c>
      <c r="P48" s="37">
        <v>1500</v>
      </c>
      <c r="Q48" s="37">
        <v>1150</v>
      </c>
      <c r="R48" s="37">
        <v>1000</v>
      </c>
      <c r="S48" s="37">
        <v>800</v>
      </c>
      <c r="T48" s="37"/>
      <c r="U48" s="37">
        <f>50*10</f>
        <v>500</v>
      </c>
      <c r="V48" s="36">
        <f t="shared" si="1"/>
        <v>24900</v>
      </c>
    </row>
    <row r="49" spans="1:24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36">
        <f t="shared" si="1"/>
        <v>0</v>
      </c>
    </row>
    <row r="50" spans="1:24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36">
        <f t="shared" si="1"/>
        <v>0</v>
      </c>
    </row>
    <row r="51" spans="1:24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>
        <v>38711.199999999997</v>
      </c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36">
        <f t="shared" si="1"/>
        <v>38711.199999999997</v>
      </c>
    </row>
    <row r="52" spans="1:24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10281355.050000001</v>
      </c>
      <c r="F52" s="36">
        <f t="shared" ref="F52:S52" si="29">F53+F71+F73+F75+F77+F79+F81+F83+F85+F93</f>
        <v>3643047.2</v>
      </c>
      <c r="G52" s="36">
        <f t="shared" si="29"/>
        <v>3262861.3</v>
      </c>
      <c r="H52" s="36">
        <f t="shared" si="29"/>
        <v>1983923.4</v>
      </c>
      <c r="I52" s="36">
        <f t="shared" si="29"/>
        <v>4172641.95</v>
      </c>
      <c r="J52" s="36">
        <f t="shared" si="29"/>
        <v>16622901.25</v>
      </c>
      <c r="K52" s="36">
        <f t="shared" si="29"/>
        <v>2798653.45</v>
      </c>
      <c r="L52" s="36">
        <f t="shared" si="29"/>
        <v>6849106.2999999998</v>
      </c>
      <c r="M52" s="36">
        <f t="shared" si="29"/>
        <v>2766909.7</v>
      </c>
      <c r="N52" s="36">
        <f t="shared" si="29"/>
        <v>6126289.75</v>
      </c>
      <c r="O52" s="36">
        <f t="shared" si="29"/>
        <v>8487600.5999999996</v>
      </c>
      <c r="P52" s="36">
        <f t="shared" si="29"/>
        <v>2031590</v>
      </c>
      <c r="Q52" s="36">
        <f t="shared" si="29"/>
        <v>1646417</v>
      </c>
      <c r="R52" s="36">
        <f t="shared" si="29"/>
        <v>1431906.8</v>
      </c>
      <c r="S52" s="36">
        <f t="shared" si="29"/>
        <v>1960694.56</v>
      </c>
      <c r="T52" s="37">
        <f>T53+T71+T73+T75+T77+T79+T81+T83+T85+T93</f>
        <v>402848</v>
      </c>
      <c r="U52" s="37">
        <f>U53+U71+U73+U75+U77+U79+U81+U83+U85+U93</f>
        <v>980251.20000000007</v>
      </c>
      <c r="V52" s="36">
        <f t="shared" si="1"/>
        <v>75448997.510000005</v>
      </c>
      <c r="X52" s="30">
        <v>74325237.510000005</v>
      </c>
    </row>
    <row r="53" spans="1:24">
      <c r="A53" s="33" t="s">
        <v>299</v>
      </c>
      <c r="B53" s="34" t="s">
        <v>300</v>
      </c>
      <c r="C53" s="34"/>
      <c r="D53" s="35" t="s">
        <v>301</v>
      </c>
      <c r="E53" s="36">
        <f>SUM(E54:E70)</f>
        <v>7128700</v>
      </c>
      <c r="F53" s="36">
        <f t="shared" ref="F53:S53" si="30">SUM(F54:F70)</f>
        <v>2402620</v>
      </c>
      <c r="G53" s="36">
        <f t="shared" si="30"/>
        <v>2071560</v>
      </c>
      <c r="H53" s="36">
        <f t="shared" si="30"/>
        <v>1703650</v>
      </c>
      <c r="I53" s="36">
        <f t="shared" si="30"/>
        <v>3197890</v>
      </c>
      <c r="J53" s="36">
        <f t="shared" si="30"/>
        <v>13131530</v>
      </c>
      <c r="K53" s="36">
        <f t="shared" si="30"/>
        <v>2012120</v>
      </c>
      <c r="L53" s="36">
        <f t="shared" si="30"/>
        <v>5474560</v>
      </c>
      <c r="M53" s="36">
        <f t="shared" si="30"/>
        <v>2029080</v>
      </c>
      <c r="N53" s="36">
        <f t="shared" si="30"/>
        <v>4893110</v>
      </c>
      <c r="O53" s="36">
        <f t="shared" si="30"/>
        <v>6417420</v>
      </c>
      <c r="P53" s="36">
        <f t="shared" si="30"/>
        <v>1359260</v>
      </c>
      <c r="Q53" s="36">
        <f t="shared" si="30"/>
        <v>1212960</v>
      </c>
      <c r="R53" s="36">
        <f t="shared" si="30"/>
        <v>1099080</v>
      </c>
      <c r="S53" s="36">
        <f t="shared" si="30"/>
        <v>1361920</v>
      </c>
      <c r="T53" s="37">
        <f>SUM(T54:T70)</f>
        <v>224000</v>
      </c>
      <c r="U53" s="37">
        <f>SUM(U54:U70)</f>
        <v>798000</v>
      </c>
      <c r="V53" s="36">
        <f t="shared" si="1"/>
        <v>56517460</v>
      </c>
    </row>
    <row r="54" spans="1:24">
      <c r="A54" s="33" t="s">
        <v>302</v>
      </c>
      <c r="B54" s="34" t="s">
        <v>303</v>
      </c>
      <c r="C54" s="34" t="s">
        <v>189</v>
      </c>
      <c r="D54" s="47"/>
      <c r="E54" s="37">
        <v>500000</v>
      </c>
      <c r="F54" s="37">
        <v>430000</v>
      </c>
      <c r="G54" s="37">
        <v>130733</v>
      </c>
      <c r="H54" s="37">
        <v>100000</v>
      </c>
      <c r="I54" s="37">
        <v>50000</v>
      </c>
      <c r="J54" s="37">
        <f>500000+508810.5/2</f>
        <v>754405.25</v>
      </c>
      <c r="K54" s="37">
        <f>246700+78166</f>
        <v>324866</v>
      </c>
      <c r="L54" s="37">
        <f>360000+212344/2</f>
        <v>466172</v>
      </c>
      <c r="M54" s="37">
        <f>13000+295923+78166</f>
        <v>387089</v>
      </c>
      <c r="N54" s="37">
        <f>450000+190085.5/2</f>
        <v>545042.75</v>
      </c>
      <c r="O54" s="37">
        <v>700000</v>
      </c>
      <c r="P54" s="37">
        <v>200000</v>
      </c>
      <c r="Q54" s="37">
        <v>150000</v>
      </c>
      <c r="R54" s="37">
        <v>120000</v>
      </c>
      <c r="S54" s="37">
        <v>43144</v>
      </c>
      <c r="T54" s="37">
        <v>21000</v>
      </c>
      <c r="U54" s="37">
        <v>94084</v>
      </c>
      <c r="V54" s="36">
        <f t="shared" si="1"/>
        <v>5016536</v>
      </c>
    </row>
    <row r="55" spans="1:24">
      <c r="A55" s="33" t="s">
        <v>304</v>
      </c>
      <c r="B55" s="34" t="s">
        <v>305</v>
      </c>
      <c r="C55" s="34" t="s">
        <v>189</v>
      </c>
      <c r="D55" s="47"/>
      <c r="E55" s="37">
        <v>400000</v>
      </c>
      <c r="F55" s="37">
        <v>70000</v>
      </c>
      <c r="G55" s="37">
        <v>76317</v>
      </c>
      <c r="H55" s="37">
        <v>50000</v>
      </c>
      <c r="I55" s="37">
        <v>50000</v>
      </c>
      <c r="J55" s="37">
        <v>500000</v>
      </c>
      <c r="K55" s="37">
        <v>130000</v>
      </c>
      <c r="L55" s="37">
        <v>120000</v>
      </c>
      <c r="M55" s="37">
        <v>75000</v>
      </c>
      <c r="N55" s="37">
        <v>90000</v>
      </c>
      <c r="O55" s="37">
        <v>150000</v>
      </c>
      <c r="P55" s="37">
        <v>2000</v>
      </c>
      <c r="Q55" s="37">
        <v>10000</v>
      </c>
      <c r="R55" s="37">
        <v>5000</v>
      </c>
      <c r="S55" s="37">
        <v>1000</v>
      </c>
      <c r="T55" s="37">
        <v>12000</v>
      </c>
      <c r="U55" s="37">
        <v>12000</v>
      </c>
      <c r="V55" s="36">
        <f t="shared" si="1"/>
        <v>1753317</v>
      </c>
    </row>
    <row r="56" spans="1:24">
      <c r="A56" s="33" t="s">
        <v>306</v>
      </c>
      <c r="B56" s="34" t="s">
        <v>307</v>
      </c>
      <c r="C56" s="34" t="s">
        <v>189</v>
      </c>
      <c r="D56" s="47"/>
      <c r="E56" s="37">
        <v>100000</v>
      </c>
      <c r="F56" s="37">
        <v>0</v>
      </c>
      <c r="G56" s="37">
        <v>25000</v>
      </c>
      <c r="H56" s="37">
        <v>0</v>
      </c>
      <c r="I56" s="37">
        <v>20000</v>
      </c>
      <c r="J56" s="37">
        <v>500000</v>
      </c>
      <c r="K56" s="37">
        <v>8000</v>
      </c>
      <c r="L56" s="37">
        <v>10000</v>
      </c>
      <c r="M56" s="37">
        <v>20000</v>
      </c>
      <c r="N56" s="37">
        <v>10000</v>
      </c>
      <c r="O56" s="37">
        <v>30000</v>
      </c>
      <c r="P56" s="37">
        <v>5000</v>
      </c>
      <c r="Q56" s="37">
        <v>10000</v>
      </c>
      <c r="R56" s="37">
        <v>10000</v>
      </c>
      <c r="S56" s="37">
        <v>1000</v>
      </c>
      <c r="T56" s="37">
        <v>3000</v>
      </c>
      <c r="U56" s="37"/>
      <c r="V56" s="36">
        <f t="shared" si="1"/>
        <v>752000</v>
      </c>
    </row>
    <row r="57" spans="1:24">
      <c r="A57" s="33" t="s">
        <v>308</v>
      </c>
      <c r="B57" s="34" t="s">
        <v>309</v>
      </c>
      <c r="C57" s="34" t="s">
        <v>189</v>
      </c>
      <c r="D57" s="47"/>
      <c r="E57" s="37">
        <v>300000</v>
      </c>
      <c r="F57" s="37">
        <v>100000</v>
      </c>
      <c r="G57" s="37">
        <v>60000</v>
      </c>
      <c r="H57" s="37">
        <v>30000</v>
      </c>
      <c r="I57" s="37">
        <v>120000</v>
      </c>
      <c r="J57" s="37">
        <v>100000</v>
      </c>
      <c r="K57" s="37">
        <v>120000</v>
      </c>
      <c r="L57" s="37">
        <v>180000</v>
      </c>
      <c r="M57" s="37">
        <v>35000</v>
      </c>
      <c r="N57" s="37">
        <v>150000</v>
      </c>
      <c r="O57" s="37">
        <v>120000</v>
      </c>
      <c r="P57" s="37">
        <v>40000</v>
      </c>
      <c r="Q57" s="37">
        <v>20000</v>
      </c>
      <c r="R57" s="37">
        <v>12500</v>
      </c>
      <c r="S57" s="37">
        <v>55000</v>
      </c>
      <c r="T57" s="37">
        <v>3000</v>
      </c>
      <c r="U57" s="37">
        <v>30000</v>
      </c>
      <c r="V57" s="36">
        <f t="shared" si="1"/>
        <v>1475500</v>
      </c>
    </row>
    <row r="58" spans="1:24">
      <c r="A58" s="33" t="s">
        <v>310</v>
      </c>
      <c r="B58" s="34" t="s">
        <v>311</v>
      </c>
      <c r="C58" s="34" t="s">
        <v>189</v>
      </c>
      <c r="D58" s="47"/>
      <c r="E58" s="37">
        <v>350000</v>
      </c>
      <c r="F58" s="37">
        <v>200000</v>
      </c>
      <c r="G58" s="37">
        <v>100000</v>
      </c>
      <c r="H58" s="37">
        <v>150000</v>
      </c>
      <c r="I58" s="37">
        <v>200000</v>
      </c>
      <c r="J58" s="37">
        <v>500000</v>
      </c>
      <c r="K58" s="37">
        <v>140000</v>
      </c>
      <c r="L58" s="37">
        <v>240000</v>
      </c>
      <c r="M58" s="37">
        <v>150000</v>
      </c>
      <c r="N58" s="37">
        <v>330000</v>
      </c>
      <c r="O58" s="37">
        <v>400000</v>
      </c>
      <c r="P58" s="37">
        <v>100000</v>
      </c>
      <c r="Q58" s="37">
        <v>120000</v>
      </c>
      <c r="R58" s="37">
        <v>68000</v>
      </c>
      <c r="S58" s="37">
        <v>120000</v>
      </c>
      <c r="T58" s="37"/>
      <c r="U58" s="37">
        <v>50000</v>
      </c>
      <c r="V58" s="36">
        <f t="shared" si="1"/>
        <v>3218000</v>
      </c>
    </row>
    <row r="59" spans="1:24">
      <c r="A59" s="33" t="s">
        <v>312</v>
      </c>
      <c r="B59" s="34" t="s">
        <v>313</v>
      </c>
      <c r="C59" s="34" t="s">
        <v>189</v>
      </c>
      <c r="D59" s="47"/>
      <c r="E59" s="37">
        <v>100000</v>
      </c>
      <c r="F59" s="37">
        <v>60000</v>
      </c>
      <c r="G59" s="37">
        <v>20000</v>
      </c>
      <c r="H59" s="37">
        <v>6000</v>
      </c>
      <c r="I59" s="37">
        <v>70000</v>
      </c>
      <c r="J59" s="37">
        <v>100000</v>
      </c>
      <c r="K59" s="37">
        <v>5000</v>
      </c>
      <c r="L59" s="37">
        <v>120000</v>
      </c>
      <c r="M59" s="37">
        <v>50000</v>
      </c>
      <c r="N59" s="37">
        <v>50000</v>
      </c>
      <c r="O59" s="37">
        <v>50000</v>
      </c>
      <c r="P59" s="37">
        <v>30000</v>
      </c>
      <c r="Q59" s="37">
        <v>30000</v>
      </c>
      <c r="R59" s="37">
        <v>16000</v>
      </c>
      <c r="S59" s="37">
        <v>28000</v>
      </c>
      <c r="T59" s="37">
        <v>2000</v>
      </c>
      <c r="U59" s="37">
        <v>20000</v>
      </c>
      <c r="V59" s="36">
        <f t="shared" si="1"/>
        <v>757000</v>
      </c>
    </row>
    <row r="60" spans="1:24">
      <c r="A60" s="33" t="s">
        <v>314</v>
      </c>
      <c r="B60" s="34" t="s">
        <v>315</v>
      </c>
      <c r="C60" s="34" t="s">
        <v>189</v>
      </c>
      <c r="D60" s="47"/>
      <c r="E60" s="37">
        <v>100000</v>
      </c>
      <c r="F60" s="37">
        <v>30000</v>
      </c>
      <c r="G60" s="37">
        <v>5000</v>
      </c>
      <c r="H60" s="37">
        <v>50000</v>
      </c>
      <c r="I60" s="37">
        <v>2000</v>
      </c>
      <c r="J60" s="37">
        <v>100000</v>
      </c>
      <c r="K60" s="37">
        <v>3000</v>
      </c>
      <c r="L60" s="37">
        <v>20000</v>
      </c>
      <c r="M60" s="37">
        <v>20000</v>
      </c>
      <c r="N60" s="37">
        <v>35000</v>
      </c>
      <c r="O60" s="37">
        <v>20000</v>
      </c>
      <c r="P60" s="37">
        <v>5000</v>
      </c>
      <c r="Q60" s="37">
        <v>20000</v>
      </c>
      <c r="R60" s="37">
        <v>2000</v>
      </c>
      <c r="S60" s="37">
        <v>2000</v>
      </c>
      <c r="T60" s="37">
        <v>10000</v>
      </c>
      <c r="U60" s="37">
        <v>5000</v>
      </c>
      <c r="V60" s="36">
        <f t="shared" si="1"/>
        <v>429000</v>
      </c>
    </row>
    <row r="61" spans="1:24">
      <c r="A61" s="33" t="s">
        <v>316</v>
      </c>
      <c r="B61" s="34" t="s">
        <v>317</v>
      </c>
      <c r="C61" s="34" t="s">
        <v>189</v>
      </c>
      <c r="D61" s="47"/>
      <c r="E61" s="37">
        <v>550000</v>
      </c>
      <c r="F61" s="37">
        <v>160000</v>
      </c>
      <c r="G61" s="37">
        <v>150000</v>
      </c>
      <c r="H61" s="37">
        <v>150000</v>
      </c>
      <c r="I61" s="37">
        <v>30000</v>
      </c>
      <c r="J61" s="37">
        <v>1500000</v>
      </c>
      <c r="K61" s="37">
        <v>350000</v>
      </c>
      <c r="L61" s="37">
        <v>600000</v>
      </c>
      <c r="M61" s="37">
        <v>250000</v>
      </c>
      <c r="N61" s="37">
        <v>640989</v>
      </c>
      <c r="O61" s="37">
        <v>500000</v>
      </c>
      <c r="P61" s="37">
        <v>120000</v>
      </c>
      <c r="Q61" s="37">
        <v>100000</v>
      </c>
      <c r="R61" s="37">
        <v>120000</v>
      </c>
      <c r="S61" s="37">
        <v>380000</v>
      </c>
      <c r="T61" s="37">
        <v>20000</v>
      </c>
      <c r="U61" s="37">
        <v>100000</v>
      </c>
      <c r="V61" s="36">
        <f t="shared" si="1"/>
        <v>5720989</v>
      </c>
    </row>
    <row r="62" spans="1:24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6">
        <f t="shared" si="1"/>
        <v>0</v>
      </c>
    </row>
    <row r="63" spans="1:24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356435</v>
      </c>
      <c r="F63" s="37">
        <v>120131</v>
      </c>
      <c r="G63" s="37">
        <v>103578</v>
      </c>
      <c r="H63" s="37">
        <v>56458</v>
      </c>
      <c r="I63" s="37">
        <v>159894.5</v>
      </c>
      <c r="J63" s="37">
        <f>629797+26779.5</f>
        <v>656576.5</v>
      </c>
      <c r="K63" s="37">
        <f>96492+4114</f>
        <v>100606</v>
      </c>
      <c r="L63" s="37">
        <f>262552+11176</f>
        <v>273728</v>
      </c>
      <c r="M63" s="37">
        <f>101454</f>
        <v>101454</v>
      </c>
      <c r="N63" s="37">
        <v>244655.5</v>
      </c>
      <c r="O63" s="37">
        <v>314753</v>
      </c>
      <c r="P63" s="37">
        <v>67697</v>
      </c>
      <c r="Q63" s="37">
        <v>60648</v>
      </c>
      <c r="R63" s="37">
        <v>54954</v>
      </c>
      <c r="S63" s="37">
        <v>62776</v>
      </c>
      <c r="T63" s="37">
        <v>11200</v>
      </c>
      <c r="U63" s="37">
        <v>6916</v>
      </c>
      <c r="V63" s="36">
        <f t="shared" si="1"/>
        <v>2752460.5</v>
      </c>
      <c r="X63" s="30">
        <v>2696272.5</v>
      </c>
    </row>
    <row r="64" spans="1:24">
      <c r="A64" s="33" t="s">
        <v>324</v>
      </c>
      <c r="B64" s="34" t="s">
        <v>325</v>
      </c>
      <c r="C64" s="34" t="s">
        <v>189</v>
      </c>
      <c r="D64" s="47"/>
      <c r="E64" s="37">
        <v>6000</v>
      </c>
      <c r="F64" s="37">
        <v>8000</v>
      </c>
      <c r="G64" s="37">
        <v>3000</v>
      </c>
      <c r="H64" s="37">
        <v>6000</v>
      </c>
      <c r="I64" s="37">
        <v>2000</v>
      </c>
      <c r="J64" s="37">
        <v>82000</v>
      </c>
      <c r="K64" s="37">
        <v>15000</v>
      </c>
      <c r="L64" s="37">
        <v>12000</v>
      </c>
      <c r="M64" s="37">
        <v>4900</v>
      </c>
      <c r="N64" s="37">
        <v>22380</v>
      </c>
      <c r="O64" s="37">
        <v>1000</v>
      </c>
      <c r="P64" s="37">
        <v>9800</v>
      </c>
      <c r="Q64" s="37">
        <v>6000</v>
      </c>
      <c r="R64" s="37">
        <v>8420</v>
      </c>
      <c r="S64" s="37">
        <v>6000</v>
      </c>
      <c r="T64" s="37">
        <v>5000</v>
      </c>
      <c r="U64" s="37">
        <v>10000</v>
      </c>
      <c r="V64" s="36">
        <f t="shared" si="1"/>
        <v>207500</v>
      </c>
    </row>
    <row r="65" spans="1:22">
      <c r="A65" s="33" t="s">
        <v>326</v>
      </c>
      <c r="B65" s="34" t="s">
        <v>327</v>
      </c>
      <c r="C65" s="34" t="s">
        <v>189</v>
      </c>
      <c r="D65" s="47"/>
      <c r="E65" s="37">
        <v>500000</v>
      </c>
      <c r="F65" s="37">
        <v>150000</v>
      </c>
      <c r="G65" s="37">
        <v>110000</v>
      </c>
      <c r="H65" s="37">
        <v>100000</v>
      </c>
      <c r="I65" s="37">
        <v>30000</v>
      </c>
      <c r="J65" s="37">
        <v>1500000</v>
      </c>
      <c r="K65" s="37">
        <v>180000</v>
      </c>
      <c r="L65" s="37">
        <v>350000</v>
      </c>
      <c r="M65" s="37">
        <v>80000</v>
      </c>
      <c r="N65" s="37">
        <v>330000</v>
      </c>
      <c r="O65" s="37">
        <v>1500000</v>
      </c>
      <c r="P65" s="37">
        <v>250000</v>
      </c>
      <c r="Q65" s="37">
        <v>100000</v>
      </c>
      <c r="R65" s="37">
        <v>150000</v>
      </c>
      <c r="S65" s="37">
        <v>190000</v>
      </c>
      <c r="T65" s="37">
        <v>3000</v>
      </c>
      <c r="U65" s="37">
        <v>200000</v>
      </c>
      <c r="V65" s="36">
        <f t="shared" si="1"/>
        <v>5723000</v>
      </c>
    </row>
    <row r="66" spans="1:22">
      <c r="A66" s="33" t="s">
        <v>328</v>
      </c>
      <c r="B66" s="34" t="s">
        <v>329</v>
      </c>
      <c r="C66" s="34" t="s">
        <v>189</v>
      </c>
      <c r="D66" s="47"/>
      <c r="E66" s="37">
        <v>1000000</v>
      </c>
      <c r="F66" s="37">
        <v>150000</v>
      </c>
      <c r="G66" s="37">
        <v>90000</v>
      </c>
      <c r="H66" s="37">
        <v>100000</v>
      </c>
      <c r="I66" s="37">
        <v>80000</v>
      </c>
      <c r="J66" s="37">
        <v>1500000</v>
      </c>
      <c r="K66" s="37">
        <v>50000</v>
      </c>
      <c r="L66" s="37">
        <v>600000</v>
      </c>
      <c r="M66" s="37">
        <v>50000</v>
      </c>
      <c r="N66" s="37">
        <v>110000</v>
      </c>
      <c r="O66" s="37">
        <v>150000</v>
      </c>
      <c r="P66" s="37">
        <v>30000</v>
      </c>
      <c r="Q66" s="37">
        <v>50000</v>
      </c>
      <c r="R66" s="37">
        <v>2000</v>
      </c>
      <c r="S66" s="37">
        <v>38000</v>
      </c>
      <c r="T66" s="37">
        <v>3000</v>
      </c>
      <c r="U66" s="37">
        <v>10000</v>
      </c>
      <c r="V66" s="36">
        <f t="shared" si="1"/>
        <v>4013000</v>
      </c>
    </row>
    <row r="67" spans="1:22">
      <c r="A67" s="33" t="s">
        <v>330</v>
      </c>
      <c r="B67" s="34" t="s">
        <v>331</v>
      </c>
      <c r="C67" s="34" t="s">
        <v>189</v>
      </c>
      <c r="D67" s="47"/>
      <c r="E67" s="37">
        <v>200000</v>
      </c>
      <c r="F67" s="37">
        <v>40000</v>
      </c>
      <c r="G67" s="37">
        <v>100000</v>
      </c>
      <c r="H67" s="37">
        <v>20000</v>
      </c>
      <c r="I67" s="37">
        <v>50000</v>
      </c>
      <c r="J67" s="37">
        <v>1500000</v>
      </c>
      <c r="K67" s="37">
        <v>85000</v>
      </c>
      <c r="L67" s="37">
        <v>330000</v>
      </c>
      <c r="M67" s="37">
        <v>50000</v>
      </c>
      <c r="N67" s="37">
        <v>100000</v>
      </c>
      <c r="O67" s="37">
        <v>5000</v>
      </c>
      <c r="P67" s="37">
        <v>30000</v>
      </c>
      <c r="Q67" s="37">
        <v>70000</v>
      </c>
      <c r="R67" s="37">
        <v>5000</v>
      </c>
      <c r="S67" s="37">
        <v>45000</v>
      </c>
      <c r="T67" s="37">
        <v>20000</v>
      </c>
      <c r="U67" s="37">
        <v>10000</v>
      </c>
      <c r="V67" s="36">
        <f t="shared" ref="V67:V109" si="31">SUM(E67:U67)</f>
        <v>2660000</v>
      </c>
    </row>
    <row r="68" spans="1:22">
      <c r="A68" s="33" t="s">
        <v>332</v>
      </c>
      <c r="B68" s="34" t="s">
        <v>333</v>
      </c>
      <c r="C68" s="34" t="s">
        <v>189</v>
      </c>
      <c r="D68" s="47"/>
      <c r="E68" s="37">
        <f>1828692+37573</f>
        <v>1866265</v>
      </c>
      <c r="F68" s="37">
        <f>607651+26838</f>
        <v>634489</v>
      </c>
      <c r="G68" s="37">
        <v>942682</v>
      </c>
      <c r="H68" s="37">
        <f>579824+5368</f>
        <v>585192</v>
      </c>
      <c r="I68" s="37">
        <f>1828628+5367.5</f>
        <v>1833995.5</v>
      </c>
      <c r="J68" s="37">
        <f>461723+100000+22420+508810.5/2</f>
        <v>838548.25</v>
      </c>
      <c r="K68" s="37">
        <v>420000</v>
      </c>
      <c r="L68" s="37">
        <f>1540883+5605+212344/2</f>
        <v>1652660</v>
      </c>
      <c r="M68" s="37">
        <f>257094+11210</f>
        <v>268304</v>
      </c>
      <c r="N68" s="37">
        <f>1330000+190085.5/2</f>
        <v>1425042.75</v>
      </c>
      <c r="O68" s="37">
        <f>1410080+16587</f>
        <v>1426667</v>
      </c>
      <c r="P68" s="37">
        <v>249763</v>
      </c>
      <c r="Q68" s="37">
        <v>306312</v>
      </c>
      <c r="R68" s="37">
        <f>399677+5529</f>
        <v>405206</v>
      </c>
      <c r="S68" s="37">
        <v>270000</v>
      </c>
      <c r="T68" s="37">
        <v>30000</v>
      </c>
      <c r="U68" s="37">
        <v>150000</v>
      </c>
      <c r="V68" s="36">
        <f t="shared" si="31"/>
        <v>13305126.5</v>
      </c>
    </row>
    <row r="69" spans="1:22">
      <c r="A69" s="33" t="s">
        <v>334</v>
      </c>
      <c r="B69" s="34" t="s">
        <v>335</v>
      </c>
      <c r="C69" s="34" t="s">
        <v>189</v>
      </c>
      <c r="D69" s="47"/>
      <c r="E69" s="37">
        <v>400000</v>
      </c>
      <c r="F69" s="37">
        <v>230000</v>
      </c>
      <c r="G69" s="37">
        <v>145250</v>
      </c>
      <c r="H69" s="37">
        <v>100000</v>
      </c>
      <c r="I69" s="37">
        <v>200000</v>
      </c>
      <c r="J69" s="37">
        <v>1500000</v>
      </c>
      <c r="K69" s="37">
        <v>50000</v>
      </c>
      <c r="L69" s="37">
        <v>300000</v>
      </c>
      <c r="M69" s="37">
        <f>200000+87333</f>
        <v>287333</v>
      </c>
      <c r="N69" s="37">
        <v>560000</v>
      </c>
      <c r="O69" s="37">
        <v>1000000</v>
      </c>
      <c r="P69" s="37">
        <v>60000</v>
      </c>
      <c r="Q69" s="37">
        <v>130000</v>
      </c>
      <c r="R69" s="37">
        <v>60000</v>
      </c>
      <c r="S69" s="37">
        <v>110000</v>
      </c>
      <c r="T69" s="37">
        <v>60000</v>
      </c>
      <c r="U69" s="37">
        <v>50000</v>
      </c>
      <c r="V69" s="36">
        <f t="shared" si="31"/>
        <v>5242583</v>
      </c>
    </row>
    <row r="70" spans="1:22">
      <c r="A70" s="33" t="s">
        <v>336</v>
      </c>
      <c r="B70" s="34" t="s">
        <v>337</v>
      </c>
      <c r="C70" s="34" t="s">
        <v>189</v>
      </c>
      <c r="D70" s="47"/>
      <c r="E70" s="37">
        <v>400000</v>
      </c>
      <c r="F70" s="37">
        <v>20000</v>
      </c>
      <c r="G70" s="37">
        <v>10000</v>
      </c>
      <c r="H70" s="37">
        <v>200000</v>
      </c>
      <c r="I70" s="37">
        <v>300000</v>
      </c>
      <c r="J70" s="37">
        <v>1500000</v>
      </c>
      <c r="K70" s="37">
        <v>30648</v>
      </c>
      <c r="L70" s="37">
        <v>200000</v>
      </c>
      <c r="M70" s="37">
        <v>200000</v>
      </c>
      <c r="N70" s="37">
        <v>250000</v>
      </c>
      <c r="O70" s="37">
        <v>50000</v>
      </c>
      <c r="P70" s="37">
        <v>160000</v>
      </c>
      <c r="Q70" s="37">
        <v>30000</v>
      </c>
      <c r="R70" s="37">
        <v>60000</v>
      </c>
      <c r="S70" s="37">
        <v>10000</v>
      </c>
      <c r="T70" s="37">
        <v>20800</v>
      </c>
      <c r="U70" s="37">
        <v>50000</v>
      </c>
      <c r="V70" s="36">
        <f t="shared" si="31"/>
        <v>3491448</v>
      </c>
    </row>
    <row r="71" spans="1:22">
      <c r="A71" s="33" t="s">
        <v>338</v>
      </c>
      <c r="B71" s="34" t="s">
        <v>339</v>
      </c>
      <c r="C71" s="34"/>
      <c r="D71" s="35"/>
      <c r="E71" s="36">
        <f>E72</f>
        <v>102000</v>
      </c>
      <c r="F71" s="36">
        <f t="shared" ref="F71:U71" si="32">F72</f>
        <v>34400</v>
      </c>
      <c r="G71" s="36">
        <f t="shared" si="32"/>
        <v>33200</v>
      </c>
      <c r="H71" s="36">
        <f t="shared" si="32"/>
        <v>0</v>
      </c>
      <c r="I71" s="36">
        <f t="shared" si="32"/>
        <v>36000</v>
      </c>
      <c r="J71" s="36">
        <f t="shared" si="32"/>
        <v>115200</v>
      </c>
      <c r="K71" s="36">
        <f t="shared" si="32"/>
        <v>25200</v>
      </c>
      <c r="L71" s="36">
        <f t="shared" si="32"/>
        <v>46400</v>
      </c>
      <c r="M71" s="36">
        <f t="shared" si="32"/>
        <v>24800</v>
      </c>
      <c r="N71" s="36">
        <f t="shared" si="32"/>
        <v>43600</v>
      </c>
      <c r="O71" s="36">
        <f t="shared" si="32"/>
        <v>66800</v>
      </c>
      <c r="P71" s="36">
        <f t="shared" si="32"/>
        <v>18400</v>
      </c>
      <c r="Q71" s="36">
        <f t="shared" si="32"/>
        <v>14400</v>
      </c>
      <c r="R71" s="36">
        <f t="shared" si="32"/>
        <v>11200</v>
      </c>
      <c r="S71" s="36">
        <f t="shared" si="32"/>
        <v>18000</v>
      </c>
      <c r="T71" s="37">
        <f t="shared" si="32"/>
        <v>2800</v>
      </c>
      <c r="U71" s="37">
        <f t="shared" si="32"/>
        <v>1600</v>
      </c>
      <c r="V71" s="36">
        <f t="shared" si="31"/>
        <v>594000</v>
      </c>
    </row>
    <row r="72" spans="1:22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102000</v>
      </c>
      <c r="F72" s="36">
        <f t="shared" ref="F72:S72" si="33">F96*400</f>
        <v>34400</v>
      </c>
      <c r="G72" s="36">
        <f t="shared" si="33"/>
        <v>33200</v>
      </c>
      <c r="H72" s="36">
        <f t="shared" si="33"/>
        <v>0</v>
      </c>
      <c r="I72" s="36">
        <f t="shared" si="33"/>
        <v>36000</v>
      </c>
      <c r="J72" s="36">
        <f t="shared" si="33"/>
        <v>115200</v>
      </c>
      <c r="K72" s="36">
        <f t="shared" si="33"/>
        <v>25200</v>
      </c>
      <c r="L72" s="36">
        <f t="shared" si="33"/>
        <v>46400</v>
      </c>
      <c r="M72" s="36">
        <f t="shared" si="33"/>
        <v>24800</v>
      </c>
      <c r="N72" s="36">
        <f t="shared" si="33"/>
        <v>43600</v>
      </c>
      <c r="O72" s="36">
        <f t="shared" si="33"/>
        <v>66800</v>
      </c>
      <c r="P72" s="36">
        <f t="shared" si="33"/>
        <v>18400</v>
      </c>
      <c r="Q72" s="36">
        <f t="shared" si="33"/>
        <v>14400</v>
      </c>
      <c r="R72" s="36">
        <f t="shared" si="33"/>
        <v>11200</v>
      </c>
      <c r="S72" s="36">
        <f t="shared" si="33"/>
        <v>18000</v>
      </c>
      <c r="T72" s="37">
        <f>T96*400</f>
        <v>2800</v>
      </c>
      <c r="U72" s="37">
        <f>U96*400</f>
        <v>1600</v>
      </c>
      <c r="V72" s="36">
        <f t="shared" si="31"/>
        <v>594000</v>
      </c>
    </row>
    <row r="73" spans="1:22">
      <c r="A73" s="33" t="s">
        <v>343</v>
      </c>
      <c r="B73" s="34" t="s">
        <v>344</v>
      </c>
      <c r="C73" s="34"/>
      <c r="D73" s="35" t="s">
        <v>183</v>
      </c>
      <c r="E73" s="36">
        <f>E74</f>
        <v>325039.05</v>
      </c>
      <c r="F73" s="36">
        <f t="shared" ref="F73:U73" si="34">F74</f>
        <v>197400</v>
      </c>
      <c r="G73" s="36">
        <f t="shared" si="34"/>
        <v>125589.30000000002</v>
      </c>
      <c r="H73" s="36">
        <f t="shared" si="34"/>
        <v>191134.2</v>
      </c>
      <c r="I73" s="36">
        <f t="shared" si="34"/>
        <v>170335.94999999998</v>
      </c>
      <c r="J73" s="36">
        <f t="shared" si="34"/>
        <v>429539.25</v>
      </c>
      <c r="K73" s="36">
        <f t="shared" si="34"/>
        <v>69477.45</v>
      </c>
      <c r="L73" s="36">
        <f t="shared" si="34"/>
        <v>191346.3</v>
      </c>
      <c r="M73" s="36">
        <f t="shared" si="34"/>
        <v>77588.100000000006</v>
      </c>
      <c r="N73" s="36">
        <f t="shared" si="34"/>
        <v>215058.15</v>
      </c>
      <c r="O73" s="36">
        <f t="shared" si="34"/>
        <v>349515</v>
      </c>
      <c r="P73" s="36">
        <f t="shared" si="34"/>
        <v>64290</v>
      </c>
      <c r="Q73" s="36">
        <f t="shared" si="34"/>
        <v>80865</v>
      </c>
      <c r="R73" s="36">
        <f t="shared" si="34"/>
        <v>55978.8</v>
      </c>
      <c r="S73" s="36">
        <f t="shared" si="34"/>
        <v>69180</v>
      </c>
      <c r="T73" s="37">
        <f t="shared" si="34"/>
        <v>42000</v>
      </c>
      <c r="U73" s="37">
        <f t="shared" si="34"/>
        <v>97500</v>
      </c>
      <c r="V73" s="36">
        <f t="shared" si="31"/>
        <v>2751836.55</v>
      </c>
    </row>
    <row r="74" spans="1:22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325039.05</v>
      </c>
      <c r="F74" s="36">
        <f t="shared" ref="F74:S74" si="35">F108*15</f>
        <v>197400</v>
      </c>
      <c r="G74" s="36">
        <f t="shared" si="35"/>
        <v>125589.30000000002</v>
      </c>
      <c r="H74" s="36">
        <f t="shared" si="35"/>
        <v>191134.2</v>
      </c>
      <c r="I74" s="36">
        <f t="shared" si="35"/>
        <v>170335.94999999998</v>
      </c>
      <c r="J74" s="36">
        <f t="shared" si="35"/>
        <v>429539.25</v>
      </c>
      <c r="K74" s="36">
        <f t="shared" si="35"/>
        <v>69477.45</v>
      </c>
      <c r="L74" s="36">
        <f t="shared" si="35"/>
        <v>191346.3</v>
      </c>
      <c r="M74" s="36">
        <f t="shared" si="35"/>
        <v>77588.100000000006</v>
      </c>
      <c r="N74" s="36">
        <f t="shared" si="35"/>
        <v>215058.15</v>
      </c>
      <c r="O74" s="36">
        <f t="shared" si="35"/>
        <v>349515</v>
      </c>
      <c r="P74" s="36">
        <f t="shared" si="35"/>
        <v>64290</v>
      </c>
      <c r="Q74" s="36">
        <f t="shared" si="35"/>
        <v>80865</v>
      </c>
      <c r="R74" s="36">
        <f t="shared" si="35"/>
        <v>55978.8</v>
      </c>
      <c r="S74" s="36">
        <f t="shared" si="35"/>
        <v>69180</v>
      </c>
      <c r="T74" s="37">
        <f>T108*15</f>
        <v>42000</v>
      </c>
      <c r="U74" s="37">
        <f>U108*15</f>
        <v>97500</v>
      </c>
      <c r="V74" s="36">
        <f t="shared" si="31"/>
        <v>2751836.55</v>
      </c>
    </row>
    <row r="75" spans="1:22">
      <c r="A75" s="33" t="s">
        <v>348</v>
      </c>
      <c r="B75" s="34" t="s">
        <v>349</v>
      </c>
      <c r="C75" s="34"/>
      <c r="D75" s="35" t="s">
        <v>183</v>
      </c>
      <c r="E75" s="36">
        <f>E76</f>
        <v>84144</v>
      </c>
      <c r="F75" s="36">
        <f t="shared" ref="F75:U75" si="36">F76</f>
        <v>69528</v>
      </c>
      <c r="G75" s="36">
        <f t="shared" si="36"/>
        <v>51968</v>
      </c>
      <c r="H75" s="36">
        <f t="shared" si="36"/>
        <v>57139.199999999997</v>
      </c>
      <c r="I75" s="36">
        <f t="shared" si="36"/>
        <v>24000</v>
      </c>
      <c r="J75" s="36">
        <f t="shared" si="36"/>
        <v>85912</v>
      </c>
      <c r="K75" s="36">
        <f t="shared" si="36"/>
        <v>25808</v>
      </c>
      <c r="L75" s="36">
        <f t="shared" si="36"/>
        <v>52960</v>
      </c>
      <c r="M75" s="36">
        <f t="shared" si="36"/>
        <v>28680</v>
      </c>
      <c r="N75" s="36">
        <f t="shared" si="36"/>
        <v>74688</v>
      </c>
      <c r="O75" s="36">
        <f t="shared" si="36"/>
        <v>75440</v>
      </c>
      <c r="P75" s="36">
        <f t="shared" si="36"/>
        <v>18800</v>
      </c>
      <c r="Q75" s="36">
        <f t="shared" si="36"/>
        <v>18848</v>
      </c>
      <c r="R75" s="36">
        <f t="shared" si="36"/>
        <v>14288</v>
      </c>
      <c r="S75" s="36">
        <f t="shared" si="36"/>
        <v>13736</v>
      </c>
      <c r="T75" s="37">
        <f t="shared" si="36"/>
        <v>0</v>
      </c>
      <c r="U75" s="37">
        <f t="shared" si="36"/>
        <v>18496.8</v>
      </c>
      <c r="V75" s="36">
        <f t="shared" si="31"/>
        <v>714436</v>
      </c>
    </row>
    <row r="76" spans="1:22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84144</v>
      </c>
      <c r="F76" s="36">
        <f t="shared" ref="F76:S76" si="37">F109*8</f>
        <v>69528</v>
      </c>
      <c r="G76" s="36">
        <f t="shared" si="37"/>
        <v>51968</v>
      </c>
      <c r="H76" s="36">
        <f t="shared" si="37"/>
        <v>57139.199999999997</v>
      </c>
      <c r="I76" s="36">
        <f t="shared" si="37"/>
        <v>24000</v>
      </c>
      <c r="J76" s="36">
        <f t="shared" si="37"/>
        <v>85912</v>
      </c>
      <c r="K76" s="36">
        <f t="shared" si="37"/>
        <v>25808</v>
      </c>
      <c r="L76" s="36">
        <f t="shared" si="37"/>
        <v>52960</v>
      </c>
      <c r="M76" s="36">
        <f t="shared" si="37"/>
        <v>28680</v>
      </c>
      <c r="N76" s="36">
        <f t="shared" si="37"/>
        <v>74688</v>
      </c>
      <c r="O76" s="36">
        <f t="shared" si="37"/>
        <v>75440</v>
      </c>
      <c r="P76" s="36">
        <f t="shared" si="37"/>
        <v>18800</v>
      </c>
      <c r="Q76" s="36">
        <f t="shared" si="37"/>
        <v>18848</v>
      </c>
      <c r="R76" s="36">
        <f t="shared" si="37"/>
        <v>14288</v>
      </c>
      <c r="S76" s="36">
        <f t="shared" si="37"/>
        <v>13736</v>
      </c>
      <c r="T76" s="37">
        <f>T109*8</f>
        <v>0</v>
      </c>
      <c r="U76" s="37">
        <f>U109*8</f>
        <v>18496.8</v>
      </c>
      <c r="V76" s="36">
        <f t="shared" si="31"/>
        <v>714436</v>
      </c>
    </row>
    <row r="77" spans="1:22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U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8"/>
        <v>0</v>
      </c>
      <c r="T77" s="37">
        <f t="shared" si="38"/>
        <v>0</v>
      </c>
      <c r="U77" s="37">
        <f t="shared" si="38"/>
        <v>0</v>
      </c>
      <c r="V77" s="36">
        <f t="shared" si="31"/>
        <v>0</v>
      </c>
    </row>
    <row r="78" spans="1:22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36">
        <f t="shared" si="31"/>
        <v>0</v>
      </c>
    </row>
    <row r="79" spans="1:22">
      <c r="A79" s="33" t="s">
        <v>357</v>
      </c>
      <c r="B79" s="34" t="s">
        <v>358</v>
      </c>
      <c r="C79" s="34"/>
      <c r="D79" s="35" t="s">
        <v>183</v>
      </c>
      <c r="E79" s="36">
        <f>E80</f>
        <v>1101600</v>
      </c>
      <c r="F79" s="36">
        <f t="shared" ref="F79:U79" si="39">F80</f>
        <v>371520</v>
      </c>
      <c r="G79" s="36">
        <f t="shared" si="39"/>
        <v>358560</v>
      </c>
      <c r="H79" s="36">
        <f t="shared" si="39"/>
        <v>0</v>
      </c>
      <c r="I79" s="36">
        <f t="shared" si="39"/>
        <v>388800</v>
      </c>
      <c r="J79" s="36">
        <f t="shared" si="39"/>
        <v>1244160</v>
      </c>
      <c r="K79" s="36">
        <f t="shared" si="39"/>
        <v>272160</v>
      </c>
      <c r="L79" s="36">
        <f t="shared" si="39"/>
        <v>501120</v>
      </c>
      <c r="M79" s="36">
        <f t="shared" si="39"/>
        <v>267840</v>
      </c>
      <c r="N79" s="36">
        <f t="shared" si="39"/>
        <v>470880</v>
      </c>
      <c r="O79" s="36">
        <f t="shared" si="39"/>
        <v>721440</v>
      </c>
      <c r="P79" s="36">
        <f t="shared" si="39"/>
        <v>198720</v>
      </c>
      <c r="Q79" s="36">
        <f t="shared" si="39"/>
        <v>155520</v>
      </c>
      <c r="R79" s="36">
        <f t="shared" si="39"/>
        <v>120960</v>
      </c>
      <c r="S79" s="36">
        <f t="shared" si="39"/>
        <v>194400</v>
      </c>
      <c r="T79" s="37">
        <f t="shared" si="39"/>
        <v>30240</v>
      </c>
      <c r="U79" s="37">
        <f t="shared" si="39"/>
        <v>17280</v>
      </c>
      <c r="V79" s="36">
        <f t="shared" si="31"/>
        <v>6415200</v>
      </c>
    </row>
    <row r="80" spans="1:22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1101600</v>
      </c>
      <c r="F80" s="36">
        <f t="shared" ref="F80:S80" si="40">F96*4320</f>
        <v>371520</v>
      </c>
      <c r="G80" s="36">
        <f t="shared" si="40"/>
        <v>358560</v>
      </c>
      <c r="H80" s="36">
        <f t="shared" si="40"/>
        <v>0</v>
      </c>
      <c r="I80" s="36">
        <f t="shared" si="40"/>
        <v>388800</v>
      </c>
      <c r="J80" s="36">
        <f t="shared" si="40"/>
        <v>1244160</v>
      </c>
      <c r="K80" s="36">
        <f t="shared" si="40"/>
        <v>272160</v>
      </c>
      <c r="L80" s="36">
        <f t="shared" si="40"/>
        <v>501120</v>
      </c>
      <c r="M80" s="36">
        <f t="shared" si="40"/>
        <v>267840</v>
      </c>
      <c r="N80" s="36">
        <f t="shared" si="40"/>
        <v>470880</v>
      </c>
      <c r="O80" s="36">
        <f t="shared" si="40"/>
        <v>721440</v>
      </c>
      <c r="P80" s="36">
        <f t="shared" si="40"/>
        <v>198720</v>
      </c>
      <c r="Q80" s="36">
        <f t="shared" si="40"/>
        <v>155520</v>
      </c>
      <c r="R80" s="36">
        <f t="shared" si="40"/>
        <v>120960</v>
      </c>
      <c r="S80" s="36">
        <f t="shared" si="40"/>
        <v>194400</v>
      </c>
      <c r="T80" s="37">
        <f>T96*4320</f>
        <v>30240</v>
      </c>
      <c r="U80" s="37">
        <f>U96*4320</f>
        <v>17280</v>
      </c>
      <c r="V80" s="36">
        <f t="shared" si="31"/>
        <v>6415200</v>
      </c>
    </row>
    <row r="81" spans="1:22">
      <c r="A81" s="33" t="s">
        <v>362</v>
      </c>
      <c r="B81" s="34" t="s">
        <v>363</v>
      </c>
      <c r="C81" s="34"/>
      <c r="D81" s="35" t="s">
        <v>183</v>
      </c>
      <c r="E81" s="36">
        <f>E82</f>
        <v>1012272</v>
      </c>
      <c r="F81" s="36">
        <f t="shared" ref="F81:U81" si="41">F82</f>
        <v>337339.19999999995</v>
      </c>
      <c r="G81" s="36">
        <f t="shared" si="41"/>
        <v>330384</v>
      </c>
      <c r="H81" s="36">
        <f t="shared" si="41"/>
        <v>0</v>
      </c>
      <c r="I81" s="36">
        <f t="shared" si="41"/>
        <v>323616</v>
      </c>
      <c r="J81" s="36">
        <f t="shared" si="41"/>
        <v>1074240</v>
      </c>
      <c r="K81" s="36">
        <f t="shared" si="41"/>
        <v>243888</v>
      </c>
      <c r="L81" s="36">
        <f t="shared" si="41"/>
        <v>418560</v>
      </c>
      <c r="M81" s="36">
        <f t="shared" si="41"/>
        <v>236121.59999999998</v>
      </c>
      <c r="N81" s="36">
        <f t="shared" si="41"/>
        <v>387513.59999999998</v>
      </c>
      <c r="O81" s="36">
        <f t="shared" si="41"/>
        <v>592305.60000000009</v>
      </c>
      <c r="P81" s="36">
        <f t="shared" si="41"/>
        <v>169920</v>
      </c>
      <c r="Q81" s="36">
        <f t="shared" si="41"/>
        <v>127104</v>
      </c>
      <c r="R81" s="36">
        <f t="shared" si="41"/>
        <v>98400</v>
      </c>
      <c r="S81" s="36">
        <f t="shared" si="41"/>
        <v>162898.56</v>
      </c>
      <c r="T81" s="37">
        <f t="shared" si="41"/>
        <v>29328</v>
      </c>
      <c r="U81" s="37">
        <f t="shared" si="41"/>
        <v>15374.400000000001</v>
      </c>
      <c r="V81" s="36">
        <f t="shared" si="31"/>
        <v>5559264.96</v>
      </c>
    </row>
    <row r="82" spans="1:22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1012272</v>
      </c>
      <c r="F82" s="36">
        <f t="shared" ref="F82:S82" si="42">F16*4</f>
        <v>337339.19999999995</v>
      </c>
      <c r="G82" s="36">
        <f t="shared" si="42"/>
        <v>330384</v>
      </c>
      <c r="H82" s="36">
        <f t="shared" si="42"/>
        <v>0</v>
      </c>
      <c r="I82" s="36">
        <f t="shared" si="42"/>
        <v>323616</v>
      </c>
      <c r="J82" s="36">
        <f t="shared" si="42"/>
        <v>1074240</v>
      </c>
      <c r="K82" s="36">
        <f t="shared" si="42"/>
        <v>243888</v>
      </c>
      <c r="L82" s="36">
        <f t="shared" si="42"/>
        <v>418560</v>
      </c>
      <c r="M82" s="36">
        <f t="shared" si="42"/>
        <v>236121.59999999998</v>
      </c>
      <c r="N82" s="36">
        <f t="shared" si="42"/>
        <v>387513.59999999998</v>
      </c>
      <c r="O82" s="36">
        <f t="shared" si="42"/>
        <v>592305.60000000009</v>
      </c>
      <c r="P82" s="36">
        <f t="shared" si="42"/>
        <v>169920</v>
      </c>
      <c r="Q82" s="36">
        <f t="shared" si="42"/>
        <v>127104</v>
      </c>
      <c r="R82" s="36">
        <f t="shared" si="42"/>
        <v>98400</v>
      </c>
      <c r="S82" s="36">
        <f t="shared" si="42"/>
        <v>162898.56</v>
      </c>
      <c r="T82" s="37">
        <f>T16*4</f>
        <v>29328</v>
      </c>
      <c r="U82" s="37">
        <f>U16*4</f>
        <v>15374.400000000001</v>
      </c>
      <c r="V82" s="36">
        <f t="shared" si="31"/>
        <v>5559264.96</v>
      </c>
    </row>
    <row r="83" spans="1:22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U83" si="43">F84</f>
        <v>32000</v>
      </c>
      <c r="G83" s="36">
        <f t="shared" si="43"/>
        <v>32000</v>
      </c>
      <c r="H83" s="36">
        <f t="shared" si="43"/>
        <v>32000</v>
      </c>
      <c r="I83" s="36">
        <f t="shared" si="43"/>
        <v>32000</v>
      </c>
      <c r="J83" s="36">
        <f t="shared" si="43"/>
        <v>32000</v>
      </c>
      <c r="K83" s="36">
        <f t="shared" si="43"/>
        <v>32000</v>
      </c>
      <c r="L83" s="36">
        <f t="shared" si="43"/>
        <v>0</v>
      </c>
      <c r="M83" s="36">
        <f t="shared" si="43"/>
        <v>32000</v>
      </c>
      <c r="N83" s="36">
        <f t="shared" si="43"/>
        <v>32000</v>
      </c>
      <c r="O83" s="36">
        <f t="shared" si="43"/>
        <v>32000</v>
      </c>
      <c r="P83" s="36">
        <f t="shared" si="43"/>
        <v>32000</v>
      </c>
      <c r="Q83" s="36">
        <f t="shared" si="43"/>
        <v>0</v>
      </c>
      <c r="R83" s="36">
        <f t="shared" si="43"/>
        <v>32000</v>
      </c>
      <c r="S83" s="36">
        <f t="shared" si="43"/>
        <v>0</v>
      </c>
      <c r="T83" s="37">
        <f t="shared" si="43"/>
        <v>0</v>
      </c>
      <c r="U83" s="37">
        <f t="shared" si="43"/>
        <v>0</v>
      </c>
      <c r="V83" s="36">
        <f t="shared" si="31"/>
        <v>384000</v>
      </c>
    </row>
    <row r="84" spans="1:22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>
        <v>32000</v>
      </c>
      <c r="H84" s="37">
        <v>32000</v>
      </c>
      <c r="I84" s="37">
        <v>32000</v>
      </c>
      <c r="J84" s="37">
        <v>32000</v>
      </c>
      <c r="K84" s="37">
        <v>32000</v>
      </c>
      <c r="L84" s="37"/>
      <c r="M84" s="37">
        <v>32000</v>
      </c>
      <c r="N84" s="37">
        <v>32000</v>
      </c>
      <c r="O84" s="37">
        <v>32000</v>
      </c>
      <c r="P84" s="37">
        <v>32000</v>
      </c>
      <c r="Q84" s="37"/>
      <c r="R84" s="37">
        <v>32000</v>
      </c>
      <c r="S84" s="37"/>
      <c r="T84" s="37"/>
      <c r="U84" s="37"/>
      <c r="V84" s="36">
        <f t="shared" si="31"/>
        <v>384000</v>
      </c>
    </row>
    <row r="85" spans="1:22">
      <c r="A85" s="33" t="s">
        <v>371</v>
      </c>
      <c r="B85" s="34" t="s">
        <v>372</v>
      </c>
      <c r="C85" s="34"/>
      <c r="D85" s="35" t="s">
        <v>183</v>
      </c>
      <c r="E85" s="36">
        <f>E86+E89+E92</f>
        <v>495600</v>
      </c>
      <c r="F85" s="36">
        <f t="shared" ref="F85:S85" si="44">F86+F89+F92</f>
        <v>198240</v>
      </c>
      <c r="G85" s="36">
        <f t="shared" si="44"/>
        <v>259600</v>
      </c>
      <c r="H85" s="36">
        <f t="shared" si="44"/>
        <v>0</v>
      </c>
      <c r="I85" s="36">
        <f t="shared" si="44"/>
        <v>0</v>
      </c>
      <c r="J85" s="36">
        <f t="shared" si="44"/>
        <v>500320</v>
      </c>
      <c r="K85" s="36">
        <f t="shared" si="44"/>
        <v>118000</v>
      </c>
      <c r="L85" s="36">
        <f t="shared" si="44"/>
        <v>132160</v>
      </c>
      <c r="M85" s="36">
        <f t="shared" si="44"/>
        <v>70800</v>
      </c>
      <c r="N85" s="36">
        <f t="shared" si="44"/>
        <v>9440</v>
      </c>
      <c r="O85" s="36">
        <f t="shared" si="44"/>
        <v>207680</v>
      </c>
      <c r="P85" s="36">
        <f t="shared" si="44"/>
        <v>165200</v>
      </c>
      <c r="Q85" s="36">
        <f t="shared" si="44"/>
        <v>4720</v>
      </c>
      <c r="R85" s="36">
        <f t="shared" si="44"/>
        <v>0</v>
      </c>
      <c r="S85" s="36">
        <f t="shared" si="44"/>
        <v>108560</v>
      </c>
      <c r="T85" s="37">
        <f>T86+T89+T92</f>
        <v>42480</v>
      </c>
      <c r="U85" s="37">
        <f>U86+U89+U92</f>
        <v>0</v>
      </c>
      <c r="V85" s="36">
        <f t="shared" si="31"/>
        <v>2312800</v>
      </c>
    </row>
    <row r="86" spans="1:22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S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45"/>
        <v>0</v>
      </c>
      <c r="T86" s="37">
        <f>T87+T88</f>
        <v>0</v>
      </c>
      <c r="U86" s="37">
        <f>U87+U88</f>
        <v>0</v>
      </c>
      <c r="V86" s="36">
        <f t="shared" si="31"/>
        <v>0</v>
      </c>
    </row>
    <row r="87" spans="1:22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36">
        <f t="shared" si="31"/>
        <v>0</v>
      </c>
    </row>
    <row r="88" spans="1:22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36">
        <f t="shared" si="31"/>
        <v>0</v>
      </c>
    </row>
    <row r="89" spans="1:22">
      <c r="A89" s="33" t="s">
        <v>380</v>
      </c>
      <c r="B89" s="34" t="s">
        <v>381</v>
      </c>
      <c r="C89" s="34"/>
      <c r="D89" s="35" t="s">
        <v>183</v>
      </c>
      <c r="E89" s="36">
        <f>E90+E91</f>
        <v>495600</v>
      </c>
      <c r="F89" s="36">
        <f t="shared" ref="F89:S89" si="46">F90+F91</f>
        <v>198240</v>
      </c>
      <c r="G89" s="36">
        <f t="shared" si="46"/>
        <v>259600</v>
      </c>
      <c r="H89" s="36">
        <f t="shared" si="46"/>
        <v>0</v>
      </c>
      <c r="I89" s="36">
        <f t="shared" si="46"/>
        <v>0</v>
      </c>
      <c r="J89" s="36">
        <f t="shared" si="46"/>
        <v>500320</v>
      </c>
      <c r="K89" s="36">
        <f t="shared" si="46"/>
        <v>118000</v>
      </c>
      <c r="L89" s="36">
        <f t="shared" si="46"/>
        <v>132160</v>
      </c>
      <c r="M89" s="36">
        <f t="shared" si="46"/>
        <v>70800</v>
      </c>
      <c r="N89" s="36">
        <f t="shared" si="46"/>
        <v>9440</v>
      </c>
      <c r="O89" s="36">
        <f t="shared" si="46"/>
        <v>207680</v>
      </c>
      <c r="P89" s="36">
        <f t="shared" si="46"/>
        <v>165200</v>
      </c>
      <c r="Q89" s="36">
        <f t="shared" si="46"/>
        <v>4720</v>
      </c>
      <c r="R89" s="36">
        <f t="shared" si="46"/>
        <v>0</v>
      </c>
      <c r="S89" s="36">
        <f t="shared" si="46"/>
        <v>108560</v>
      </c>
      <c r="T89" s="37">
        <f>T90+T91</f>
        <v>42480</v>
      </c>
      <c r="U89" s="37">
        <f>U90+U91</f>
        <v>0</v>
      </c>
      <c r="V89" s="36">
        <f t="shared" si="31"/>
        <v>2312800</v>
      </c>
    </row>
    <row r="90" spans="1:22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42000</v>
      </c>
      <c r="F90" s="36">
        <f t="shared" ref="F90:S90" si="47">F107*400</f>
        <v>16800</v>
      </c>
      <c r="G90" s="36">
        <f t="shared" si="47"/>
        <v>22000</v>
      </c>
      <c r="H90" s="36">
        <f t="shared" si="47"/>
        <v>0</v>
      </c>
      <c r="I90" s="36">
        <f t="shared" si="47"/>
        <v>0</v>
      </c>
      <c r="J90" s="36">
        <f t="shared" si="47"/>
        <v>42400</v>
      </c>
      <c r="K90" s="36">
        <f t="shared" si="47"/>
        <v>10000</v>
      </c>
      <c r="L90" s="36">
        <f t="shared" si="47"/>
        <v>11200</v>
      </c>
      <c r="M90" s="36">
        <f t="shared" si="47"/>
        <v>6000</v>
      </c>
      <c r="N90" s="36">
        <f t="shared" si="47"/>
        <v>800</v>
      </c>
      <c r="O90" s="36">
        <f t="shared" si="47"/>
        <v>17600</v>
      </c>
      <c r="P90" s="36">
        <f t="shared" si="47"/>
        <v>14000</v>
      </c>
      <c r="Q90" s="36">
        <f t="shared" si="47"/>
        <v>400</v>
      </c>
      <c r="R90" s="36">
        <f t="shared" si="47"/>
        <v>0</v>
      </c>
      <c r="S90" s="36">
        <f t="shared" si="47"/>
        <v>9200</v>
      </c>
      <c r="T90" s="37">
        <f>T107*400</f>
        <v>3600</v>
      </c>
      <c r="U90" s="37">
        <f>U107*400</f>
        <v>0</v>
      </c>
      <c r="V90" s="36">
        <f t="shared" si="31"/>
        <v>196000</v>
      </c>
    </row>
    <row r="91" spans="1:22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453600</v>
      </c>
      <c r="F91" s="36">
        <f t="shared" ref="F91:S91" si="48">F107*4320</f>
        <v>181440</v>
      </c>
      <c r="G91" s="36">
        <f t="shared" si="48"/>
        <v>237600</v>
      </c>
      <c r="H91" s="36">
        <f t="shared" si="48"/>
        <v>0</v>
      </c>
      <c r="I91" s="36">
        <f t="shared" si="48"/>
        <v>0</v>
      </c>
      <c r="J91" s="36">
        <f t="shared" si="48"/>
        <v>457920</v>
      </c>
      <c r="K91" s="36">
        <f t="shared" si="48"/>
        <v>108000</v>
      </c>
      <c r="L91" s="36">
        <f t="shared" si="48"/>
        <v>120960</v>
      </c>
      <c r="M91" s="36">
        <f t="shared" si="48"/>
        <v>64800</v>
      </c>
      <c r="N91" s="36">
        <f t="shared" si="48"/>
        <v>8640</v>
      </c>
      <c r="O91" s="36">
        <f t="shared" si="48"/>
        <v>190080</v>
      </c>
      <c r="P91" s="36">
        <f t="shared" si="48"/>
        <v>151200</v>
      </c>
      <c r="Q91" s="36">
        <f t="shared" si="48"/>
        <v>4320</v>
      </c>
      <c r="R91" s="36">
        <f t="shared" si="48"/>
        <v>0</v>
      </c>
      <c r="S91" s="36">
        <f t="shared" si="48"/>
        <v>99360</v>
      </c>
      <c r="T91" s="37">
        <f>T107*4320</f>
        <v>38880</v>
      </c>
      <c r="U91" s="37">
        <f>U107*4320</f>
        <v>0</v>
      </c>
      <c r="V91" s="36">
        <f t="shared" si="31"/>
        <v>2116800</v>
      </c>
    </row>
    <row r="92" spans="1:22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36">
        <f t="shared" si="31"/>
        <v>0</v>
      </c>
    </row>
    <row r="93" spans="1:22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U93" si="49">F94</f>
        <v>0</v>
      </c>
      <c r="G93" s="36">
        <f t="shared" si="49"/>
        <v>0</v>
      </c>
      <c r="H93" s="36">
        <f t="shared" si="49"/>
        <v>0</v>
      </c>
      <c r="I93" s="36">
        <f t="shared" si="49"/>
        <v>0</v>
      </c>
      <c r="J93" s="36">
        <f t="shared" si="49"/>
        <v>10000</v>
      </c>
      <c r="K93" s="36">
        <f t="shared" si="49"/>
        <v>0</v>
      </c>
      <c r="L93" s="36">
        <f t="shared" si="49"/>
        <v>32000</v>
      </c>
      <c r="M93" s="36">
        <f t="shared" si="49"/>
        <v>0</v>
      </c>
      <c r="N93" s="36">
        <f t="shared" si="49"/>
        <v>0</v>
      </c>
      <c r="O93" s="36">
        <f t="shared" si="49"/>
        <v>25000</v>
      </c>
      <c r="P93" s="36">
        <f t="shared" si="49"/>
        <v>5000</v>
      </c>
      <c r="Q93" s="36">
        <f t="shared" si="49"/>
        <v>32000</v>
      </c>
      <c r="R93" s="36">
        <f t="shared" si="49"/>
        <v>0</v>
      </c>
      <c r="S93" s="36">
        <f t="shared" si="49"/>
        <v>32000</v>
      </c>
      <c r="T93" s="37">
        <f t="shared" si="49"/>
        <v>32000</v>
      </c>
      <c r="U93" s="37">
        <f t="shared" si="49"/>
        <v>32000</v>
      </c>
      <c r="V93" s="36">
        <f t="shared" si="31"/>
        <v>200000</v>
      </c>
    </row>
    <row r="94" spans="1:22" ht="57" thickBot="1">
      <c r="A94" s="33" t="s">
        <v>392</v>
      </c>
      <c r="B94" s="50" t="s">
        <v>393</v>
      </c>
      <c r="C94" s="34" t="s">
        <v>189</v>
      </c>
      <c r="D94" s="51" t="s">
        <v>394</v>
      </c>
      <c r="E94" s="52"/>
      <c r="F94" s="52"/>
      <c r="G94" s="52"/>
      <c r="H94" s="52"/>
      <c r="I94" s="52"/>
      <c r="J94" s="52">
        <v>10000</v>
      </c>
      <c r="K94" s="52"/>
      <c r="L94" s="52">
        <v>32000</v>
      </c>
      <c r="M94" s="52"/>
      <c r="N94" s="52"/>
      <c r="O94" s="52">
        <v>25000</v>
      </c>
      <c r="P94" s="52">
        <v>5000</v>
      </c>
      <c r="Q94" s="52">
        <v>32000</v>
      </c>
      <c r="R94" s="52"/>
      <c r="S94" s="52">
        <v>32000</v>
      </c>
      <c r="T94" s="52">
        <v>32000</v>
      </c>
      <c r="U94" s="52">
        <v>32000</v>
      </c>
      <c r="V94" s="36">
        <f t="shared" si="31"/>
        <v>200000</v>
      </c>
    </row>
    <row r="95" spans="1:22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36">
        <f t="shared" si="31"/>
        <v>0</v>
      </c>
    </row>
    <row r="96" spans="1:22" ht="22.5">
      <c r="A96" s="33" t="s">
        <v>397</v>
      </c>
      <c r="B96" s="34" t="s">
        <v>398</v>
      </c>
      <c r="C96" s="34"/>
      <c r="D96" s="35" t="s">
        <v>399</v>
      </c>
      <c r="E96" s="36">
        <f>E97+E98+E99+E100</f>
        <v>255</v>
      </c>
      <c r="F96" s="36">
        <f t="shared" ref="F96:S96" si="50">F97+F98+F99+F100</f>
        <v>86</v>
      </c>
      <c r="G96" s="36">
        <f t="shared" si="50"/>
        <v>83</v>
      </c>
      <c r="H96" s="36">
        <f t="shared" si="50"/>
        <v>0</v>
      </c>
      <c r="I96" s="36">
        <f t="shared" si="50"/>
        <v>90</v>
      </c>
      <c r="J96" s="36">
        <f t="shared" si="50"/>
        <v>288</v>
      </c>
      <c r="K96" s="36">
        <f t="shared" si="50"/>
        <v>63</v>
      </c>
      <c r="L96" s="36">
        <f t="shared" si="50"/>
        <v>116</v>
      </c>
      <c r="M96" s="36">
        <f t="shared" si="50"/>
        <v>62</v>
      </c>
      <c r="N96" s="36">
        <f t="shared" si="50"/>
        <v>109</v>
      </c>
      <c r="O96" s="36">
        <f t="shared" si="50"/>
        <v>167</v>
      </c>
      <c r="P96" s="36">
        <f t="shared" si="50"/>
        <v>46</v>
      </c>
      <c r="Q96" s="36">
        <f t="shared" si="50"/>
        <v>36</v>
      </c>
      <c r="R96" s="36">
        <f t="shared" si="50"/>
        <v>28</v>
      </c>
      <c r="S96" s="36">
        <f t="shared" si="50"/>
        <v>45</v>
      </c>
      <c r="T96" s="37">
        <f>T97+T98+T99+T100</f>
        <v>7</v>
      </c>
      <c r="U96" s="37">
        <v>4</v>
      </c>
      <c r="V96" s="36">
        <f t="shared" si="31"/>
        <v>1485</v>
      </c>
    </row>
    <row r="97" spans="1:22">
      <c r="A97" s="33" t="s">
        <v>400</v>
      </c>
      <c r="B97" s="56" t="s">
        <v>401</v>
      </c>
      <c r="C97" s="56"/>
      <c r="D97" s="42"/>
      <c r="E97" s="43">
        <v>255</v>
      </c>
      <c r="F97" s="43">
        <v>86</v>
      </c>
      <c r="G97" s="43">
        <v>83</v>
      </c>
      <c r="H97" s="43">
        <v>0</v>
      </c>
      <c r="I97" s="43">
        <v>90</v>
      </c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36">
        <f t="shared" si="31"/>
        <v>514</v>
      </c>
    </row>
    <row r="98" spans="1:22">
      <c r="A98" s="33" t="s">
        <v>402</v>
      </c>
      <c r="B98" s="56" t="s">
        <v>403</v>
      </c>
      <c r="C98" s="56"/>
      <c r="D98" s="35"/>
      <c r="E98" s="37"/>
      <c r="F98" s="37"/>
      <c r="G98" s="37"/>
      <c r="H98" s="37"/>
      <c r="I98" s="37"/>
      <c r="J98" s="37">
        <v>288</v>
      </c>
      <c r="K98" s="37">
        <v>63</v>
      </c>
      <c r="L98" s="37">
        <v>116</v>
      </c>
      <c r="M98" s="37">
        <v>62</v>
      </c>
      <c r="N98" s="37">
        <v>109</v>
      </c>
      <c r="O98" s="37"/>
      <c r="P98" s="37"/>
      <c r="Q98" s="37"/>
      <c r="R98" s="37"/>
      <c r="S98" s="37"/>
      <c r="T98" s="37"/>
      <c r="U98" s="37"/>
      <c r="V98" s="36">
        <f t="shared" si="31"/>
        <v>638</v>
      </c>
    </row>
    <row r="99" spans="1:22">
      <c r="A99" s="33" t="s">
        <v>404</v>
      </c>
      <c r="B99" s="56" t="s">
        <v>405</v>
      </c>
      <c r="C99" s="56"/>
      <c r="D99" s="42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>
        <v>167</v>
      </c>
      <c r="P99" s="43">
        <v>46</v>
      </c>
      <c r="Q99" s="43">
        <v>36</v>
      </c>
      <c r="R99" s="43">
        <v>28</v>
      </c>
      <c r="S99" s="43">
        <v>45</v>
      </c>
      <c r="T99" s="43"/>
      <c r="U99" s="43">
        <v>4</v>
      </c>
      <c r="V99" s="36">
        <f t="shared" si="31"/>
        <v>326</v>
      </c>
    </row>
    <row r="100" spans="1:22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>
        <v>7</v>
      </c>
      <c r="U100" s="43"/>
      <c r="V100" s="36">
        <f t="shared" si="31"/>
        <v>7</v>
      </c>
    </row>
    <row r="101" spans="1:22" ht="33.75">
      <c r="A101" s="33" t="s">
        <v>408</v>
      </c>
      <c r="B101" s="34" t="s">
        <v>409</v>
      </c>
      <c r="C101" s="34"/>
      <c r="D101" s="35" t="s">
        <v>410</v>
      </c>
      <c r="E101" s="36">
        <f>E102+E103+E104+E105</f>
        <v>2505</v>
      </c>
      <c r="F101" s="36">
        <f t="shared" ref="F101:S101" si="51">F102+F103+F104+F105</f>
        <v>839</v>
      </c>
      <c r="G101" s="36">
        <f t="shared" si="51"/>
        <v>732</v>
      </c>
      <c r="H101" s="36">
        <f t="shared" si="51"/>
        <v>397</v>
      </c>
      <c r="I101" s="36">
        <f t="shared" si="51"/>
        <v>1128</v>
      </c>
      <c r="J101" s="36">
        <f t="shared" si="51"/>
        <v>4873</v>
      </c>
      <c r="K101" s="36">
        <f t="shared" si="51"/>
        <v>748</v>
      </c>
      <c r="L101" s="36">
        <f t="shared" si="51"/>
        <v>2033</v>
      </c>
      <c r="M101" s="36">
        <f t="shared" si="51"/>
        <v>750</v>
      </c>
      <c r="N101" s="36">
        <f t="shared" si="51"/>
        <v>1819</v>
      </c>
      <c r="O101" s="36">
        <f t="shared" si="51"/>
        <v>2360</v>
      </c>
      <c r="P101" s="36">
        <f t="shared" si="51"/>
        <v>509</v>
      </c>
      <c r="Q101" s="36">
        <f t="shared" si="51"/>
        <v>456</v>
      </c>
      <c r="R101" s="36">
        <f t="shared" si="51"/>
        <v>411</v>
      </c>
      <c r="S101" s="36">
        <f t="shared" si="51"/>
        <v>472</v>
      </c>
      <c r="T101" s="37">
        <f>T102+T103+T104+T105</f>
        <v>0</v>
      </c>
      <c r="U101" s="37">
        <v>52</v>
      </c>
      <c r="V101" s="36">
        <f t="shared" si="31"/>
        <v>20084</v>
      </c>
    </row>
    <row r="102" spans="1:22">
      <c r="A102" s="33" t="s">
        <v>411</v>
      </c>
      <c r="B102" s="56" t="s">
        <v>401</v>
      </c>
      <c r="C102" s="56"/>
      <c r="D102" s="42"/>
      <c r="E102" s="43">
        <v>2505</v>
      </c>
      <c r="F102" s="43">
        <v>839</v>
      </c>
      <c r="G102" s="43">
        <v>732</v>
      </c>
      <c r="H102" s="43">
        <v>397</v>
      </c>
      <c r="I102" s="43">
        <v>1128</v>
      </c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36">
        <f t="shared" si="31"/>
        <v>5601</v>
      </c>
    </row>
    <row r="103" spans="1:22">
      <c r="A103" s="33" t="s">
        <v>412</v>
      </c>
      <c r="B103" s="56" t="s">
        <v>403</v>
      </c>
      <c r="C103" s="56"/>
      <c r="D103" s="35"/>
      <c r="E103" s="37"/>
      <c r="F103" s="37"/>
      <c r="G103" s="37"/>
      <c r="H103" s="37"/>
      <c r="I103" s="37"/>
      <c r="J103" s="37">
        <v>4873</v>
      </c>
      <c r="K103" s="37">
        <v>748</v>
      </c>
      <c r="L103" s="37">
        <v>2033</v>
      </c>
      <c r="M103" s="37">
        <v>677</v>
      </c>
      <c r="N103" s="37">
        <v>1819</v>
      </c>
      <c r="O103" s="37"/>
      <c r="P103" s="37"/>
      <c r="Q103" s="37"/>
      <c r="R103" s="37"/>
      <c r="S103" s="37"/>
      <c r="T103" s="37"/>
      <c r="U103" s="37"/>
      <c r="V103" s="36">
        <f t="shared" si="31"/>
        <v>10150</v>
      </c>
    </row>
    <row r="104" spans="1:22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>
        <v>2360</v>
      </c>
      <c r="P104" s="43">
        <v>509</v>
      </c>
      <c r="Q104" s="43">
        <v>456</v>
      </c>
      <c r="R104" s="43">
        <v>411</v>
      </c>
      <c r="S104" s="43">
        <v>472</v>
      </c>
      <c r="T104" s="43"/>
      <c r="U104" s="43">
        <v>52</v>
      </c>
      <c r="V104" s="36">
        <f t="shared" si="31"/>
        <v>4260</v>
      </c>
    </row>
    <row r="105" spans="1:22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>
        <v>73</v>
      </c>
      <c r="N105" s="43"/>
      <c r="O105" s="43"/>
      <c r="P105" s="43"/>
      <c r="Q105" s="43"/>
      <c r="R105" s="43"/>
      <c r="S105" s="43"/>
      <c r="T105" s="43"/>
      <c r="U105" s="43"/>
      <c r="V105" s="36">
        <f t="shared" si="31"/>
        <v>73</v>
      </c>
    </row>
    <row r="106" spans="1:22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36">
        <f t="shared" si="31"/>
        <v>0</v>
      </c>
    </row>
    <row r="107" spans="1:22">
      <c r="A107" s="33" t="s">
        <v>417</v>
      </c>
      <c r="B107" s="34" t="s">
        <v>418</v>
      </c>
      <c r="C107" s="34"/>
      <c r="D107" s="35"/>
      <c r="E107" s="37">
        <v>105</v>
      </c>
      <c r="F107" s="37">
        <v>42</v>
      </c>
      <c r="G107" s="37">
        <v>55</v>
      </c>
      <c r="H107" s="37"/>
      <c r="I107" s="37"/>
      <c r="J107" s="37">
        <v>106</v>
      </c>
      <c r="K107" s="37">
        <v>25</v>
      </c>
      <c r="L107" s="37">
        <v>28</v>
      </c>
      <c r="M107" s="37">
        <v>15</v>
      </c>
      <c r="N107" s="37">
        <v>2</v>
      </c>
      <c r="O107" s="37">
        <v>44</v>
      </c>
      <c r="P107" s="37">
        <v>35</v>
      </c>
      <c r="Q107" s="37">
        <v>1</v>
      </c>
      <c r="R107" s="37"/>
      <c r="S107" s="37">
        <v>23</v>
      </c>
      <c r="T107" s="37">
        <v>9</v>
      </c>
      <c r="U107" s="37"/>
      <c r="V107" s="36">
        <f t="shared" si="31"/>
        <v>490</v>
      </c>
    </row>
    <row r="108" spans="1:22">
      <c r="A108" s="33" t="s">
        <v>419</v>
      </c>
      <c r="B108" s="56" t="s">
        <v>420</v>
      </c>
      <c r="C108" s="56"/>
      <c r="D108" s="47"/>
      <c r="E108" s="37">
        <v>21669.27</v>
      </c>
      <c r="F108" s="37">
        <v>13160</v>
      </c>
      <c r="G108" s="37">
        <v>8372.6200000000008</v>
      </c>
      <c r="H108" s="37">
        <v>12742.28</v>
      </c>
      <c r="I108" s="37">
        <v>11355.73</v>
      </c>
      <c r="J108" s="37">
        <v>28635.95</v>
      </c>
      <c r="K108" s="37">
        <v>4631.83</v>
      </c>
      <c r="L108" s="37">
        <v>12756.42</v>
      </c>
      <c r="M108" s="37">
        <v>5172.54</v>
      </c>
      <c r="N108" s="37">
        <v>14337.21</v>
      </c>
      <c r="O108" s="37">
        <v>23301</v>
      </c>
      <c r="P108" s="37">
        <v>4286</v>
      </c>
      <c r="Q108" s="37">
        <v>5391</v>
      </c>
      <c r="R108" s="37">
        <v>3731.92</v>
      </c>
      <c r="S108" s="37">
        <v>4612</v>
      </c>
      <c r="T108" s="37">
        <v>2800</v>
      </c>
      <c r="U108" s="37">
        <v>6500</v>
      </c>
      <c r="V108" s="36">
        <f t="shared" si="31"/>
        <v>183455.77000000002</v>
      </c>
    </row>
    <row r="109" spans="1:22">
      <c r="A109" s="33" t="s">
        <v>421</v>
      </c>
      <c r="B109" s="56" t="s">
        <v>422</v>
      </c>
      <c r="C109" s="56"/>
      <c r="D109" s="47"/>
      <c r="E109" s="37">
        <v>10518</v>
      </c>
      <c r="F109" s="37">
        <v>8691</v>
      </c>
      <c r="G109" s="37">
        <v>6496</v>
      </c>
      <c r="H109" s="37">
        <v>7142.4</v>
      </c>
      <c r="I109" s="37">
        <v>3000</v>
      </c>
      <c r="J109" s="37">
        <v>10739</v>
      </c>
      <c r="K109" s="37">
        <v>3226</v>
      </c>
      <c r="L109" s="37">
        <v>6620</v>
      </c>
      <c r="M109" s="37">
        <v>3585</v>
      </c>
      <c r="N109" s="37">
        <v>9336</v>
      </c>
      <c r="O109" s="37">
        <v>9430</v>
      </c>
      <c r="P109" s="37">
        <v>2350</v>
      </c>
      <c r="Q109" s="37">
        <v>2356</v>
      </c>
      <c r="R109" s="37">
        <v>1786</v>
      </c>
      <c r="S109" s="37">
        <v>1717</v>
      </c>
      <c r="T109" s="37"/>
      <c r="U109" s="37">
        <v>2312.1</v>
      </c>
      <c r="V109" s="36">
        <f t="shared" si="31"/>
        <v>89304.5</v>
      </c>
    </row>
  </sheetData>
  <protectedRanges>
    <protectedRange password="E9C1" sqref="B31:D109 A4:D12 A2:V3 B13:D28 A13:A109 V4:V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V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2"/>
  <sheetViews>
    <sheetView topLeftCell="H1" workbookViewId="0">
      <selection activeCell="V3" sqref="V3:V109"/>
    </sheetView>
  </sheetViews>
  <sheetFormatPr defaultColWidth="15.625" defaultRowHeight="15.75"/>
  <cols>
    <col min="1" max="1" width="4.625" style="30" customWidth="1"/>
    <col min="2" max="2" width="34.125" style="30" customWidth="1"/>
    <col min="3" max="3" width="12.375" style="30" hidden="1" customWidth="1"/>
    <col min="4" max="4" width="23.875" style="58" hidden="1" customWidth="1"/>
    <col min="5" max="5" width="10.75" style="141" bestFit="1" customWidth="1"/>
    <col min="6" max="6" width="10.75" style="141" customWidth="1"/>
    <col min="7" max="7" width="11" style="141" customWidth="1"/>
    <col min="8" max="8" width="9.875" style="30" customWidth="1"/>
    <col min="9" max="9" width="10.75" style="30" customWidth="1"/>
    <col min="10" max="11" width="10.75" style="141" customWidth="1"/>
    <col min="12" max="12" width="10.75" style="30" customWidth="1"/>
    <col min="13" max="13" width="10.75" style="141" bestFit="1" customWidth="1"/>
    <col min="14" max="14" width="10.75" style="30" bestFit="1" customWidth="1"/>
    <col min="15" max="15" width="10.5" style="141" bestFit="1" customWidth="1"/>
    <col min="16" max="16" width="10.75" style="30" bestFit="1" customWidth="1"/>
    <col min="17" max="17" width="10.75" style="141" customWidth="1"/>
    <col min="18" max="18" width="11.5" style="30" bestFit="1" customWidth="1"/>
    <col min="19" max="19" width="10.75" style="30" bestFit="1" customWidth="1"/>
    <col min="20" max="20" width="9.875" style="30" bestFit="1" customWidth="1"/>
    <col min="21" max="21" width="13.375" style="30" bestFit="1" customWidth="1"/>
    <col min="22" max="256" width="15.625" style="30"/>
    <col min="257" max="257" width="4.625" style="30" customWidth="1"/>
    <col min="258" max="258" width="34.125" style="30" customWidth="1"/>
    <col min="259" max="260" width="0" style="30" hidden="1" customWidth="1"/>
    <col min="261" max="261" width="10.75" style="30" bestFit="1" customWidth="1"/>
    <col min="262" max="262" width="10.75" style="30" customWidth="1"/>
    <col min="263" max="263" width="11" style="30" customWidth="1"/>
    <col min="264" max="264" width="9.875" style="30" customWidth="1"/>
    <col min="265" max="268" width="10.75" style="30" customWidth="1"/>
    <col min="269" max="270" width="10.75" style="30" bestFit="1" customWidth="1"/>
    <col min="271" max="271" width="10.5" style="30" bestFit="1" customWidth="1"/>
    <col min="272" max="272" width="10.75" style="30" bestFit="1" customWidth="1"/>
    <col min="273" max="273" width="10.75" style="30" customWidth="1"/>
    <col min="274" max="274" width="11.5" style="30" bestFit="1" customWidth="1"/>
    <col min="275" max="275" width="10.75" style="30" bestFit="1" customWidth="1"/>
    <col min="276" max="276" width="9.875" style="30" bestFit="1" customWidth="1"/>
    <col min="277" max="277" width="13.375" style="30" bestFit="1" customWidth="1"/>
    <col min="278" max="512" width="15.625" style="30"/>
    <col min="513" max="513" width="4.625" style="30" customWidth="1"/>
    <col min="514" max="514" width="34.125" style="30" customWidth="1"/>
    <col min="515" max="516" width="0" style="30" hidden="1" customWidth="1"/>
    <col min="517" max="517" width="10.75" style="30" bestFit="1" customWidth="1"/>
    <col min="518" max="518" width="10.75" style="30" customWidth="1"/>
    <col min="519" max="519" width="11" style="30" customWidth="1"/>
    <col min="520" max="520" width="9.875" style="30" customWidth="1"/>
    <col min="521" max="524" width="10.75" style="30" customWidth="1"/>
    <col min="525" max="526" width="10.75" style="30" bestFit="1" customWidth="1"/>
    <col min="527" max="527" width="10.5" style="30" bestFit="1" customWidth="1"/>
    <col min="528" max="528" width="10.75" style="30" bestFit="1" customWidth="1"/>
    <col min="529" max="529" width="10.75" style="30" customWidth="1"/>
    <col min="530" max="530" width="11.5" style="30" bestFit="1" customWidth="1"/>
    <col min="531" max="531" width="10.75" style="30" bestFit="1" customWidth="1"/>
    <col min="532" max="532" width="9.875" style="30" bestFit="1" customWidth="1"/>
    <col min="533" max="533" width="13.375" style="30" bestFit="1" customWidth="1"/>
    <col min="534" max="768" width="15.625" style="30"/>
    <col min="769" max="769" width="4.625" style="30" customWidth="1"/>
    <col min="770" max="770" width="34.125" style="30" customWidth="1"/>
    <col min="771" max="772" width="0" style="30" hidden="1" customWidth="1"/>
    <col min="773" max="773" width="10.75" style="30" bestFit="1" customWidth="1"/>
    <col min="774" max="774" width="10.75" style="30" customWidth="1"/>
    <col min="775" max="775" width="11" style="30" customWidth="1"/>
    <col min="776" max="776" width="9.875" style="30" customWidth="1"/>
    <col min="777" max="780" width="10.75" style="30" customWidth="1"/>
    <col min="781" max="782" width="10.75" style="30" bestFit="1" customWidth="1"/>
    <col min="783" max="783" width="10.5" style="30" bestFit="1" customWidth="1"/>
    <col min="784" max="784" width="10.75" style="30" bestFit="1" customWidth="1"/>
    <col min="785" max="785" width="10.75" style="30" customWidth="1"/>
    <col min="786" max="786" width="11.5" style="30" bestFit="1" customWidth="1"/>
    <col min="787" max="787" width="10.75" style="30" bestFit="1" customWidth="1"/>
    <col min="788" max="788" width="9.875" style="30" bestFit="1" customWidth="1"/>
    <col min="789" max="789" width="13.375" style="30" bestFit="1" customWidth="1"/>
    <col min="790" max="1024" width="15.625" style="30"/>
    <col min="1025" max="1025" width="4.625" style="30" customWidth="1"/>
    <col min="1026" max="1026" width="34.125" style="30" customWidth="1"/>
    <col min="1027" max="1028" width="0" style="30" hidden="1" customWidth="1"/>
    <col min="1029" max="1029" width="10.75" style="30" bestFit="1" customWidth="1"/>
    <col min="1030" max="1030" width="10.75" style="30" customWidth="1"/>
    <col min="1031" max="1031" width="11" style="30" customWidth="1"/>
    <col min="1032" max="1032" width="9.875" style="30" customWidth="1"/>
    <col min="1033" max="1036" width="10.75" style="30" customWidth="1"/>
    <col min="1037" max="1038" width="10.75" style="30" bestFit="1" customWidth="1"/>
    <col min="1039" max="1039" width="10.5" style="30" bestFit="1" customWidth="1"/>
    <col min="1040" max="1040" width="10.75" style="30" bestFit="1" customWidth="1"/>
    <col min="1041" max="1041" width="10.75" style="30" customWidth="1"/>
    <col min="1042" max="1042" width="11.5" style="30" bestFit="1" customWidth="1"/>
    <col min="1043" max="1043" width="10.75" style="30" bestFit="1" customWidth="1"/>
    <col min="1044" max="1044" width="9.875" style="30" bestFit="1" customWidth="1"/>
    <col min="1045" max="1045" width="13.375" style="30" bestFit="1" customWidth="1"/>
    <col min="1046" max="1280" width="15.625" style="30"/>
    <col min="1281" max="1281" width="4.625" style="30" customWidth="1"/>
    <col min="1282" max="1282" width="34.125" style="30" customWidth="1"/>
    <col min="1283" max="1284" width="0" style="30" hidden="1" customWidth="1"/>
    <col min="1285" max="1285" width="10.75" style="30" bestFit="1" customWidth="1"/>
    <col min="1286" max="1286" width="10.75" style="30" customWidth="1"/>
    <col min="1287" max="1287" width="11" style="30" customWidth="1"/>
    <col min="1288" max="1288" width="9.875" style="30" customWidth="1"/>
    <col min="1289" max="1292" width="10.75" style="30" customWidth="1"/>
    <col min="1293" max="1294" width="10.75" style="30" bestFit="1" customWidth="1"/>
    <col min="1295" max="1295" width="10.5" style="30" bestFit="1" customWidth="1"/>
    <col min="1296" max="1296" width="10.75" style="30" bestFit="1" customWidth="1"/>
    <col min="1297" max="1297" width="10.75" style="30" customWidth="1"/>
    <col min="1298" max="1298" width="11.5" style="30" bestFit="1" customWidth="1"/>
    <col min="1299" max="1299" width="10.75" style="30" bestFit="1" customWidth="1"/>
    <col min="1300" max="1300" width="9.875" style="30" bestFit="1" customWidth="1"/>
    <col min="1301" max="1301" width="13.375" style="30" bestFit="1" customWidth="1"/>
    <col min="1302" max="1536" width="15.625" style="30"/>
    <col min="1537" max="1537" width="4.625" style="30" customWidth="1"/>
    <col min="1538" max="1538" width="34.125" style="30" customWidth="1"/>
    <col min="1539" max="1540" width="0" style="30" hidden="1" customWidth="1"/>
    <col min="1541" max="1541" width="10.75" style="30" bestFit="1" customWidth="1"/>
    <col min="1542" max="1542" width="10.75" style="30" customWidth="1"/>
    <col min="1543" max="1543" width="11" style="30" customWidth="1"/>
    <col min="1544" max="1544" width="9.875" style="30" customWidth="1"/>
    <col min="1545" max="1548" width="10.75" style="30" customWidth="1"/>
    <col min="1549" max="1550" width="10.75" style="30" bestFit="1" customWidth="1"/>
    <col min="1551" max="1551" width="10.5" style="30" bestFit="1" customWidth="1"/>
    <col min="1552" max="1552" width="10.75" style="30" bestFit="1" customWidth="1"/>
    <col min="1553" max="1553" width="10.75" style="30" customWidth="1"/>
    <col min="1554" max="1554" width="11.5" style="30" bestFit="1" customWidth="1"/>
    <col min="1555" max="1555" width="10.75" style="30" bestFit="1" customWidth="1"/>
    <col min="1556" max="1556" width="9.875" style="30" bestFit="1" customWidth="1"/>
    <col min="1557" max="1557" width="13.375" style="30" bestFit="1" customWidth="1"/>
    <col min="1558" max="1792" width="15.625" style="30"/>
    <col min="1793" max="1793" width="4.625" style="30" customWidth="1"/>
    <col min="1794" max="1794" width="34.125" style="30" customWidth="1"/>
    <col min="1795" max="1796" width="0" style="30" hidden="1" customWidth="1"/>
    <col min="1797" max="1797" width="10.75" style="30" bestFit="1" customWidth="1"/>
    <col min="1798" max="1798" width="10.75" style="30" customWidth="1"/>
    <col min="1799" max="1799" width="11" style="30" customWidth="1"/>
    <col min="1800" max="1800" width="9.875" style="30" customWidth="1"/>
    <col min="1801" max="1804" width="10.75" style="30" customWidth="1"/>
    <col min="1805" max="1806" width="10.75" style="30" bestFit="1" customWidth="1"/>
    <col min="1807" max="1807" width="10.5" style="30" bestFit="1" customWidth="1"/>
    <col min="1808" max="1808" width="10.75" style="30" bestFit="1" customWidth="1"/>
    <col min="1809" max="1809" width="10.75" style="30" customWidth="1"/>
    <col min="1810" max="1810" width="11.5" style="30" bestFit="1" customWidth="1"/>
    <col min="1811" max="1811" width="10.75" style="30" bestFit="1" customWidth="1"/>
    <col min="1812" max="1812" width="9.875" style="30" bestFit="1" customWidth="1"/>
    <col min="1813" max="1813" width="13.375" style="30" bestFit="1" customWidth="1"/>
    <col min="1814" max="2048" width="15.625" style="30"/>
    <col min="2049" max="2049" width="4.625" style="30" customWidth="1"/>
    <col min="2050" max="2050" width="34.125" style="30" customWidth="1"/>
    <col min="2051" max="2052" width="0" style="30" hidden="1" customWidth="1"/>
    <col min="2053" max="2053" width="10.75" style="30" bestFit="1" customWidth="1"/>
    <col min="2054" max="2054" width="10.75" style="30" customWidth="1"/>
    <col min="2055" max="2055" width="11" style="30" customWidth="1"/>
    <col min="2056" max="2056" width="9.875" style="30" customWidth="1"/>
    <col min="2057" max="2060" width="10.75" style="30" customWidth="1"/>
    <col min="2061" max="2062" width="10.75" style="30" bestFit="1" customWidth="1"/>
    <col min="2063" max="2063" width="10.5" style="30" bestFit="1" customWidth="1"/>
    <col min="2064" max="2064" width="10.75" style="30" bestFit="1" customWidth="1"/>
    <col min="2065" max="2065" width="10.75" style="30" customWidth="1"/>
    <col min="2066" max="2066" width="11.5" style="30" bestFit="1" customWidth="1"/>
    <col min="2067" max="2067" width="10.75" style="30" bestFit="1" customWidth="1"/>
    <col min="2068" max="2068" width="9.875" style="30" bestFit="1" customWidth="1"/>
    <col min="2069" max="2069" width="13.375" style="30" bestFit="1" customWidth="1"/>
    <col min="2070" max="2304" width="15.625" style="30"/>
    <col min="2305" max="2305" width="4.625" style="30" customWidth="1"/>
    <col min="2306" max="2306" width="34.125" style="30" customWidth="1"/>
    <col min="2307" max="2308" width="0" style="30" hidden="1" customWidth="1"/>
    <col min="2309" max="2309" width="10.75" style="30" bestFit="1" customWidth="1"/>
    <col min="2310" max="2310" width="10.75" style="30" customWidth="1"/>
    <col min="2311" max="2311" width="11" style="30" customWidth="1"/>
    <col min="2312" max="2312" width="9.875" style="30" customWidth="1"/>
    <col min="2313" max="2316" width="10.75" style="30" customWidth="1"/>
    <col min="2317" max="2318" width="10.75" style="30" bestFit="1" customWidth="1"/>
    <col min="2319" max="2319" width="10.5" style="30" bestFit="1" customWidth="1"/>
    <col min="2320" max="2320" width="10.75" style="30" bestFit="1" customWidth="1"/>
    <col min="2321" max="2321" width="10.75" style="30" customWidth="1"/>
    <col min="2322" max="2322" width="11.5" style="30" bestFit="1" customWidth="1"/>
    <col min="2323" max="2323" width="10.75" style="30" bestFit="1" customWidth="1"/>
    <col min="2324" max="2324" width="9.875" style="30" bestFit="1" customWidth="1"/>
    <col min="2325" max="2325" width="13.375" style="30" bestFit="1" customWidth="1"/>
    <col min="2326" max="2560" width="15.625" style="30"/>
    <col min="2561" max="2561" width="4.625" style="30" customWidth="1"/>
    <col min="2562" max="2562" width="34.125" style="30" customWidth="1"/>
    <col min="2563" max="2564" width="0" style="30" hidden="1" customWidth="1"/>
    <col min="2565" max="2565" width="10.75" style="30" bestFit="1" customWidth="1"/>
    <col min="2566" max="2566" width="10.75" style="30" customWidth="1"/>
    <col min="2567" max="2567" width="11" style="30" customWidth="1"/>
    <col min="2568" max="2568" width="9.875" style="30" customWidth="1"/>
    <col min="2569" max="2572" width="10.75" style="30" customWidth="1"/>
    <col min="2573" max="2574" width="10.75" style="30" bestFit="1" customWidth="1"/>
    <col min="2575" max="2575" width="10.5" style="30" bestFit="1" customWidth="1"/>
    <col min="2576" max="2576" width="10.75" style="30" bestFit="1" customWidth="1"/>
    <col min="2577" max="2577" width="10.75" style="30" customWidth="1"/>
    <col min="2578" max="2578" width="11.5" style="30" bestFit="1" customWidth="1"/>
    <col min="2579" max="2579" width="10.75" style="30" bestFit="1" customWidth="1"/>
    <col min="2580" max="2580" width="9.875" style="30" bestFit="1" customWidth="1"/>
    <col min="2581" max="2581" width="13.375" style="30" bestFit="1" customWidth="1"/>
    <col min="2582" max="2816" width="15.625" style="30"/>
    <col min="2817" max="2817" width="4.625" style="30" customWidth="1"/>
    <col min="2818" max="2818" width="34.125" style="30" customWidth="1"/>
    <col min="2819" max="2820" width="0" style="30" hidden="1" customWidth="1"/>
    <col min="2821" max="2821" width="10.75" style="30" bestFit="1" customWidth="1"/>
    <col min="2822" max="2822" width="10.75" style="30" customWidth="1"/>
    <col min="2823" max="2823" width="11" style="30" customWidth="1"/>
    <col min="2824" max="2824" width="9.875" style="30" customWidth="1"/>
    <col min="2825" max="2828" width="10.75" style="30" customWidth="1"/>
    <col min="2829" max="2830" width="10.75" style="30" bestFit="1" customWidth="1"/>
    <col min="2831" max="2831" width="10.5" style="30" bestFit="1" customWidth="1"/>
    <col min="2832" max="2832" width="10.75" style="30" bestFit="1" customWidth="1"/>
    <col min="2833" max="2833" width="10.75" style="30" customWidth="1"/>
    <col min="2834" max="2834" width="11.5" style="30" bestFit="1" customWidth="1"/>
    <col min="2835" max="2835" width="10.75" style="30" bestFit="1" customWidth="1"/>
    <col min="2836" max="2836" width="9.875" style="30" bestFit="1" customWidth="1"/>
    <col min="2837" max="2837" width="13.375" style="30" bestFit="1" customWidth="1"/>
    <col min="2838" max="3072" width="15.625" style="30"/>
    <col min="3073" max="3073" width="4.625" style="30" customWidth="1"/>
    <col min="3074" max="3074" width="34.125" style="30" customWidth="1"/>
    <col min="3075" max="3076" width="0" style="30" hidden="1" customWidth="1"/>
    <col min="3077" max="3077" width="10.75" style="30" bestFit="1" customWidth="1"/>
    <col min="3078" max="3078" width="10.75" style="30" customWidth="1"/>
    <col min="3079" max="3079" width="11" style="30" customWidth="1"/>
    <col min="3080" max="3080" width="9.875" style="30" customWidth="1"/>
    <col min="3081" max="3084" width="10.75" style="30" customWidth="1"/>
    <col min="3085" max="3086" width="10.75" style="30" bestFit="1" customWidth="1"/>
    <col min="3087" max="3087" width="10.5" style="30" bestFit="1" customWidth="1"/>
    <col min="3088" max="3088" width="10.75" style="30" bestFit="1" customWidth="1"/>
    <col min="3089" max="3089" width="10.75" style="30" customWidth="1"/>
    <col min="3090" max="3090" width="11.5" style="30" bestFit="1" customWidth="1"/>
    <col min="3091" max="3091" width="10.75" style="30" bestFit="1" customWidth="1"/>
    <col min="3092" max="3092" width="9.875" style="30" bestFit="1" customWidth="1"/>
    <col min="3093" max="3093" width="13.375" style="30" bestFit="1" customWidth="1"/>
    <col min="3094" max="3328" width="15.625" style="30"/>
    <col min="3329" max="3329" width="4.625" style="30" customWidth="1"/>
    <col min="3330" max="3330" width="34.125" style="30" customWidth="1"/>
    <col min="3331" max="3332" width="0" style="30" hidden="1" customWidth="1"/>
    <col min="3333" max="3333" width="10.75" style="30" bestFit="1" customWidth="1"/>
    <col min="3334" max="3334" width="10.75" style="30" customWidth="1"/>
    <col min="3335" max="3335" width="11" style="30" customWidth="1"/>
    <col min="3336" max="3336" width="9.875" style="30" customWidth="1"/>
    <col min="3337" max="3340" width="10.75" style="30" customWidth="1"/>
    <col min="3341" max="3342" width="10.75" style="30" bestFit="1" customWidth="1"/>
    <col min="3343" max="3343" width="10.5" style="30" bestFit="1" customWidth="1"/>
    <col min="3344" max="3344" width="10.75" style="30" bestFit="1" customWidth="1"/>
    <col min="3345" max="3345" width="10.75" style="30" customWidth="1"/>
    <col min="3346" max="3346" width="11.5" style="30" bestFit="1" customWidth="1"/>
    <col min="3347" max="3347" width="10.75" style="30" bestFit="1" customWidth="1"/>
    <col min="3348" max="3348" width="9.875" style="30" bestFit="1" customWidth="1"/>
    <col min="3349" max="3349" width="13.375" style="30" bestFit="1" customWidth="1"/>
    <col min="3350" max="3584" width="15.625" style="30"/>
    <col min="3585" max="3585" width="4.625" style="30" customWidth="1"/>
    <col min="3586" max="3586" width="34.125" style="30" customWidth="1"/>
    <col min="3587" max="3588" width="0" style="30" hidden="1" customWidth="1"/>
    <col min="3589" max="3589" width="10.75" style="30" bestFit="1" customWidth="1"/>
    <col min="3590" max="3590" width="10.75" style="30" customWidth="1"/>
    <col min="3591" max="3591" width="11" style="30" customWidth="1"/>
    <col min="3592" max="3592" width="9.875" style="30" customWidth="1"/>
    <col min="3593" max="3596" width="10.75" style="30" customWidth="1"/>
    <col min="3597" max="3598" width="10.75" style="30" bestFit="1" customWidth="1"/>
    <col min="3599" max="3599" width="10.5" style="30" bestFit="1" customWidth="1"/>
    <col min="3600" max="3600" width="10.75" style="30" bestFit="1" customWidth="1"/>
    <col min="3601" max="3601" width="10.75" style="30" customWidth="1"/>
    <col min="3602" max="3602" width="11.5" style="30" bestFit="1" customWidth="1"/>
    <col min="3603" max="3603" width="10.75" style="30" bestFit="1" customWidth="1"/>
    <col min="3604" max="3604" width="9.875" style="30" bestFit="1" customWidth="1"/>
    <col min="3605" max="3605" width="13.375" style="30" bestFit="1" customWidth="1"/>
    <col min="3606" max="3840" width="15.625" style="30"/>
    <col min="3841" max="3841" width="4.625" style="30" customWidth="1"/>
    <col min="3842" max="3842" width="34.125" style="30" customWidth="1"/>
    <col min="3843" max="3844" width="0" style="30" hidden="1" customWidth="1"/>
    <col min="3845" max="3845" width="10.75" style="30" bestFit="1" customWidth="1"/>
    <col min="3846" max="3846" width="10.75" style="30" customWidth="1"/>
    <col min="3847" max="3847" width="11" style="30" customWidth="1"/>
    <col min="3848" max="3848" width="9.875" style="30" customWidth="1"/>
    <col min="3849" max="3852" width="10.75" style="30" customWidth="1"/>
    <col min="3853" max="3854" width="10.75" style="30" bestFit="1" customWidth="1"/>
    <col min="3855" max="3855" width="10.5" style="30" bestFit="1" customWidth="1"/>
    <col min="3856" max="3856" width="10.75" style="30" bestFit="1" customWidth="1"/>
    <col min="3857" max="3857" width="10.75" style="30" customWidth="1"/>
    <col min="3858" max="3858" width="11.5" style="30" bestFit="1" customWidth="1"/>
    <col min="3859" max="3859" width="10.75" style="30" bestFit="1" customWidth="1"/>
    <col min="3860" max="3860" width="9.875" style="30" bestFit="1" customWidth="1"/>
    <col min="3861" max="3861" width="13.375" style="30" bestFit="1" customWidth="1"/>
    <col min="3862" max="4096" width="15.625" style="30"/>
    <col min="4097" max="4097" width="4.625" style="30" customWidth="1"/>
    <col min="4098" max="4098" width="34.125" style="30" customWidth="1"/>
    <col min="4099" max="4100" width="0" style="30" hidden="1" customWidth="1"/>
    <col min="4101" max="4101" width="10.75" style="30" bestFit="1" customWidth="1"/>
    <col min="4102" max="4102" width="10.75" style="30" customWidth="1"/>
    <col min="4103" max="4103" width="11" style="30" customWidth="1"/>
    <col min="4104" max="4104" width="9.875" style="30" customWidth="1"/>
    <col min="4105" max="4108" width="10.75" style="30" customWidth="1"/>
    <col min="4109" max="4110" width="10.75" style="30" bestFit="1" customWidth="1"/>
    <col min="4111" max="4111" width="10.5" style="30" bestFit="1" customWidth="1"/>
    <col min="4112" max="4112" width="10.75" style="30" bestFit="1" customWidth="1"/>
    <col min="4113" max="4113" width="10.75" style="30" customWidth="1"/>
    <col min="4114" max="4114" width="11.5" style="30" bestFit="1" customWidth="1"/>
    <col min="4115" max="4115" width="10.75" style="30" bestFit="1" customWidth="1"/>
    <col min="4116" max="4116" width="9.875" style="30" bestFit="1" customWidth="1"/>
    <col min="4117" max="4117" width="13.375" style="30" bestFit="1" customWidth="1"/>
    <col min="4118" max="4352" width="15.625" style="30"/>
    <col min="4353" max="4353" width="4.625" style="30" customWidth="1"/>
    <col min="4354" max="4354" width="34.125" style="30" customWidth="1"/>
    <col min="4355" max="4356" width="0" style="30" hidden="1" customWidth="1"/>
    <col min="4357" max="4357" width="10.75" style="30" bestFit="1" customWidth="1"/>
    <col min="4358" max="4358" width="10.75" style="30" customWidth="1"/>
    <col min="4359" max="4359" width="11" style="30" customWidth="1"/>
    <col min="4360" max="4360" width="9.875" style="30" customWidth="1"/>
    <col min="4361" max="4364" width="10.75" style="30" customWidth="1"/>
    <col min="4365" max="4366" width="10.75" style="30" bestFit="1" customWidth="1"/>
    <col min="4367" max="4367" width="10.5" style="30" bestFit="1" customWidth="1"/>
    <col min="4368" max="4368" width="10.75" style="30" bestFit="1" customWidth="1"/>
    <col min="4369" max="4369" width="10.75" style="30" customWidth="1"/>
    <col min="4370" max="4370" width="11.5" style="30" bestFit="1" customWidth="1"/>
    <col min="4371" max="4371" width="10.75" style="30" bestFit="1" customWidth="1"/>
    <col min="4372" max="4372" width="9.875" style="30" bestFit="1" customWidth="1"/>
    <col min="4373" max="4373" width="13.375" style="30" bestFit="1" customWidth="1"/>
    <col min="4374" max="4608" width="15.625" style="30"/>
    <col min="4609" max="4609" width="4.625" style="30" customWidth="1"/>
    <col min="4610" max="4610" width="34.125" style="30" customWidth="1"/>
    <col min="4611" max="4612" width="0" style="30" hidden="1" customWidth="1"/>
    <col min="4613" max="4613" width="10.75" style="30" bestFit="1" customWidth="1"/>
    <col min="4614" max="4614" width="10.75" style="30" customWidth="1"/>
    <col min="4615" max="4615" width="11" style="30" customWidth="1"/>
    <col min="4616" max="4616" width="9.875" style="30" customWidth="1"/>
    <col min="4617" max="4620" width="10.75" style="30" customWidth="1"/>
    <col min="4621" max="4622" width="10.75" style="30" bestFit="1" customWidth="1"/>
    <col min="4623" max="4623" width="10.5" style="30" bestFit="1" customWidth="1"/>
    <col min="4624" max="4624" width="10.75" style="30" bestFit="1" customWidth="1"/>
    <col min="4625" max="4625" width="10.75" style="30" customWidth="1"/>
    <col min="4626" max="4626" width="11.5" style="30" bestFit="1" customWidth="1"/>
    <col min="4627" max="4627" width="10.75" style="30" bestFit="1" customWidth="1"/>
    <col min="4628" max="4628" width="9.875" style="30" bestFit="1" customWidth="1"/>
    <col min="4629" max="4629" width="13.375" style="30" bestFit="1" customWidth="1"/>
    <col min="4630" max="4864" width="15.625" style="30"/>
    <col min="4865" max="4865" width="4.625" style="30" customWidth="1"/>
    <col min="4866" max="4866" width="34.125" style="30" customWidth="1"/>
    <col min="4867" max="4868" width="0" style="30" hidden="1" customWidth="1"/>
    <col min="4869" max="4869" width="10.75" style="30" bestFit="1" customWidth="1"/>
    <col min="4870" max="4870" width="10.75" style="30" customWidth="1"/>
    <col min="4871" max="4871" width="11" style="30" customWidth="1"/>
    <col min="4872" max="4872" width="9.875" style="30" customWidth="1"/>
    <col min="4873" max="4876" width="10.75" style="30" customWidth="1"/>
    <col min="4877" max="4878" width="10.75" style="30" bestFit="1" customWidth="1"/>
    <col min="4879" max="4879" width="10.5" style="30" bestFit="1" customWidth="1"/>
    <col min="4880" max="4880" width="10.75" style="30" bestFit="1" customWidth="1"/>
    <col min="4881" max="4881" width="10.75" style="30" customWidth="1"/>
    <col min="4882" max="4882" width="11.5" style="30" bestFit="1" customWidth="1"/>
    <col min="4883" max="4883" width="10.75" style="30" bestFit="1" customWidth="1"/>
    <col min="4884" max="4884" width="9.875" style="30" bestFit="1" customWidth="1"/>
    <col min="4885" max="4885" width="13.375" style="30" bestFit="1" customWidth="1"/>
    <col min="4886" max="5120" width="15.625" style="30"/>
    <col min="5121" max="5121" width="4.625" style="30" customWidth="1"/>
    <col min="5122" max="5122" width="34.125" style="30" customWidth="1"/>
    <col min="5123" max="5124" width="0" style="30" hidden="1" customWidth="1"/>
    <col min="5125" max="5125" width="10.75" style="30" bestFit="1" customWidth="1"/>
    <col min="5126" max="5126" width="10.75" style="30" customWidth="1"/>
    <col min="5127" max="5127" width="11" style="30" customWidth="1"/>
    <col min="5128" max="5128" width="9.875" style="30" customWidth="1"/>
    <col min="5129" max="5132" width="10.75" style="30" customWidth="1"/>
    <col min="5133" max="5134" width="10.75" style="30" bestFit="1" customWidth="1"/>
    <col min="5135" max="5135" width="10.5" style="30" bestFit="1" customWidth="1"/>
    <col min="5136" max="5136" width="10.75" style="30" bestFit="1" customWidth="1"/>
    <col min="5137" max="5137" width="10.75" style="30" customWidth="1"/>
    <col min="5138" max="5138" width="11.5" style="30" bestFit="1" customWidth="1"/>
    <col min="5139" max="5139" width="10.75" style="30" bestFit="1" customWidth="1"/>
    <col min="5140" max="5140" width="9.875" style="30" bestFit="1" customWidth="1"/>
    <col min="5141" max="5141" width="13.375" style="30" bestFit="1" customWidth="1"/>
    <col min="5142" max="5376" width="15.625" style="30"/>
    <col min="5377" max="5377" width="4.625" style="30" customWidth="1"/>
    <col min="5378" max="5378" width="34.125" style="30" customWidth="1"/>
    <col min="5379" max="5380" width="0" style="30" hidden="1" customWidth="1"/>
    <col min="5381" max="5381" width="10.75" style="30" bestFit="1" customWidth="1"/>
    <col min="5382" max="5382" width="10.75" style="30" customWidth="1"/>
    <col min="5383" max="5383" width="11" style="30" customWidth="1"/>
    <col min="5384" max="5384" width="9.875" style="30" customWidth="1"/>
    <col min="5385" max="5388" width="10.75" style="30" customWidth="1"/>
    <col min="5389" max="5390" width="10.75" style="30" bestFit="1" customWidth="1"/>
    <col min="5391" max="5391" width="10.5" style="30" bestFit="1" customWidth="1"/>
    <col min="5392" max="5392" width="10.75" style="30" bestFit="1" customWidth="1"/>
    <col min="5393" max="5393" width="10.75" style="30" customWidth="1"/>
    <col min="5394" max="5394" width="11.5" style="30" bestFit="1" customWidth="1"/>
    <col min="5395" max="5395" width="10.75" style="30" bestFit="1" customWidth="1"/>
    <col min="5396" max="5396" width="9.875" style="30" bestFit="1" customWidth="1"/>
    <col min="5397" max="5397" width="13.375" style="30" bestFit="1" customWidth="1"/>
    <col min="5398" max="5632" width="15.625" style="30"/>
    <col min="5633" max="5633" width="4.625" style="30" customWidth="1"/>
    <col min="5634" max="5634" width="34.125" style="30" customWidth="1"/>
    <col min="5635" max="5636" width="0" style="30" hidden="1" customWidth="1"/>
    <col min="5637" max="5637" width="10.75" style="30" bestFit="1" customWidth="1"/>
    <col min="5638" max="5638" width="10.75" style="30" customWidth="1"/>
    <col min="5639" max="5639" width="11" style="30" customWidth="1"/>
    <col min="5640" max="5640" width="9.875" style="30" customWidth="1"/>
    <col min="5641" max="5644" width="10.75" style="30" customWidth="1"/>
    <col min="5645" max="5646" width="10.75" style="30" bestFit="1" customWidth="1"/>
    <col min="5647" max="5647" width="10.5" style="30" bestFit="1" customWidth="1"/>
    <col min="5648" max="5648" width="10.75" style="30" bestFit="1" customWidth="1"/>
    <col min="5649" max="5649" width="10.75" style="30" customWidth="1"/>
    <col min="5650" max="5650" width="11.5" style="30" bestFit="1" customWidth="1"/>
    <col min="5651" max="5651" width="10.75" style="30" bestFit="1" customWidth="1"/>
    <col min="5652" max="5652" width="9.875" style="30" bestFit="1" customWidth="1"/>
    <col min="5653" max="5653" width="13.375" style="30" bestFit="1" customWidth="1"/>
    <col min="5654" max="5888" width="15.625" style="30"/>
    <col min="5889" max="5889" width="4.625" style="30" customWidth="1"/>
    <col min="5890" max="5890" width="34.125" style="30" customWidth="1"/>
    <col min="5891" max="5892" width="0" style="30" hidden="1" customWidth="1"/>
    <col min="5893" max="5893" width="10.75" style="30" bestFit="1" customWidth="1"/>
    <col min="5894" max="5894" width="10.75" style="30" customWidth="1"/>
    <col min="5895" max="5895" width="11" style="30" customWidth="1"/>
    <col min="5896" max="5896" width="9.875" style="30" customWidth="1"/>
    <col min="5897" max="5900" width="10.75" style="30" customWidth="1"/>
    <col min="5901" max="5902" width="10.75" style="30" bestFit="1" customWidth="1"/>
    <col min="5903" max="5903" width="10.5" style="30" bestFit="1" customWidth="1"/>
    <col min="5904" max="5904" width="10.75" style="30" bestFit="1" customWidth="1"/>
    <col min="5905" max="5905" width="10.75" style="30" customWidth="1"/>
    <col min="5906" max="5906" width="11.5" style="30" bestFit="1" customWidth="1"/>
    <col min="5907" max="5907" width="10.75" style="30" bestFit="1" customWidth="1"/>
    <col min="5908" max="5908" width="9.875" style="30" bestFit="1" customWidth="1"/>
    <col min="5909" max="5909" width="13.375" style="30" bestFit="1" customWidth="1"/>
    <col min="5910" max="6144" width="15.625" style="30"/>
    <col min="6145" max="6145" width="4.625" style="30" customWidth="1"/>
    <col min="6146" max="6146" width="34.125" style="30" customWidth="1"/>
    <col min="6147" max="6148" width="0" style="30" hidden="1" customWidth="1"/>
    <col min="6149" max="6149" width="10.75" style="30" bestFit="1" customWidth="1"/>
    <col min="6150" max="6150" width="10.75" style="30" customWidth="1"/>
    <col min="6151" max="6151" width="11" style="30" customWidth="1"/>
    <col min="6152" max="6152" width="9.875" style="30" customWidth="1"/>
    <col min="6153" max="6156" width="10.75" style="30" customWidth="1"/>
    <col min="6157" max="6158" width="10.75" style="30" bestFit="1" customWidth="1"/>
    <col min="6159" max="6159" width="10.5" style="30" bestFit="1" customWidth="1"/>
    <col min="6160" max="6160" width="10.75" style="30" bestFit="1" customWidth="1"/>
    <col min="6161" max="6161" width="10.75" style="30" customWidth="1"/>
    <col min="6162" max="6162" width="11.5" style="30" bestFit="1" customWidth="1"/>
    <col min="6163" max="6163" width="10.75" style="30" bestFit="1" customWidth="1"/>
    <col min="6164" max="6164" width="9.875" style="30" bestFit="1" customWidth="1"/>
    <col min="6165" max="6165" width="13.375" style="30" bestFit="1" customWidth="1"/>
    <col min="6166" max="6400" width="15.625" style="30"/>
    <col min="6401" max="6401" width="4.625" style="30" customWidth="1"/>
    <col min="6402" max="6402" width="34.125" style="30" customWidth="1"/>
    <col min="6403" max="6404" width="0" style="30" hidden="1" customWidth="1"/>
    <col min="6405" max="6405" width="10.75" style="30" bestFit="1" customWidth="1"/>
    <col min="6406" max="6406" width="10.75" style="30" customWidth="1"/>
    <col min="6407" max="6407" width="11" style="30" customWidth="1"/>
    <col min="6408" max="6408" width="9.875" style="30" customWidth="1"/>
    <col min="6409" max="6412" width="10.75" style="30" customWidth="1"/>
    <col min="6413" max="6414" width="10.75" style="30" bestFit="1" customWidth="1"/>
    <col min="6415" max="6415" width="10.5" style="30" bestFit="1" customWidth="1"/>
    <col min="6416" max="6416" width="10.75" style="30" bestFit="1" customWidth="1"/>
    <col min="6417" max="6417" width="10.75" style="30" customWidth="1"/>
    <col min="6418" max="6418" width="11.5" style="30" bestFit="1" customWidth="1"/>
    <col min="6419" max="6419" width="10.75" style="30" bestFit="1" customWidth="1"/>
    <col min="6420" max="6420" width="9.875" style="30" bestFit="1" customWidth="1"/>
    <col min="6421" max="6421" width="13.375" style="30" bestFit="1" customWidth="1"/>
    <col min="6422" max="6656" width="15.625" style="30"/>
    <col min="6657" max="6657" width="4.625" style="30" customWidth="1"/>
    <col min="6658" max="6658" width="34.125" style="30" customWidth="1"/>
    <col min="6659" max="6660" width="0" style="30" hidden="1" customWidth="1"/>
    <col min="6661" max="6661" width="10.75" style="30" bestFit="1" customWidth="1"/>
    <col min="6662" max="6662" width="10.75" style="30" customWidth="1"/>
    <col min="6663" max="6663" width="11" style="30" customWidth="1"/>
    <col min="6664" max="6664" width="9.875" style="30" customWidth="1"/>
    <col min="6665" max="6668" width="10.75" style="30" customWidth="1"/>
    <col min="6669" max="6670" width="10.75" style="30" bestFit="1" customWidth="1"/>
    <col min="6671" max="6671" width="10.5" style="30" bestFit="1" customWidth="1"/>
    <col min="6672" max="6672" width="10.75" style="30" bestFit="1" customWidth="1"/>
    <col min="6673" max="6673" width="10.75" style="30" customWidth="1"/>
    <col min="6674" max="6674" width="11.5" style="30" bestFit="1" customWidth="1"/>
    <col min="6675" max="6675" width="10.75" style="30" bestFit="1" customWidth="1"/>
    <col min="6676" max="6676" width="9.875" style="30" bestFit="1" customWidth="1"/>
    <col min="6677" max="6677" width="13.375" style="30" bestFit="1" customWidth="1"/>
    <col min="6678" max="6912" width="15.625" style="30"/>
    <col min="6913" max="6913" width="4.625" style="30" customWidth="1"/>
    <col min="6914" max="6914" width="34.125" style="30" customWidth="1"/>
    <col min="6915" max="6916" width="0" style="30" hidden="1" customWidth="1"/>
    <col min="6917" max="6917" width="10.75" style="30" bestFit="1" customWidth="1"/>
    <col min="6918" max="6918" width="10.75" style="30" customWidth="1"/>
    <col min="6919" max="6919" width="11" style="30" customWidth="1"/>
    <col min="6920" max="6920" width="9.875" style="30" customWidth="1"/>
    <col min="6921" max="6924" width="10.75" style="30" customWidth="1"/>
    <col min="6925" max="6926" width="10.75" style="30" bestFit="1" customWidth="1"/>
    <col min="6927" max="6927" width="10.5" style="30" bestFit="1" customWidth="1"/>
    <col min="6928" max="6928" width="10.75" style="30" bestFit="1" customWidth="1"/>
    <col min="6929" max="6929" width="10.75" style="30" customWidth="1"/>
    <col min="6930" max="6930" width="11.5" style="30" bestFit="1" customWidth="1"/>
    <col min="6931" max="6931" width="10.75" style="30" bestFit="1" customWidth="1"/>
    <col min="6932" max="6932" width="9.875" style="30" bestFit="1" customWidth="1"/>
    <col min="6933" max="6933" width="13.375" style="30" bestFit="1" customWidth="1"/>
    <col min="6934" max="7168" width="15.625" style="30"/>
    <col min="7169" max="7169" width="4.625" style="30" customWidth="1"/>
    <col min="7170" max="7170" width="34.125" style="30" customWidth="1"/>
    <col min="7171" max="7172" width="0" style="30" hidden="1" customWidth="1"/>
    <col min="7173" max="7173" width="10.75" style="30" bestFit="1" customWidth="1"/>
    <col min="7174" max="7174" width="10.75" style="30" customWidth="1"/>
    <col min="7175" max="7175" width="11" style="30" customWidth="1"/>
    <col min="7176" max="7176" width="9.875" style="30" customWidth="1"/>
    <col min="7177" max="7180" width="10.75" style="30" customWidth="1"/>
    <col min="7181" max="7182" width="10.75" style="30" bestFit="1" customWidth="1"/>
    <col min="7183" max="7183" width="10.5" style="30" bestFit="1" customWidth="1"/>
    <col min="7184" max="7184" width="10.75" style="30" bestFit="1" customWidth="1"/>
    <col min="7185" max="7185" width="10.75" style="30" customWidth="1"/>
    <col min="7186" max="7186" width="11.5" style="30" bestFit="1" customWidth="1"/>
    <col min="7187" max="7187" width="10.75" style="30" bestFit="1" customWidth="1"/>
    <col min="7188" max="7188" width="9.875" style="30" bestFit="1" customWidth="1"/>
    <col min="7189" max="7189" width="13.375" style="30" bestFit="1" customWidth="1"/>
    <col min="7190" max="7424" width="15.625" style="30"/>
    <col min="7425" max="7425" width="4.625" style="30" customWidth="1"/>
    <col min="7426" max="7426" width="34.125" style="30" customWidth="1"/>
    <col min="7427" max="7428" width="0" style="30" hidden="1" customWidth="1"/>
    <col min="7429" max="7429" width="10.75" style="30" bestFit="1" customWidth="1"/>
    <col min="7430" max="7430" width="10.75" style="30" customWidth="1"/>
    <col min="7431" max="7431" width="11" style="30" customWidth="1"/>
    <col min="7432" max="7432" width="9.875" style="30" customWidth="1"/>
    <col min="7433" max="7436" width="10.75" style="30" customWidth="1"/>
    <col min="7437" max="7438" width="10.75" style="30" bestFit="1" customWidth="1"/>
    <col min="7439" max="7439" width="10.5" style="30" bestFit="1" customWidth="1"/>
    <col min="7440" max="7440" width="10.75" style="30" bestFit="1" customWidth="1"/>
    <col min="7441" max="7441" width="10.75" style="30" customWidth="1"/>
    <col min="7442" max="7442" width="11.5" style="30" bestFit="1" customWidth="1"/>
    <col min="7443" max="7443" width="10.75" style="30" bestFit="1" customWidth="1"/>
    <col min="7444" max="7444" width="9.875" style="30" bestFit="1" customWidth="1"/>
    <col min="7445" max="7445" width="13.375" style="30" bestFit="1" customWidth="1"/>
    <col min="7446" max="7680" width="15.625" style="30"/>
    <col min="7681" max="7681" width="4.625" style="30" customWidth="1"/>
    <col min="7682" max="7682" width="34.125" style="30" customWidth="1"/>
    <col min="7683" max="7684" width="0" style="30" hidden="1" customWidth="1"/>
    <col min="7685" max="7685" width="10.75" style="30" bestFit="1" customWidth="1"/>
    <col min="7686" max="7686" width="10.75" style="30" customWidth="1"/>
    <col min="7687" max="7687" width="11" style="30" customWidth="1"/>
    <col min="7688" max="7688" width="9.875" style="30" customWidth="1"/>
    <col min="7689" max="7692" width="10.75" style="30" customWidth="1"/>
    <col min="7693" max="7694" width="10.75" style="30" bestFit="1" customWidth="1"/>
    <col min="7695" max="7695" width="10.5" style="30" bestFit="1" customWidth="1"/>
    <col min="7696" max="7696" width="10.75" style="30" bestFit="1" customWidth="1"/>
    <col min="7697" max="7697" width="10.75" style="30" customWidth="1"/>
    <col min="7698" max="7698" width="11.5" style="30" bestFit="1" customWidth="1"/>
    <col min="7699" max="7699" width="10.75" style="30" bestFit="1" customWidth="1"/>
    <col min="7700" max="7700" width="9.875" style="30" bestFit="1" customWidth="1"/>
    <col min="7701" max="7701" width="13.375" style="30" bestFit="1" customWidth="1"/>
    <col min="7702" max="7936" width="15.625" style="30"/>
    <col min="7937" max="7937" width="4.625" style="30" customWidth="1"/>
    <col min="7938" max="7938" width="34.125" style="30" customWidth="1"/>
    <col min="7939" max="7940" width="0" style="30" hidden="1" customWidth="1"/>
    <col min="7941" max="7941" width="10.75" style="30" bestFit="1" customWidth="1"/>
    <col min="7942" max="7942" width="10.75" style="30" customWidth="1"/>
    <col min="7943" max="7943" width="11" style="30" customWidth="1"/>
    <col min="7944" max="7944" width="9.875" style="30" customWidth="1"/>
    <col min="7945" max="7948" width="10.75" style="30" customWidth="1"/>
    <col min="7949" max="7950" width="10.75" style="30" bestFit="1" customWidth="1"/>
    <col min="7951" max="7951" width="10.5" style="30" bestFit="1" customWidth="1"/>
    <col min="7952" max="7952" width="10.75" style="30" bestFit="1" customWidth="1"/>
    <col min="7953" max="7953" width="10.75" style="30" customWidth="1"/>
    <col min="7954" max="7954" width="11.5" style="30" bestFit="1" customWidth="1"/>
    <col min="7955" max="7955" width="10.75" style="30" bestFit="1" customWidth="1"/>
    <col min="7956" max="7956" width="9.875" style="30" bestFit="1" customWidth="1"/>
    <col min="7957" max="7957" width="13.375" style="30" bestFit="1" customWidth="1"/>
    <col min="7958" max="8192" width="15.625" style="30"/>
    <col min="8193" max="8193" width="4.625" style="30" customWidth="1"/>
    <col min="8194" max="8194" width="34.125" style="30" customWidth="1"/>
    <col min="8195" max="8196" width="0" style="30" hidden="1" customWidth="1"/>
    <col min="8197" max="8197" width="10.75" style="30" bestFit="1" customWidth="1"/>
    <col min="8198" max="8198" width="10.75" style="30" customWidth="1"/>
    <col min="8199" max="8199" width="11" style="30" customWidth="1"/>
    <col min="8200" max="8200" width="9.875" style="30" customWidth="1"/>
    <col min="8201" max="8204" width="10.75" style="30" customWidth="1"/>
    <col min="8205" max="8206" width="10.75" style="30" bestFit="1" customWidth="1"/>
    <col min="8207" max="8207" width="10.5" style="30" bestFit="1" customWidth="1"/>
    <col min="8208" max="8208" width="10.75" style="30" bestFit="1" customWidth="1"/>
    <col min="8209" max="8209" width="10.75" style="30" customWidth="1"/>
    <col min="8210" max="8210" width="11.5" style="30" bestFit="1" customWidth="1"/>
    <col min="8211" max="8211" width="10.75" style="30" bestFit="1" customWidth="1"/>
    <col min="8212" max="8212" width="9.875" style="30" bestFit="1" customWidth="1"/>
    <col min="8213" max="8213" width="13.375" style="30" bestFit="1" customWidth="1"/>
    <col min="8214" max="8448" width="15.625" style="30"/>
    <col min="8449" max="8449" width="4.625" style="30" customWidth="1"/>
    <col min="8450" max="8450" width="34.125" style="30" customWidth="1"/>
    <col min="8451" max="8452" width="0" style="30" hidden="1" customWidth="1"/>
    <col min="8453" max="8453" width="10.75" style="30" bestFit="1" customWidth="1"/>
    <col min="8454" max="8454" width="10.75" style="30" customWidth="1"/>
    <col min="8455" max="8455" width="11" style="30" customWidth="1"/>
    <col min="8456" max="8456" width="9.875" style="30" customWidth="1"/>
    <col min="8457" max="8460" width="10.75" style="30" customWidth="1"/>
    <col min="8461" max="8462" width="10.75" style="30" bestFit="1" customWidth="1"/>
    <col min="8463" max="8463" width="10.5" style="30" bestFit="1" customWidth="1"/>
    <col min="8464" max="8464" width="10.75" style="30" bestFit="1" customWidth="1"/>
    <col min="8465" max="8465" width="10.75" style="30" customWidth="1"/>
    <col min="8466" max="8466" width="11.5" style="30" bestFit="1" customWidth="1"/>
    <col min="8467" max="8467" width="10.75" style="30" bestFit="1" customWidth="1"/>
    <col min="8468" max="8468" width="9.875" style="30" bestFit="1" customWidth="1"/>
    <col min="8469" max="8469" width="13.375" style="30" bestFit="1" customWidth="1"/>
    <col min="8470" max="8704" width="15.625" style="30"/>
    <col min="8705" max="8705" width="4.625" style="30" customWidth="1"/>
    <col min="8706" max="8706" width="34.125" style="30" customWidth="1"/>
    <col min="8707" max="8708" width="0" style="30" hidden="1" customWidth="1"/>
    <col min="8709" max="8709" width="10.75" style="30" bestFit="1" customWidth="1"/>
    <col min="8710" max="8710" width="10.75" style="30" customWidth="1"/>
    <col min="8711" max="8711" width="11" style="30" customWidth="1"/>
    <col min="8712" max="8712" width="9.875" style="30" customWidth="1"/>
    <col min="8713" max="8716" width="10.75" style="30" customWidth="1"/>
    <col min="8717" max="8718" width="10.75" style="30" bestFit="1" customWidth="1"/>
    <col min="8719" max="8719" width="10.5" style="30" bestFit="1" customWidth="1"/>
    <col min="8720" max="8720" width="10.75" style="30" bestFit="1" customWidth="1"/>
    <col min="8721" max="8721" width="10.75" style="30" customWidth="1"/>
    <col min="8722" max="8722" width="11.5" style="30" bestFit="1" customWidth="1"/>
    <col min="8723" max="8723" width="10.75" style="30" bestFit="1" customWidth="1"/>
    <col min="8724" max="8724" width="9.875" style="30" bestFit="1" customWidth="1"/>
    <col min="8725" max="8725" width="13.375" style="30" bestFit="1" customWidth="1"/>
    <col min="8726" max="8960" width="15.625" style="30"/>
    <col min="8961" max="8961" width="4.625" style="30" customWidth="1"/>
    <col min="8962" max="8962" width="34.125" style="30" customWidth="1"/>
    <col min="8963" max="8964" width="0" style="30" hidden="1" customWidth="1"/>
    <col min="8965" max="8965" width="10.75" style="30" bestFit="1" customWidth="1"/>
    <col min="8966" max="8966" width="10.75" style="30" customWidth="1"/>
    <col min="8967" max="8967" width="11" style="30" customWidth="1"/>
    <col min="8968" max="8968" width="9.875" style="30" customWidth="1"/>
    <col min="8969" max="8972" width="10.75" style="30" customWidth="1"/>
    <col min="8973" max="8974" width="10.75" style="30" bestFit="1" customWidth="1"/>
    <col min="8975" max="8975" width="10.5" style="30" bestFit="1" customWidth="1"/>
    <col min="8976" max="8976" width="10.75" style="30" bestFit="1" customWidth="1"/>
    <col min="8977" max="8977" width="10.75" style="30" customWidth="1"/>
    <col min="8978" max="8978" width="11.5" style="30" bestFit="1" customWidth="1"/>
    <col min="8979" max="8979" width="10.75" style="30" bestFit="1" customWidth="1"/>
    <col min="8980" max="8980" width="9.875" style="30" bestFit="1" customWidth="1"/>
    <col min="8981" max="8981" width="13.375" style="30" bestFit="1" customWidth="1"/>
    <col min="8982" max="9216" width="15.625" style="30"/>
    <col min="9217" max="9217" width="4.625" style="30" customWidth="1"/>
    <col min="9218" max="9218" width="34.125" style="30" customWidth="1"/>
    <col min="9219" max="9220" width="0" style="30" hidden="1" customWidth="1"/>
    <col min="9221" max="9221" width="10.75" style="30" bestFit="1" customWidth="1"/>
    <col min="9222" max="9222" width="10.75" style="30" customWidth="1"/>
    <col min="9223" max="9223" width="11" style="30" customWidth="1"/>
    <col min="9224" max="9224" width="9.875" style="30" customWidth="1"/>
    <col min="9225" max="9228" width="10.75" style="30" customWidth="1"/>
    <col min="9229" max="9230" width="10.75" style="30" bestFit="1" customWidth="1"/>
    <col min="9231" max="9231" width="10.5" style="30" bestFit="1" customWidth="1"/>
    <col min="9232" max="9232" width="10.75" style="30" bestFit="1" customWidth="1"/>
    <col min="9233" max="9233" width="10.75" style="30" customWidth="1"/>
    <col min="9234" max="9234" width="11.5" style="30" bestFit="1" customWidth="1"/>
    <col min="9235" max="9235" width="10.75" style="30" bestFit="1" customWidth="1"/>
    <col min="9236" max="9236" width="9.875" style="30" bestFit="1" customWidth="1"/>
    <col min="9237" max="9237" width="13.375" style="30" bestFit="1" customWidth="1"/>
    <col min="9238" max="9472" width="15.625" style="30"/>
    <col min="9473" max="9473" width="4.625" style="30" customWidth="1"/>
    <col min="9474" max="9474" width="34.125" style="30" customWidth="1"/>
    <col min="9475" max="9476" width="0" style="30" hidden="1" customWidth="1"/>
    <col min="9477" max="9477" width="10.75" style="30" bestFit="1" customWidth="1"/>
    <col min="9478" max="9478" width="10.75" style="30" customWidth="1"/>
    <col min="9479" max="9479" width="11" style="30" customWidth="1"/>
    <col min="9480" max="9480" width="9.875" style="30" customWidth="1"/>
    <col min="9481" max="9484" width="10.75" style="30" customWidth="1"/>
    <col min="9485" max="9486" width="10.75" style="30" bestFit="1" customWidth="1"/>
    <col min="9487" max="9487" width="10.5" style="30" bestFit="1" customWidth="1"/>
    <col min="9488" max="9488" width="10.75" style="30" bestFit="1" customWidth="1"/>
    <col min="9489" max="9489" width="10.75" style="30" customWidth="1"/>
    <col min="9490" max="9490" width="11.5" style="30" bestFit="1" customWidth="1"/>
    <col min="9491" max="9491" width="10.75" style="30" bestFit="1" customWidth="1"/>
    <col min="9492" max="9492" width="9.875" style="30" bestFit="1" customWidth="1"/>
    <col min="9493" max="9493" width="13.375" style="30" bestFit="1" customWidth="1"/>
    <col min="9494" max="9728" width="15.625" style="30"/>
    <col min="9729" max="9729" width="4.625" style="30" customWidth="1"/>
    <col min="9730" max="9730" width="34.125" style="30" customWidth="1"/>
    <col min="9731" max="9732" width="0" style="30" hidden="1" customWidth="1"/>
    <col min="9733" max="9733" width="10.75" style="30" bestFit="1" customWidth="1"/>
    <col min="9734" max="9734" width="10.75" style="30" customWidth="1"/>
    <col min="9735" max="9735" width="11" style="30" customWidth="1"/>
    <col min="9736" max="9736" width="9.875" style="30" customWidth="1"/>
    <col min="9737" max="9740" width="10.75" style="30" customWidth="1"/>
    <col min="9741" max="9742" width="10.75" style="30" bestFit="1" customWidth="1"/>
    <col min="9743" max="9743" width="10.5" style="30" bestFit="1" customWidth="1"/>
    <col min="9744" max="9744" width="10.75" style="30" bestFit="1" customWidth="1"/>
    <col min="9745" max="9745" width="10.75" style="30" customWidth="1"/>
    <col min="9746" max="9746" width="11.5" style="30" bestFit="1" customWidth="1"/>
    <col min="9747" max="9747" width="10.75" style="30" bestFit="1" customWidth="1"/>
    <col min="9748" max="9748" width="9.875" style="30" bestFit="1" customWidth="1"/>
    <col min="9749" max="9749" width="13.375" style="30" bestFit="1" customWidth="1"/>
    <col min="9750" max="9984" width="15.625" style="30"/>
    <col min="9985" max="9985" width="4.625" style="30" customWidth="1"/>
    <col min="9986" max="9986" width="34.125" style="30" customWidth="1"/>
    <col min="9987" max="9988" width="0" style="30" hidden="1" customWidth="1"/>
    <col min="9989" max="9989" width="10.75" style="30" bestFit="1" customWidth="1"/>
    <col min="9990" max="9990" width="10.75" style="30" customWidth="1"/>
    <col min="9991" max="9991" width="11" style="30" customWidth="1"/>
    <col min="9992" max="9992" width="9.875" style="30" customWidth="1"/>
    <col min="9993" max="9996" width="10.75" style="30" customWidth="1"/>
    <col min="9997" max="9998" width="10.75" style="30" bestFit="1" customWidth="1"/>
    <col min="9999" max="9999" width="10.5" style="30" bestFit="1" customWidth="1"/>
    <col min="10000" max="10000" width="10.75" style="30" bestFit="1" customWidth="1"/>
    <col min="10001" max="10001" width="10.75" style="30" customWidth="1"/>
    <col min="10002" max="10002" width="11.5" style="30" bestFit="1" customWidth="1"/>
    <col min="10003" max="10003" width="10.75" style="30" bestFit="1" customWidth="1"/>
    <col min="10004" max="10004" width="9.875" style="30" bestFit="1" customWidth="1"/>
    <col min="10005" max="10005" width="13.375" style="30" bestFit="1" customWidth="1"/>
    <col min="10006" max="10240" width="15.625" style="30"/>
    <col min="10241" max="10241" width="4.625" style="30" customWidth="1"/>
    <col min="10242" max="10242" width="34.125" style="30" customWidth="1"/>
    <col min="10243" max="10244" width="0" style="30" hidden="1" customWidth="1"/>
    <col min="10245" max="10245" width="10.75" style="30" bestFit="1" customWidth="1"/>
    <col min="10246" max="10246" width="10.75" style="30" customWidth="1"/>
    <col min="10247" max="10247" width="11" style="30" customWidth="1"/>
    <col min="10248" max="10248" width="9.875" style="30" customWidth="1"/>
    <col min="10249" max="10252" width="10.75" style="30" customWidth="1"/>
    <col min="10253" max="10254" width="10.75" style="30" bestFit="1" customWidth="1"/>
    <col min="10255" max="10255" width="10.5" style="30" bestFit="1" customWidth="1"/>
    <col min="10256" max="10256" width="10.75" style="30" bestFit="1" customWidth="1"/>
    <col min="10257" max="10257" width="10.75" style="30" customWidth="1"/>
    <col min="10258" max="10258" width="11.5" style="30" bestFit="1" customWidth="1"/>
    <col min="10259" max="10259" width="10.75" style="30" bestFit="1" customWidth="1"/>
    <col min="10260" max="10260" width="9.875" style="30" bestFit="1" customWidth="1"/>
    <col min="10261" max="10261" width="13.375" style="30" bestFit="1" customWidth="1"/>
    <col min="10262" max="10496" width="15.625" style="30"/>
    <col min="10497" max="10497" width="4.625" style="30" customWidth="1"/>
    <col min="10498" max="10498" width="34.125" style="30" customWidth="1"/>
    <col min="10499" max="10500" width="0" style="30" hidden="1" customWidth="1"/>
    <col min="10501" max="10501" width="10.75" style="30" bestFit="1" customWidth="1"/>
    <col min="10502" max="10502" width="10.75" style="30" customWidth="1"/>
    <col min="10503" max="10503" width="11" style="30" customWidth="1"/>
    <col min="10504" max="10504" width="9.875" style="30" customWidth="1"/>
    <col min="10505" max="10508" width="10.75" style="30" customWidth="1"/>
    <col min="10509" max="10510" width="10.75" style="30" bestFit="1" customWidth="1"/>
    <col min="10511" max="10511" width="10.5" style="30" bestFit="1" customWidth="1"/>
    <col min="10512" max="10512" width="10.75" style="30" bestFit="1" customWidth="1"/>
    <col min="10513" max="10513" width="10.75" style="30" customWidth="1"/>
    <col min="10514" max="10514" width="11.5" style="30" bestFit="1" customWidth="1"/>
    <col min="10515" max="10515" width="10.75" style="30" bestFit="1" customWidth="1"/>
    <col min="10516" max="10516" width="9.875" style="30" bestFit="1" customWidth="1"/>
    <col min="10517" max="10517" width="13.375" style="30" bestFit="1" customWidth="1"/>
    <col min="10518" max="10752" width="15.625" style="30"/>
    <col min="10753" max="10753" width="4.625" style="30" customWidth="1"/>
    <col min="10754" max="10754" width="34.125" style="30" customWidth="1"/>
    <col min="10755" max="10756" width="0" style="30" hidden="1" customWidth="1"/>
    <col min="10757" max="10757" width="10.75" style="30" bestFit="1" customWidth="1"/>
    <col min="10758" max="10758" width="10.75" style="30" customWidth="1"/>
    <col min="10759" max="10759" width="11" style="30" customWidth="1"/>
    <col min="10760" max="10760" width="9.875" style="30" customWidth="1"/>
    <col min="10761" max="10764" width="10.75" style="30" customWidth="1"/>
    <col min="10765" max="10766" width="10.75" style="30" bestFit="1" customWidth="1"/>
    <col min="10767" max="10767" width="10.5" style="30" bestFit="1" customWidth="1"/>
    <col min="10768" max="10768" width="10.75" style="30" bestFit="1" customWidth="1"/>
    <col min="10769" max="10769" width="10.75" style="30" customWidth="1"/>
    <col min="10770" max="10770" width="11.5" style="30" bestFit="1" customWidth="1"/>
    <col min="10771" max="10771" width="10.75" style="30" bestFit="1" customWidth="1"/>
    <col min="10772" max="10772" width="9.875" style="30" bestFit="1" customWidth="1"/>
    <col min="10773" max="10773" width="13.375" style="30" bestFit="1" customWidth="1"/>
    <col min="10774" max="11008" width="15.625" style="30"/>
    <col min="11009" max="11009" width="4.625" style="30" customWidth="1"/>
    <col min="11010" max="11010" width="34.125" style="30" customWidth="1"/>
    <col min="11011" max="11012" width="0" style="30" hidden="1" customWidth="1"/>
    <col min="11013" max="11013" width="10.75" style="30" bestFit="1" customWidth="1"/>
    <col min="11014" max="11014" width="10.75" style="30" customWidth="1"/>
    <col min="11015" max="11015" width="11" style="30" customWidth="1"/>
    <col min="11016" max="11016" width="9.875" style="30" customWidth="1"/>
    <col min="11017" max="11020" width="10.75" style="30" customWidth="1"/>
    <col min="11021" max="11022" width="10.75" style="30" bestFit="1" customWidth="1"/>
    <col min="11023" max="11023" width="10.5" style="30" bestFit="1" customWidth="1"/>
    <col min="11024" max="11024" width="10.75" style="30" bestFit="1" customWidth="1"/>
    <col min="11025" max="11025" width="10.75" style="30" customWidth="1"/>
    <col min="11026" max="11026" width="11.5" style="30" bestFit="1" customWidth="1"/>
    <col min="11027" max="11027" width="10.75" style="30" bestFit="1" customWidth="1"/>
    <col min="11028" max="11028" width="9.875" style="30" bestFit="1" customWidth="1"/>
    <col min="11029" max="11029" width="13.375" style="30" bestFit="1" customWidth="1"/>
    <col min="11030" max="11264" width="15.625" style="30"/>
    <col min="11265" max="11265" width="4.625" style="30" customWidth="1"/>
    <col min="11266" max="11266" width="34.125" style="30" customWidth="1"/>
    <col min="11267" max="11268" width="0" style="30" hidden="1" customWidth="1"/>
    <col min="11269" max="11269" width="10.75" style="30" bestFit="1" customWidth="1"/>
    <col min="11270" max="11270" width="10.75" style="30" customWidth="1"/>
    <col min="11271" max="11271" width="11" style="30" customWidth="1"/>
    <col min="11272" max="11272" width="9.875" style="30" customWidth="1"/>
    <col min="11273" max="11276" width="10.75" style="30" customWidth="1"/>
    <col min="11277" max="11278" width="10.75" style="30" bestFit="1" customWidth="1"/>
    <col min="11279" max="11279" width="10.5" style="30" bestFit="1" customWidth="1"/>
    <col min="11280" max="11280" width="10.75" style="30" bestFit="1" customWidth="1"/>
    <col min="11281" max="11281" width="10.75" style="30" customWidth="1"/>
    <col min="11282" max="11282" width="11.5" style="30" bestFit="1" customWidth="1"/>
    <col min="11283" max="11283" width="10.75" style="30" bestFit="1" customWidth="1"/>
    <col min="11284" max="11284" width="9.875" style="30" bestFit="1" customWidth="1"/>
    <col min="11285" max="11285" width="13.375" style="30" bestFit="1" customWidth="1"/>
    <col min="11286" max="11520" width="15.625" style="30"/>
    <col min="11521" max="11521" width="4.625" style="30" customWidth="1"/>
    <col min="11522" max="11522" width="34.125" style="30" customWidth="1"/>
    <col min="11523" max="11524" width="0" style="30" hidden="1" customWidth="1"/>
    <col min="11525" max="11525" width="10.75" style="30" bestFit="1" customWidth="1"/>
    <col min="11526" max="11526" width="10.75" style="30" customWidth="1"/>
    <col min="11527" max="11527" width="11" style="30" customWidth="1"/>
    <col min="11528" max="11528" width="9.875" style="30" customWidth="1"/>
    <col min="11529" max="11532" width="10.75" style="30" customWidth="1"/>
    <col min="11533" max="11534" width="10.75" style="30" bestFit="1" customWidth="1"/>
    <col min="11535" max="11535" width="10.5" style="30" bestFit="1" customWidth="1"/>
    <col min="11536" max="11536" width="10.75" style="30" bestFit="1" customWidth="1"/>
    <col min="11537" max="11537" width="10.75" style="30" customWidth="1"/>
    <col min="11538" max="11538" width="11.5" style="30" bestFit="1" customWidth="1"/>
    <col min="11539" max="11539" width="10.75" style="30" bestFit="1" customWidth="1"/>
    <col min="11540" max="11540" width="9.875" style="30" bestFit="1" customWidth="1"/>
    <col min="11541" max="11541" width="13.375" style="30" bestFit="1" customWidth="1"/>
    <col min="11542" max="11776" width="15.625" style="30"/>
    <col min="11777" max="11777" width="4.625" style="30" customWidth="1"/>
    <col min="11778" max="11778" width="34.125" style="30" customWidth="1"/>
    <col min="11779" max="11780" width="0" style="30" hidden="1" customWidth="1"/>
    <col min="11781" max="11781" width="10.75" style="30" bestFit="1" customWidth="1"/>
    <col min="11782" max="11782" width="10.75" style="30" customWidth="1"/>
    <col min="11783" max="11783" width="11" style="30" customWidth="1"/>
    <col min="11784" max="11784" width="9.875" style="30" customWidth="1"/>
    <col min="11785" max="11788" width="10.75" style="30" customWidth="1"/>
    <col min="11789" max="11790" width="10.75" style="30" bestFit="1" customWidth="1"/>
    <col min="11791" max="11791" width="10.5" style="30" bestFit="1" customWidth="1"/>
    <col min="11792" max="11792" width="10.75" style="30" bestFit="1" customWidth="1"/>
    <col min="11793" max="11793" width="10.75" style="30" customWidth="1"/>
    <col min="11794" max="11794" width="11.5" style="30" bestFit="1" customWidth="1"/>
    <col min="11795" max="11795" width="10.75" style="30" bestFit="1" customWidth="1"/>
    <col min="11796" max="11796" width="9.875" style="30" bestFit="1" customWidth="1"/>
    <col min="11797" max="11797" width="13.375" style="30" bestFit="1" customWidth="1"/>
    <col min="11798" max="12032" width="15.625" style="30"/>
    <col min="12033" max="12033" width="4.625" style="30" customWidth="1"/>
    <col min="12034" max="12034" width="34.125" style="30" customWidth="1"/>
    <col min="12035" max="12036" width="0" style="30" hidden="1" customWidth="1"/>
    <col min="12037" max="12037" width="10.75" style="30" bestFit="1" customWidth="1"/>
    <col min="12038" max="12038" width="10.75" style="30" customWidth="1"/>
    <col min="12039" max="12039" width="11" style="30" customWidth="1"/>
    <col min="12040" max="12040" width="9.875" style="30" customWidth="1"/>
    <col min="12041" max="12044" width="10.75" style="30" customWidth="1"/>
    <col min="12045" max="12046" width="10.75" style="30" bestFit="1" customWidth="1"/>
    <col min="12047" max="12047" width="10.5" style="30" bestFit="1" customWidth="1"/>
    <col min="12048" max="12048" width="10.75" style="30" bestFit="1" customWidth="1"/>
    <col min="12049" max="12049" width="10.75" style="30" customWidth="1"/>
    <col min="12050" max="12050" width="11.5" style="30" bestFit="1" customWidth="1"/>
    <col min="12051" max="12051" width="10.75" style="30" bestFit="1" customWidth="1"/>
    <col min="12052" max="12052" width="9.875" style="30" bestFit="1" customWidth="1"/>
    <col min="12053" max="12053" width="13.375" style="30" bestFit="1" customWidth="1"/>
    <col min="12054" max="12288" width="15.625" style="30"/>
    <col min="12289" max="12289" width="4.625" style="30" customWidth="1"/>
    <col min="12290" max="12290" width="34.125" style="30" customWidth="1"/>
    <col min="12291" max="12292" width="0" style="30" hidden="1" customWidth="1"/>
    <col min="12293" max="12293" width="10.75" style="30" bestFit="1" customWidth="1"/>
    <col min="12294" max="12294" width="10.75" style="30" customWidth="1"/>
    <col min="12295" max="12295" width="11" style="30" customWidth="1"/>
    <col min="12296" max="12296" width="9.875" style="30" customWidth="1"/>
    <col min="12297" max="12300" width="10.75" style="30" customWidth="1"/>
    <col min="12301" max="12302" width="10.75" style="30" bestFit="1" customWidth="1"/>
    <col min="12303" max="12303" width="10.5" style="30" bestFit="1" customWidth="1"/>
    <col min="12304" max="12304" width="10.75" style="30" bestFit="1" customWidth="1"/>
    <col min="12305" max="12305" width="10.75" style="30" customWidth="1"/>
    <col min="12306" max="12306" width="11.5" style="30" bestFit="1" customWidth="1"/>
    <col min="12307" max="12307" width="10.75" style="30" bestFit="1" customWidth="1"/>
    <col min="12308" max="12308" width="9.875" style="30" bestFit="1" customWidth="1"/>
    <col min="12309" max="12309" width="13.375" style="30" bestFit="1" customWidth="1"/>
    <col min="12310" max="12544" width="15.625" style="30"/>
    <col min="12545" max="12545" width="4.625" style="30" customWidth="1"/>
    <col min="12546" max="12546" width="34.125" style="30" customWidth="1"/>
    <col min="12547" max="12548" width="0" style="30" hidden="1" customWidth="1"/>
    <col min="12549" max="12549" width="10.75" style="30" bestFit="1" customWidth="1"/>
    <col min="12550" max="12550" width="10.75" style="30" customWidth="1"/>
    <col min="12551" max="12551" width="11" style="30" customWidth="1"/>
    <col min="12552" max="12552" width="9.875" style="30" customWidth="1"/>
    <col min="12553" max="12556" width="10.75" style="30" customWidth="1"/>
    <col min="12557" max="12558" width="10.75" style="30" bestFit="1" customWidth="1"/>
    <col min="12559" max="12559" width="10.5" style="30" bestFit="1" customWidth="1"/>
    <col min="12560" max="12560" width="10.75" style="30" bestFit="1" customWidth="1"/>
    <col min="12561" max="12561" width="10.75" style="30" customWidth="1"/>
    <col min="12562" max="12562" width="11.5" style="30" bestFit="1" customWidth="1"/>
    <col min="12563" max="12563" width="10.75" style="30" bestFit="1" customWidth="1"/>
    <col min="12564" max="12564" width="9.875" style="30" bestFit="1" customWidth="1"/>
    <col min="12565" max="12565" width="13.375" style="30" bestFit="1" customWidth="1"/>
    <col min="12566" max="12800" width="15.625" style="30"/>
    <col min="12801" max="12801" width="4.625" style="30" customWidth="1"/>
    <col min="12802" max="12802" width="34.125" style="30" customWidth="1"/>
    <col min="12803" max="12804" width="0" style="30" hidden="1" customWidth="1"/>
    <col min="12805" max="12805" width="10.75" style="30" bestFit="1" customWidth="1"/>
    <col min="12806" max="12806" width="10.75" style="30" customWidth="1"/>
    <col min="12807" max="12807" width="11" style="30" customWidth="1"/>
    <col min="12808" max="12808" width="9.875" style="30" customWidth="1"/>
    <col min="12809" max="12812" width="10.75" style="30" customWidth="1"/>
    <col min="12813" max="12814" width="10.75" style="30" bestFit="1" customWidth="1"/>
    <col min="12815" max="12815" width="10.5" style="30" bestFit="1" customWidth="1"/>
    <col min="12816" max="12816" width="10.75" style="30" bestFit="1" customWidth="1"/>
    <col min="12817" max="12817" width="10.75" style="30" customWidth="1"/>
    <col min="12818" max="12818" width="11.5" style="30" bestFit="1" customWidth="1"/>
    <col min="12819" max="12819" width="10.75" style="30" bestFit="1" customWidth="1"/>
    <col min="12820" max="12820" width="9.875" style="30" bestFit="1" customWidth="1"/>
    <col min="12821" max="12821" width="13.375" style="30" bestFit="1" customWidth="1"/>
    <col min="12822" max="13056" width="15.625" style="30"/>
    <col min="13057" max="13057" width="4.625" style="30" customWidth="1"/>
    <col min="13058" max="13058" width="34.125" style="30" customWidth="1"/>
    <col min="13059" max="13060" width="0" style="30" hidden="1" customWidth="1"/>
    <col min="13061" max="13061" width="10.75" style="30" bestFit="1" customWidth="1"/>
    <col min="13062" max="13062" width="10.75" style="30" customWidth="1"/>
    <col min="13063" max="13063" width="11" style="30" customWidth="1"/>
    <col min="13064" max="13064" width="9.875" style="30" customWidth="1"/>
    <col min="13065" max="13068" width="10.75" style="30" customWidth="1"/>
    <col min="13069" max="13070" width="10.75" style="30" bestFit="1" customWidth="1"/>
    <col min="13071" max="13071" width="10.5" style="30" bestFit="1" customWidth="1"/>
    <col min="13072" max="13072" width="10.75" style="30" bestFit="1" customWidth="1"/>
    <col min="13073" max="13073" width="10.75" style="30" customWidth="1"/>
    <col min="13074" max="13074" width="11.5" style="30" bestFit="1" customWidth="1"/>
    <col min="13075" max="13075" width="10.75" style="30" bestFit="1" customWidth="1"/>
    <col min="13076" max="13076" width="9.875" style="30" bestFit="1" customWidth="1"/>
    <col min="13077" max="13077" width="13.375" style="30" bestFit="1" customWidth="1"/>
    <col min="13078" max="13312" width="15.625" style="30"/>
    <col min="13313" max="13313" width="4.625" style="30" customWidth="1"/>
    <col min="13314" max="13314" width="34.125" style="30" customWidth="1"/>
    <col min="13315" max="13316" width="0" style="30" hidden="1" customWidth="1"/>
    <col min="13317" max="13317" width="10.75" style="30" bestFit="1" customWidth="1"/>
    <col min="13318" max="13318" width="10.75" style="30" customWidth="1"/>
    <col min="13319" max="13319" width="11" style="30" customWidth="1"/>
    <col min="13320" max="13320" width="9.875" style="30" customWidth="1"/>
    <col min="13321" max="13324" width="10.75" style="30" customWidth="1"/>
    <col min="13325" max="13326" width="10.75" style="30" bestFit="1" customWidth="1"/>
    <col min="13327" max="13327" width="10.5" style="30" bestFit="1" customWidth="1"/>
    <col min="13328" max="13328" width="10.75" style="30" bestFit="1" customWidth="1"/>
    <col min="13329" max="13329" width="10.75" style="30" customWidth="1"/>
    <col min="13330" max="13330" width="11.5" style="30" bestFit="1" customWidth="1"/>
    <col min="13331" max="13331" width="10.75" style="30" bestFit="1" customWidth="1"/>
    <col min="13332" max="13332" width="9.875" style="30" bestFit="1" customWidth="1"/>
    <col min="13333" max="13333" width="13.375" style="30" bestFit="1" customWidth="1"/>
    <col min="13334" max="13568" width="15.625" style="30"/>
    <col min="13569" max="13569" width="4.625" style="30" customWidth="1"/>
    <col min="13570" max="13570" width="34.125" style="30" customWidth="1"/>
    <col min="13571" max="13572" width="0" style="30" hidden="1" customWidth="1"/>
    <col min="13573" max="13573" width="10.75" style="30" bestFit="1" customWidth="1"/>
    <col min="13574" max="13574" width="10.75" style="30" customWidth="1"/>
    <col min="13575" max="13575" width="11" style="30" customWidth="1"/>
    <col min="13576" max="13576" width="9.875" style="30" customWidth="1"/>
    <col min="13577" max="13580" width="10.75" style="30" customWidth="1"/>
    <col min="13581" max="13582" width="10.75" style="30" bestFit="1" customWidth="1"/>
    <col min="13583" max="13583" width="10.5" style="30" bestFit="1" customWidth="1"/>
    <col min="13584" max="13584" width="10.75" style="30" bestFit="1" customWidth="1"/>
    <col min="13585" max="13585" width="10.75" style="30" customWidth="1"/>
    <col min="13586" max="13586" width="11.5" style="30" bestFit="1" customWidth="1"/>
    <col min="13587" max="13587" width="10.75" style="30" bestFit="1" customWidth="1"/>
    <col min="13588" max="13588" width="9.875" style="30" bestFit="1" customWidth="1"/>
    <col min="13589" max="13589" width="13.375" style="30" bestFit="1" customWidth="1"/>
    <col min="13590" max="13824" width="15.625" style="30"/>
    <col min="13825" max="13825" width="4.625" style="30" customWidth="1"/>
    <col min="13826" max="13826" width="34.125" style="30" customWidth="1"/>
    <col min="13827" max="13828" width="0" style="30" hidden="1" customWidth="1"/>
    <col min="13829" max="13829" width="10.75" style="30" bestFit="1" customWidth="1"/>
    <col min="13830" max="13830" width="10.75" style="30" customWidth="1"/>
    <col min="13831" max="13831" width="11" style="30" customWidth="1"/>
    <col min="13832" max="13832" width="9.875" style="30" customWidth="1"/>
    <col min="13833" max="13836" width="10.75" style="30" customWidth="1"/>
    <col min="13837" max="13838" width="10.75" style="30" bestFit="1" customWidth="1"/>
    <col min="13839" max="13839" width="10.5" style="30" bestFit="1" customWidth="1"/>
    <col min="13840" max="13840" width="10.75" style="30" bestFit="1" customWidth="1"/>
    <col min="13841" max="13841" width="10.75" style="30" customWidth="1"/>
    <col min="13842" max="13842" width="11.5" style="30" bestFit="1" customWidth="1"/>
    <col min="13843" max="13843" width="10.75" style="30" bestFit="1" customWidth="1"/>
    <col min="13844" max="13844" width="9.875" style="30" bestFit="1" customWidth="1"/>
    <col min="13845" max="13845" width="13.375" style="30" bestFit="1" customWidth="1"/>
    <col min="13846" max="14080" width="15.625" style="30"/>
    <col min="14081" max="14081" width="4.625" style="30" customWidth="1"/>
    <col min="14082" max="14082" width="34.125" style="30" customWidth="1"/>
    <col min="14083" max="14084" width="0" style="30" hidden="1" customWidth="1"/>
    <col min="14085" max="14085" width="10.75" style="30" bestFit="1" customWidth="1"/>
    <col min="14086" max="14086" width="10.75" style="30" customWidth="1"/>
    <col min="14087" max="14087" width="11" style="30" customWidth="1"/>
    <col min="14088" max="14088" width="9.875" style="30" customWidth="1"/>
    <col min="14089" max="14092" width="10.75" style="30" customWidth="1"/>
    <col min="14093" max="14094" width="10.75" style="30" bestFit="1" customWidth="1"/>
    <col min="14095" max="14095" width="10.5" style="30" bestFit="1" customWidth="1"/>
    <col min="14096" max="14096" width="10.75" style="30" bestFit="1" customWidth="1"/>
    <col min="14097" max="14097" width="10.75" style="30" customWidth="1"/>
    <col min="14098" max="14098" width="11.5" style="30" bestFit="1" customWidth="1"/>
    <col min="14099" max="14099" width="10.75" style="30" bestFit="1" customWidth="1"/>
    <col min="14100" max="14100" width="9.875" style="30" bestFit="1" customWidth="1"/>
    <col min="14101" max="14101" width="13.375" style="30" bestFit="1" customWidth="1"/>
    <col min="14102" max="14336" width="15.625" style="30"/>
    <col min="14337" max="14337" width="4.625" style="30" customWidth="1"/>
    <col min="14338" max="14338" width="34.125" style="30" customWidth="1"/>
    <col min="14339" max="14340" width="0" style="30" hidden="1" customWidth="1"/>
    <col min="14341" max="14341" width="10.75" style="30" bestFit="1" customWidth="1"/>
    <col min="14342" max="14342" width="10.75" style="30" customWidth="1"/>
    <col min="14343" max="14343" width="11" style="30" customWidth="1"/>
    <col min="14344" max="14344" width="9.875" style="30" customWidth="1"/>
    <col min="14345" max="14348" width="10.75" style="30" customWidth="1"/>
    <col min="14349" max="14350" width="10.75" style="30" bestFit="1" customWidth="1"/>
    <col min="14351" max="14351" width="10.5" style="30" bestFit="1" customWidth="1"/>
    <col min="14352" max="14352" width="10.75" style="30" bestFit="1" customWidth="1"/>
    <col min="14353" max="14353" width="10.75" style="30" customWidth="1"/>
    <col min="14354" max="14354" width="11.5" style="30" bestFit="1" customWidth="1"/>
    <col min="14355" max="14355" width="10.75" style="30" bestFit="1" customWidth="1"/>
    <col min="14356" max="14356" width="9.875" style="30" bestFit="1" customWidth="1"/>
    <col min="14357" max="14357" width="13.375" style="30" bestFit="1" customWidth="1"/>
    <col min="14358" max="14592" width="15.625" style="30"/>
    <col min="14593" max="14593" width="4.625" style="30" customWidth="1"/>
    <col min="14594" max="14594" width="34.125" style="30" customWidth="1"/>
    <col min="14595" max="14596" width="0" style="30" hidden="1" customWidth="1"/>
    <col min="14597" max="14597" width="10.75" style="30" bestFit="1" customWidth="1"/>
    <col min="14598" max="14598" width="10.75" style="30" customWidth="1"/>
    <col min="14599" max="14599" width="11" style="30" customWidth="1"/>
    <col min="14600" max="14600" width="9.875" style="30" customWidth="1"/>
    <col min="14601" max="14604" width="10.75" style="30" customWidth="1"/>
    <col min="14605" max="14606" width="10.75" style="30" bestFit="1" customWidth="1"/>
    <col min="14607" max="14607" width="10.5" style="30" bestFit="1" customWidth="1"/>
    <col min="14608" max="14608" width="10.75" style="30" bestFit="1" customWidth="1"/>
    <col min="14609" max="14609" width="10.75" style="30" customWidth="1"/>
    <col min="14610" max="14610" width="11.5" style="30" bestFit="1" customWidth="1"/>
    <col min="14611" max="14611" width="10.75" style="30" bestFit="1" customWidth="1"/>
    <col min="14612" max="14612" width="9.875" style="30" bestFit="1" customWidth="1"/>
    <col min="14613" max="14613" width="13.375" style="30" bestFit="1" customWidth="1"/>
    <col min="14614" max="14848" width="15.625" style="30"/>
    <col min="14849" max="14849" width="4.625" style="30" customWidth="1"/>
    <col min="14850" max="14850" width="34.125" style="30" customWidth="1"/>
    <col min="14851" max="14852" width="0" style="30" hidden="1" customWidth="1"/>
    <col min="14853" max="14853" width="10.75" style="30" bestFit="1" customWidth="1"/>
    <col min="14854" max="14854" width="10.75" style="30" customWidth="1"/>
    <col min="14855" max="14855" width="11" style="30" customWidth="1"/>
    <col min="14856" max="14856" width="9.875" style="30" customWidth="1"/>
    <col min="14857" max="14860" width="10.75" style="30" customWidth="1"/>
    <col min="14861" max="14862" width="10.75" style="30" bestFit="1" customWidth="1"/>
    <col min="14863" max="14863" width="10.5" style="30" bestFit="1" customWidth="1"/>
    <col min="14864" max="14864" width="10.75" style="30" bestFit="1" customWidth="1"/>
    <col min="14865" max="14865" width="10.75" style="30" customWidth="1"/>
    <col min="14866" max="14866" width="11.5" style="30" bestFit="1" customWidth="1"/>
    <col min="14867" max="14867" width="10.75" style="30" bestFit="1" customWidth="1"/>
    <col min="14868" max="14868" width="9.875" style="30" bestFit="1" customWidth="1"/>
    <col min="14869" max="14869" width="13.375" style="30" bestFit="1" customWidth="1"/>
    <col min="14870" max="15104" width="15.625" style="30"/>
    <col min="15105" max="15105" width="4.625" style="30" customWidth="1"/>
    <col min="15106" max="15106" width="34.125" style="30" customWidth="1"/>
    <col min="15107" max="15108" width="0" style="30" hidden="1" customWidth="1"/>
    <col min="15109" max="15109" width="10.75" style="30" bestFit="1" customWidth="1"/>
    <col min="15110" max="15110" width="10.75" style="30" customWidth="1"/>
    <col min="15111" max="15111" width="11" style="30" customWidth="1"/>
    <col min="15112" max="15112" width="9.875" style="30" customWidth="1"/>
    <col min="15113" max="15116" width="10.75" style="30" customWidth="1"/>
    <col min="15117" max="15118" width="10.75" style="30" bestFit="1" customWidth="1"/>
    <col min="15119" max="15119" width="10.5" style="30" bestFit="1" customWidth="1"/>
    <col min="15120" max="15120" width="10.75" style="30" bestFit="1" customWidth="1"/>
    <col min="15121" max="15121" width="10.75" style="30" customWidth="1"/>
    <col min="15122" max="15122" width="11.5" style="30" bestFit="1" customWidth="1"/>
    <col min="15123" max="15123" width="10.75" style="30" bestFit="1" customWidth="1"/>
    <col min="15124" max="15124" width="9.875" style="30" bestFit="1" customWidth="1"/>
    <col min="15125" max="15125" width="13.375" style="30" bestFit="1" customWidth="1"/>
    <col min="15126" max="15360" width="15.625" style="30"/>
    <col min="15361" max="15361" width="4.625" style="30" customWidth="1"/>
    <col min="15362" max="15362" width="34.125" style="30" customWidth="1"/>
    <col min="15363" max="15364" width="0" style="30" hidden="1" customWidth="1"/>
    <col min="15365" max="15365" width="10.75" style="30" bestFit="1" customWidth="1"/>
    <col min="15366" max="15366" width="10.75" style="30" customWidth="1"/>
    <col min="15367" max="15367" width="11" style="30" customWidth="1"/>
    <col min="15368" max="15368" width="9.875" style="30" customWidth="1"/>
    <col min="15369" max="15372" width="10.75" style="30" customWidth="1"/>
    <col min="15373" max="15374" width="10.75" style="30" bestFit="1" customWidth="1"/>
    <col min="15375" max="15375" width="10.5" style="30" bestFit="1" customWidth="1"/>
    <col min="15376" max="15376" width="10.75" style="30" bestFit="1" customWidth="1"/>
    <col min="15377" max="15377" width="10.75" style="30" customWidth="1"/>
    <col min="15378" max="15378" width="11.5" style="30" bestFit="1" customWidth="1"/>
    <col min="15379" max="15379" width="10.75" style="30" bestFit="1" customWidth="1"/>
    <col min="15380" max="15380" width="9.875" style="30" bestFit="1" customWidth="1"/>
    <col min="15381" max="15381" width="13.375" style="30" bestFit="1" customWidth="1"/>
    <col min="15382" max="15616" width="15.625" style="30"/>
    <col min="15617" max="15617" width="4.625" style="30" customWidth="1"/>
    <col min="15618" max="15618" width="34.125" style="30" customWidth="1"/>
    <col min="15619" max="15620" width="0" style="30" hidden="1" customWidth="1"/>
    <col min="15621" max="15621" width="10.75" style="30" bestFit="1" customWidth="1"/>
    <col min="15622" max="15622" width="10.75" style="30" customWidth="1"/>
    <col min="15623" max="15623" width="11" style="30" customWidth="1"/>
    <col min="15624" max="15624" width="9.875" style="30" customWidth="1"/>
    <col min="15625" max="15628" width="10.75" style="30" customWidth="1"/>
    <col min="15629" max="15630" width="10.75" style="30" bestFit="1" customWidth="1"/>
    <col min="15631" max="15631" width="10.5" style="30" bestFit="1" customWidth="1"/>
    <col min="15632" max="15632" width="10.75" style="30" bestFit="1" customWidth="1"/>
    <col min="15633" max="15633" width="10.75" style="30" customWidth="1"/>
    <col min="15634" max="15634" width="11.5" style="30" bestFit="1" customWidth="1"/>
    <col min="15635" max="15635" width="10.75" style="30" bestFit="1" customWidth="1"/>
    <col min="15636" max="15636" width="9.875" style="30" bestFit="1" customWidth="1"/>
    <col min="15637" max="15637" width="13.375" style="30" bestFit="1" customWidth="1"/>
    <col min="15638" max="15872" width="15.625" style="30"/>
    <col min="15873" max="15873" width="4.625" style="30" customWidth="1"/>
    <col min="15874" max="15874" width="34.125" style="30" customWidth="1"/>
    <col min="15875" max="15876" width="0" style="30" hidden="1" customWidth="1"/>
    <col min="15877" max="15877" width="10.75" style="30" bestFit="1" customWidth="1"/>
    <col min="15878" max="15878" width="10.75" style="30" customWidth="1"/>
    <col min="15879" max="15879" width="11" style="30" customWidth="1"/>
    <col min="15880" max="15880" width="9.875" style="30" customWidth="1"/>
    <col min="15881" max="15884" width="10.75" style="30" customWidth="1"/>
    <col min="15885" max="15886" width="10.75" style="30" bestFit="1" customWidth="1"/>
    <col min="15887" max="15887" width="10.5" style="30" bestFit="1" customWidth="1"/>
    <col min="15888" max="15888" width="10.75" style="30" bestFit="1" customWidth="1"/>
    <col min="15889" max="15889" width="10.75" style="30" customWidth="1"/>
    <col min="15890" max="15890" width="11.5" style="30" bestFit="1" customWidth="1"/>
    <col min="15891" max="15891" width="10.75" style="30" bestFit="1" customWidth="1"/>
    <col min="15892" max="15892" width="9.875" style="30" bestFit="1" customWidth="1"/>
    <col min="15893" max="15893" width="13.375" style="30" bestFit="1" customWidth="1"/>
    <col min="15894" max="16128" width="15.625" style="30"/>
    <col min="16129" max="16129" width="4.625" style="30" customWidth="1"/>
    <col min="16130" max="16130" width="34.125" style="30" customWidth="1"/>
    <col min="16131" max="16132" width="0" style="30" hidden="1" customWidth="1"/>
    <col min="16133" max="16133" width="10.75" style="30" bestFit="1" customWidth="1"/>
    <col min="16134" max="16134" width="10.75" style="30" customWidth="1"/>
    <col min="16135" max="16135" width="11" style="30" customWidth="1"/>
    <col min="16136" max="16136" width="9.875" style="30" customWidth="1"/>
    <col min="16137" max="16140" width="10.75" style="30" customWidth="1"/>
    <col min="16141" max="16142" width="10.75" style="30" bestFit="1" customWidth="1"/>
    <col min="16143" max="16143" width="10.5" style="30" bestFit="1" customWidth="1"/>
    <col min="16144" max="16144" width="10.75" style="30" bestFit="1" customWidth="1"/>
    <col min="16145" max="16145" width="10.75" style="30" customWidth="1"/>
    <col min="16146" max="16146" width="11.5" style="30" bestFit="1" customWidth="1"/>
    <col min="16147" max="16147" width="10.75" style="30" bestFit="1" customWidth="1"/>
    <col min="16148" max="16148" width="9.875" style="30" bestFit="1" customWidth="1"/>
    <col min="16149" max="16149" width="13.375" style="30" bestFit="1" customWidth="1"/>
    <col min="16150" max="16384" width="15.625" style="30"/>
  </cols>
  <sheetData>
    <row r="1" spans="1:23" ht="25.5">
      <c r="A1" s="219" t="s">
        <v>177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</row>
    <row r="2" spans="1:23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93" t="s">
        <v>485</v>
      </c>
      <c r="F2" s="93" t="s">
        <v>486</v>
      </c>
      <c r="G2" s="93" t="s">
        <v>487</v>
      </c>
      <c r="H2" s="32" t="s">
        <v>488</v>
      </c>
      <c r="I2" s="32" t="s">
        <v>489</v>
      </c>
      <c r="J2" s="93" t="s">
        <v>57</v>
      </c>
      <c r="K2" s="93" t="s">
        <v>490</v>
      </c>
      <c r="L2" s="32" t="s">
        <v>491</v>
      </c>
      <c r="M2" s="93" t="s">
        <v>524</v>
      </c>
      <c r="N2" s="32" t="s">
        <v>492</v>
      </c>
      <c r="O2" s="93" t="s">
        <v>525</v>
      </c>
      <c r="P2" s="32" t="s">
        <v>526</v>
      </c>
      <c r="Q2" s="93" t="s">
        <v>65</v>
      </c>
      <c r="R2" s="32" t="s">
        <v>493</v>
      </c>
      <c r="S2" s="32" t="s">
        <v>67</v>
      </c>
      <c r="T2" s="32" t="s">
        <v>527</v>
      </c>
      <c r="U2" s="32" t="s">
        <v>528</v>
      </c>
      <c r="V2" s="32" t="s">
        <v>25</v>
      </c>
    </row>
    <row r="3" spans="1:23" ht="11.25">
      <c r="A3" s="33" t="s">
        <v>181</v>
      </c>
      <c r="B3" s="34" t="s">
        <v>182</v>
      </c>
      <c r="C3" s="34"/>
      <c r="D3" s="35" t="s">
        <v>183</v>
      </c>
      <c r="E3" s="36">
        <f>E4+E31+E52</f>
        <v>31174976.399999999</v>
      </c>
      <c r="F3" s="36">
        <f t="shared" ref="F3:U3" si="0">F4+F31+F52</f>
        <v>30149544.600000001</v>
      </c>
      <c r="G3" s="36">
        <f t="shared" si="0"/>
        <v>21593989.899999999</v>
      </c>
      <c r="H3" s="36">
        <f t="shared" si="0"/>
        <v>8730639.5899999999</v>
      </c>
      <c r="I3" s="36">
        <f t="shared" si="0"/>
        <v>31959333.850000001</v>
      </c>
      <c r="J3" s="36">
        <f t="shared" si="0"/>
        <v>27508919.300000001</v>
      </c>
      <c r="K3" s="36">
        <f t="shared" si="0"/>
        <v>29853472</v>
      </c>
      <c r="L3" s="36">
        <f t="shared" si="0"/>
        <v>14225102.15</v>
      </c>
      <c r="M3" s="36">
        <f t="shared" si="0"/>
        <v>16670463.550000001</v>
      </c>
      <c r="N3" s="36">
        <f t="shared" si="0"/>
        <v>18890007.75</v>
      </c>
      <c r="O3" s="36">
        <f t="shared" si="0"/>
        <v>21458405.699999999</v>
      </c>
      <c r="P3" s="36">
        <f t="shared" si="0"/>
        <v>21941384.100000001</v>
      </c>
      <c r="Q3" s="36">
        <f t="shared" si="0"/>
        <v>10396663.800000001</v>
      </c>
      <c r="R3" s="36">
        <f t="shared" si="0"/>
        <v>7210106.4500000002</v>
      </c>
      <c r="S3" s="36">
        <f t="shared" si="0"/>
        <v>13486895.92</v>
      </c>
      <c r="T3" s="36">
        <f>T4+T31+T52</f>
        <v>4070570</v>
      </c>
      <c r="U3" s="36">
        <f t="shared" si="0"/>
        <v>2247676</v>
      </c>
      <c r="V3" s="94">
        <f t="shared" ref="V3:V66" si="1">SUM(E3:U3)</f>
        <v>311568151.06000006</v>
      </c>
      <c r="W3" s="95"/>
    </row>
    <row r="4" spans="1:23" ht="11.25">
      <c r="A4" s="33" t="s">
        <v>184</v>
      </c>
      <c r="B4" s="34" t="s">
        <v>128</v>
      </c>
      <c r="C4" s="34"/>
      <c r="D4" s="35" t="s">
        <v>183</v>
      </c>
      <c r="E4" s="36">
        <f>E5+E8+E13+E17+E20+E22+E25+E27+E29+E30</f>
        <v>27222441</v>
      </c>
      <c r="F4" s="36">
        <f t="shared" ref="F4:U4" si="2">F5+F8+F13+F17+F20+F22+F25+F27+F29+F30</f>
        <v>26351934</v>
      </c>
      <c r="G4" s="36">
        <f t="shared" si="2"/>
        <v>18947527</v>
      </c>
      <c r="H4" s="36">
        <f t="shared" si="2"/>
        <v>5994613.2000000002</v>
      </c>
      <c r="I4" s="36">
        <f t="shared" si="2"/>
        <v>26036705</v>
      </c>
      <c r="J4" s="36">
        <f t="shared" si="2"/>
        <v>23251644</v>
      </c>
      <c r="K4" s="36">
        <f t="shared" si="2"/>
        <v>25042064</v>
      </c>
      <c r="L4" s="36">
        <f t="shared" si="2"/>
        <v>11877178</v>
      </c>
      <c r="M4" s="36">
        <f t="shared" si="2"/>
        <v>14201550</v>
      </c>
      <c r="N4" s="36">
        <f t="shared" si="2"/>
        <v>16317131</v>
      </c>
      <c r="O4" s="36">
        <f t="shared" si="2"/>
        <v>18254619</v>
      </c>
      <c r="P4" s="36">
        <f t="shared" si="2"/>
        <v>18328075.300000001</v>
      </c>
      <c r="Q4" s="36">
        <f t="shared" si="2"/>
        <v>8237667</v>
      </c>
      <c r="R4" s="36">
        <f t="shared" si="2"/>
        <v>6091000</v>
      </c>
      <c r="S4" s="36">
        <f t="shared" si="2"/>
        <v>11308580</v>
      </c>
      <c r="T4" s="36">
        <f t="shared" si="2"/>
        <v>2977410</v>
      </c>
      <c r="U4" s="36">
        <f t="shared" si="2"/>
        <v>1782476</v>
      </c>
      <c r="V4" s="94">
        <f t="shared" si="1"/>
        <v>262222614.5</v>
      </c>
    </row>
    <row r="5" spans="1:23" ht="11.25">
      <c r="A5" s="33" t="s">
        <v>185</v>
      </c>
      <c r="B5" s="34" t="s">
        <v>186</v>
      </c>
      <c r="C5" s="34"/>
      <c r="D5" s="35" t="s">
        <v>183</v>
      </c>
      <c r="E5" s="36">
        <f>E6+E7</f>
        <v>3898176</v>
      </c>
      <c r="F5" s="36">
        <f t="shared" ref="F5:U5" si="3">F6+F7</f>
        <v>3535752</v>
      </c>
      <c r="G5" s="36">
        <f t="shared" si="3"/>
        <v>2280888</v>
      </c>
      <c r="H5" s="36">
        <f t="shared" si="3"/>
        <v>1016352</v>
      </c>
      <c r="I5" s="36">
        <f t="shared" si="3"/>
        <v>4006668</v>
      </c>
      <c r="J5" s="36">
        <f t="shared" si="3"/>
        <v>3170268</v>
      </c>
      <c r="K5" s="36">
        <f t="shared" si="3"/>
        <v>2937744</v>
      </c>
      <c r="L5" s="36">
        <f t="shared" si="3"/>
        <v>1313712</v>
      </c>
      <c r="M5" s="36">
        <f t="shared" si="3"/>
        <v>1581924</v>
      </c>
      <c r="N5" s="36">
        <f t="shared" si="3"/>
        <v>2168304</v>
      </c>
      <c r="O5" s="36">
        <f t="shared" si="3"/>
        <v>2305728</v>
      </c>
      <c r="P5" s="36">
        <f t="shared" si="3"/>
        <v>2057110.6</v>
      </c>
      <c r="Q5" s="36">
        <f t="shared" si="3"/>
        <v>957552</v>
      </c>
      <c r="R5" s="36">
        <f t="shared" si="3"/>
        <v>748560</v>
      </c>
      <c r="S5" s="36">
        <f t="shared" si="3"/>
        <v>1305636</v>
      </c>
      <c r="T5" s="36">
        <f t="shared" si="3"/>
        <v>404688</v>
      </c>
      <c r="U5" s="36">
        <f t="shared" si="3"/>
        <v>253980</v>
      </c>
      <c r="V5" s="94">
        <f t="shared" si="1"/>
        <v>33943042.600000001</v>
      </c>
    </row>
    <row r="6" spans="1:23" ht="11.25">
      <c r="A6" s="33" t="s">
        <v>187</v>
      </c>
      <c r="B6" s="34" t="s">
        <v>188</v>
      </c>
      <c r="C6" s="34" t="s">
        <v>189</v>
      </c>
      <c r="D6" s="35" t="s">
        <v>190</v>
      </c>
      <c r="E6" s="96">
        <f>185411*12</f>
        <v>2224932</v>
      </c>
      <c r="F6" s="37">
        <v>2068800</v>
      </c>
      <c r="G6" s="96">
        <v>1530684</v>
      </c>
      <c r="H6" s="37">
        <v>512712</v>
      </c>
      <c r="I6" s="37">
        <v>2064012</v>
      </c>
      <c r="J6" s="96">
        <v>1851804</v>
      </c>
      <c r="K6" s="96">
        <v>2032584</v>
      </c>
      <c r="L6" s="37">
        <v>894636</v>
      </c>
      <c r="M6" s="96">
        <f>92545*12</f>
        <v>1110540</v>
      </c>
      <c r="N6" s="96">
        <v>1382748</v>
      </c>
      <c r="O6" s="96">
        <v>1519716</v>
      </c>
      <c r="P6" s="37">
        <f>'[1]基本支出（学校）'!$E$6</f>
        <v>1415976.5</v>
      </c>
      <c r="Q6" s="96">
        <f>56186*12</f>
        <v>674232</v>
      </c>
      <c r="R6" s="37">
        <v>505836</v>
      </c>
      <c r="S6" s="37">
        <v>908952</v>
      </c>
      <c r="T6" s="89">
        <v>266772</v>
      </c>
      <c r="U6" s="37">
        <v>131448</v>
      </c>
      <c r="V6" s="94">
        <f t="shared" si="1"/>
        <v>21096384.5</v>
      </c>
    </row>
    <row r="7" spans="1:23" ht="11.25">
      <c r="A7" s="33" t="s">
        <v>191</v>
      </c>
      <c r="B7" s="34" t="s">
        <v>192</v>
      </c>
      <c r="C7" s="34" t="s">
        <v>189</v>
      </c>
      <c r="D7" s="35" t="s">
        <v>190</v>
      </c>
      <c r="E7" s="96">
        <f>139437*12</f>
        <v>1673244</v>
      </c>
      <c r="F7" s="37">
        <v>1466952</v>
      </c>
      <c r="G7" s="96">
        <v>750204</v>
      </c>
      <c r="H7" s="37">
        <v>503640</v>
      </c>
      <c r="I7" s="37">
        <v>1942656</v>
      </c>
      <c r="J7" s="96">
        <v>1318464</v>
      </c>
      <c r="K7" s="96">
        <v>905160</v>
      </c>
      <c r="L7" s="37">
        <v>419076</v>
      </c>
      <c r="M7" s="96">
        <f>39282*12</f>
        <v>471384</v>
      </c>
      <c r="N7" s="96">
        <v>785556</v>
      </c>
      <c r="O7" s="96">
        <v>786012</v>
      </c>
      <c r="P7" s="37">
        <f>'[1]基本支出（学校）'!$E$7</f>
        <v>641134.1</v>
      </c>
      <c r="Q7" s="96">
        <f>23610*12</f>
        <v>283320</v>
      </c>
      <c r="R7" s="37">
        <v>242724</v>
      </c>
      <c r="S7" s="37">
        <v>396684</v>
      </c>
      <c r="T7" s="89">
        <v>137916</v>
      </c>
      <c r="U7" s="37">
        <v>122532</v>
      </c>
      <c r="V7" s="94">
        <f t="shared" si="1"/>
        <v>12846658.1</v>
      </c>
    </row>
    <row r="8" spans="1:23" ht="11.25">
      <c r="A8" s="33" t="s">
        <v>193</v>
      </c>
      <c r="B8" s="34" t="s">
        <v>194</v>
      </c>
      <c r="C8" s="34"/>
      <c r="D8" s="35" t="s">
        <v>183</v>
      </c>
      <c r="E8" s="36">
        <f>E9+E10</f>
        <v>471396</v>
      </c>
      <c r="F8" s="36">
        <f t="shared" ref="F8:U8" si="4">F9+F10</f>
        <v>454200</v>
      </c>
      <c r="G8" s="36">
        <f t="shared" si="4"/>
        <v>328896</v>
      </c>
      <c r="H8" s="36">
        <f t="shared" si="4"/>
        <v>98496</v>
      </c>
      <c r="I8" s="36">
        <f t="shared" si="4"/>
        <v>460356</v>
      </c>
      <c r="J8" s="36">
        <f t="shared" si="4"/>
        <v>421656</v>
      </c>
      <c r="K8" s="36">
        <f t="shared" si="4"/>
        <v>471822</v>
      </c>
      <c r="L8" s="36">
        <f t="shared" si="4"/>
        <v>214848</v>
      </c>
      <c r="M8" s="36">
        <f t="shared" si="4"/>
        <v>258216</v>
      </c>
      <c r="N8" s="36">
        <f t="shared" si="4"/>
        <v>310416</v>
      </c>
      <c r="O8" s="36">
        <f t="shared" si="4"/>
        <v>345636</v>
      </c>
      <c r="P8" s="36">
        <f t="shared" si="4"/>
        <v>365419.7</v>
      </c>
      <c r="Q8" s="36">
        <f t="shared" si="4"/>
        <v>161316</v>
      </c>
      <c r="R8" s="36">
        <f t="shared" si="4"/>
        <v>118632</v>
      </c>
      <c r="S8" s="36">
        <f t="shared" si="4"/>
        <v>220428</v>
      </c>
      <c r="T8" s="36">
        <f t="shared" si="4"/>
        <v>59352</v>
      </c>
      <c r="U8" s="36">
        <f t="shared" si="4"/>
        <v>32352</v>
      </c>
      <c r="V8" s="94">
        <f t="shared" si="1"/>
        <v>4793437.7</v>
      </c>
    </row>
    <row r="9" spans="1:23" ht="11.25">
      <c r="A9" s="33" t="s">
        <v>195</v>
      </c>
      <c r="B9" s="34" t="s">
        <v>196</v>
      </c>
      <c r="C9" s="34" t="s">
        <v>189</v>
      </c>
      <c r="D9" s="35" t="s">
        <v>190</v>
      </c>
      <c r="E9" s="96">
        <f>481*12</f>
        <v>5772</v>
      </c>
      <c r="F9" s="37">
        <v>4632</v>
      </c>
      <c r="G9" s="96">
        <v>2424</v>
      </c>
      <c r="H9" s="37">
        <v>2160</v>
      </c>
      <c r="I9" s="37">
        <v>16140</v>
      </c>
      <c r="J9" s="96">
        <v>4200</v>
      </c>
      <c r="K9" s="96">
        <v>11550</v>
      </c>
      <c r="L9" s="37">
        <v>768</v>
      </c>
      <c r="M9" s="96">
        <f>110*12</f>
        <v>1320</v>
      </c>
      <c r="N9" s="37"/>
      <c r="O9" s="96">
        <v>3108</v>
      </c>
      <c r="P9" s="37">
        <f>'[1]基本支出（学校）'!$E$9</f>
        <v>22891.699999999997</v>
      </c>
      <c r="Q9" s="96">
        <f>63*12</f>
        <v>756</v>
      </c>
      <c r="R9" s="37">
        <v>888</v>
      </c>
      <c r="S9" s="37">
        <v>996</v>
      </c>
      <c r="T9" s="89">
        <v>480</v>
      </c>
      <c r="U9" s="37">
        <v>240</v>
      </c>
      <c r="V9" s="94">
        <f t="shared" si="1"/>
        <v>78325.7</v>
      </c>
    </row>
    <row r="10" spans="1:23" ht="11.25">
      <c r="A10" s="33" t="s">
        <v>197</v>
      </c>
      <c r="B10" s="34" t="s">
        <v>198</v>
      </c>
      <c r="C10" s="34"/>
      <c r="D10" s="35" t="s">
        <v>183</v>
      </c>
      <c r="E10" s="36">
        <f>E11+E12</f>
        <v>465624</v>
      </c>
      <c r="F10" s="36">
        <f t="shared" ref="F10:U10" si="5">F11+F12</f>
        <v>449568</v>
      </c>
      <c r="G10" s="36">
        <f t="shared" si="5"/>
        <v>326472</v>
      </c>
      <c r="H10" s="36">
        <f t="shared" si="5"/>
        <v>96336</v>
      </c>
      <c r="I10" s="36">
        <f t="shared" si="5"/>
        <v>444216</v>
      </c>
      <c r="J10" s="36">
        <f t="shared" si="5"/>
        <v>417456</v>
      </c>
      <c r="K10" s="36">
        <f t="shared" si="5"/>
        <v>460272</v>
      </c>
      <c r="L10" s="36">
        <f t="shared" si="5"/>
        <v>214080</v>
      </c>
      <c r="M10" s="36">
        <f t="shared" si="5"/>
        <v>256896</v>
      </c>
      <c r="N10" s="36">
        <f t="shared" si="5"/>
        <v>310416</v>
      </c>
      <c r="O10" s="36">
        <f t="shared" si="5"/>
        <v>342528</v>
      </c>
      <c r="P10" s="36">
        <f t="shared" si="5"/>
        <v>342528</v>
      </c>
      <c r="Q10" s="36">
        <f t="shared" si="5"/>
        <v>160560</v>
      </c>
      <c r="R10" s="36">
        <f t="shared" si="5"/>
        <v>117744</v>
      </c>
      <c r="S10" s="36">
        <f t="shared" si="5"/>
        <v>219432</v>
      </c>
      <c r="T10" s="36">
        <f t="shared" si="5"/>
        <v>58872</v>
      </c>
      <c r="U10" s="36">
        <f t="shared" si="5"/>
        <v>32112</v>
      </c>
      <c r="V10" s="94">
        <f t="shared" si="1"/>
        <v>4715112</v>
      </c>
    </row>
    <row r="11" spans="1:23" s="40" customFormat="1" ht="11.25">
      <c r="A11" s="33" t="s">
        <v>199</v>
      </c>
      <c r="B11" s="38" t="s">
        <v>200</v>
      </c>
      <c r="C11" s="38" t="s">
        <v>189</v>
      </c>
      <c r="D11" s="39" t="s">
        <v>183</v>
      </c>
      <c r="E11" s="97">
        <f>72*E96</f>
        <v>6264</v>
      </c>
      <c r="F11" s="97">
        <f>72*F96</f>
        <v>6048</v>
      </c>
      <c r="G11" s="98">
        <v>4392</v>
      </c>
      <c r="H11" s="97">
        <f>72*H96</f>
        <v>1296</v>
      </c>
      <c r="I11" s="36">
        <f>72*I96</f>
        <v>5976</v>
      </c>
      <c r="J11" s="99">
        <v>5616</v>
      </c>
      <c r="K11" s="99">
        <v>6192</v>
      </c>
      <c r="L11" s="97">
        <f>72*L96</f>
        <v>2880</v>
      </c>
      <c r="M11" s="97">
        <f>72*M96</f>
        <v>3456</v>
      </c>
      <c r="N11" s="97">
        <f>72*N96</f>
        <v>4176</v>
      </c>
      <c r="O11" s="98">
        <v>4608</v>
      </c>
      <c r="P11" s="36">
        <f>72*P96</f>
        <v>4608</v>
      </c>
      <c r="Q11" s="98">
        <f>6*30*12</f>
        <v>2160</v>
      </c>
      <c r="R11" s="36">
        <f>72*R96</f>
        <v>1584</v>
      </c>
      <c r="S11" s="36">
        <f>72*S96</f>
        <v>2952</v>
      </c>
      <c r="T11" s="36">
        <f>72*T96</f>
        <v>792</v>
      </c>
      <c r="U11" s="36">
        <f>72*U96</f>
        <v>432</v>
      </c>
      <c r="V11" s="94">
        <f t="shared" si="1"/>
        <v>63432</v>
      </c>
    </row>
    <row r="12" spans="1:23" s="40" customFormat="1" ht="11.25">
      <c r="A12" s="33" t="s">
        <v>201</v>
      </c>
      <c r="B12" s="38" t="s">
        <v>202</v>
      </c>
      <c r="C12" s="38" t="s">
        <v>189</v>
      </c>
      <c r="D12" s="39" t="s">
        <v>183</v>
      </c>
      <c r="E12" s="97">
        <f>440*12*E96</f>
        <v>459360</v>
      </c>
      <c r="F12" s="97">
        <f>440*12*F96</f>
        <v>443520</v>
      </c>
      <c r="G12" s="98">
        <v>322080</v>
      </c>
      <c r="H12" s="97">
        <f>440*12*H96</f>
        <v>95040</v>
      </c>
      <c r="I12" s="36">
        <f>440*12*I96</f>
        <v>438240</v>
      </c>
      <c r="J12" s="99">
        <v>411840</v>
      </c>
      <c r="K12" s="99">
        <v>454080</v>
      </c>
      <c r="L12" s="97">
        <f>440*12*L96</f>
        <v>211200</v>
      </c>
      <c r="M12" s="97">
        <f>440*12*M96</f>
        <v>253440</v>
      </c>
      <c r="N12" s="97">
        <f>440*12*N96</f>
        <v>306240</v>
      </c>
      <c r="O12" s="98">
        <v>337920</v>
      </c>
      <c r="P12" s="36">
        <f>440*12*P96</f>
        <v>337920</v>
      </c>
      <c r="Q12" s="98">
        <f>440*30*12</f>
        <v>158400</v>
      </c>
      <c r="R12" s="36">
        <f>440*12*R96</f>
        <v>116160</v>
      </c>
      <c r="S12" s="36">
        <f>440*12*S96</f>
        <v>216480</v>
      </c>
      <c r="T12" s="36">
        <f>440*12*T96</f>
        <v>58080</v>
      </c>
      <c r="U12" s="36">
        <f>440*12*U96</f>
        <v>31680</v>
      </c>
      <c r="V12" s="94">
        <f t="shared" si="1"/>
        <v>4651680</v>
      </c>
    </row>
    <row r="13" spans="1:23" ht="11.25">
      <c r="A13" s="33" t="s">
        <v>203</v>
      </c>
      <c r="B13" s="34" t="s">
        <v>204</v>
      </c>
      <c r="C13" s="34"/>
      <c r="D13" s="35" t="s">
        <v>205</v>
      </c>
      <c r="E13" s="100">
        <f>E14+E15+E16</f>
        <v>424998</v>
      </c>
      <c r="F13" s="100">
        <f t="shared" ref="F13:U13" si="6">F14+F15+F16</f>
        <v>425982</v>
      </c>
      <c r="G13" s="100">
        <f t="shared" si="6"/>
        <v>314538</v>
      </c>
      <c r="H13" s="100">
        <f t="shared" si="6"/>
        <v>95908.799999999988</v>
      </c>
      <c r="I13" s="100">
        <f t="shared" si="6"/>
        <v>393222</v>
      </c>
      <c r="J13" s="100">
        <f t="shared" si="6"/>
        <v>337398</v>
      </c>
      <c r="K13" s="100">
        <f t="shared" si="6"/>
        <v>369708</v>
      </c>
      <c r="L13" s="100">
        <f t="shared" si="6"/>
        <v>187061.99999999997</v>
      </c>
      <c r="M13" s="100">
        <f t="shared" si="6"/>
        <v>221478.00000000003</v>
      </c>
      <c r="N13" s="100">
        <f t="shared" si="6"/>
        <v>244129</v>
      </c>
      <c r="O13" s="100">
        <f t="shared" si="6"/>
        <v>286925</v>
      </c>
      <c r="P13" s="100">
        <f t="shared" si="6"/>
        <v>302835</v>
      </c>
      <c r="Q13" s="100">
        <f t="shared" si="6"/>
        <v>124221</v>
      </c>
      <c r="R13" s="100">
        <f t="shared" si="6"/>
        <v>91272</v>
      </c>
      <c r="S13" s="100">
        <f t="shared" si="6"/>
        <v>172584</v>
      </c>
      <c r="T13" s="100">
        <f>T14+T15+T16</f>
        <v>40450</v>
      </c>
      <c r="U13" s="100">
        <f t="shared" si="6"/>
        <v>29150</v>
      </c>
      <c r="V13" s="94">
        <f t="shared" si="1"/>
        <v>4061860.8</v>
      </c>
    </row>
    <row r="14" spans="1:23" s="105" customFormat="1" ht="11.25">
      <c r="A14" s="101" t="s">
        <v>206</v>
      </c>
      <c r="B14" s="102" t="s">
        <v>207</v>
      </c>
      <c r="C14" s="102" t="s">
        <v>189</v>
      </c>
      <c r="D14" s="103" t="s">
        <v>208</v>
      </c>
      <c r="E14" s="100">
        <f>E16*3</f>
        <v>254998.80000000002</v>
      </c>
      <c r="F14" s="100">
        <f t="shared" ref="F14:U14" si="7">F16*3</f>
        <v>255589.19999999998</v>
      </c>
      <c r="G14" s="100">
        <f t="shared" si="7"/>
        <v>188722.80000000002</v>
      </c>
      <c r="H14" s="100">
        <f t="shared" si="7"/>
        <v>57545.279999999999</v>
      </c>
      <c r="I14" s="100">
        <f>I16*3</f>
        <v>235933.19999999998</v>
      </c>
      <c r="J14" s="100">
        <f t="shared" si="7"/>
        <v>202438.80000000002</v>
      </c>
      <c r="K14" s="100">
        <f t="shared" si="7"/>
        <v>221824.80000000002</v>
      </c>
      <c r="L14" s="100">
        <f t="shared" si="7"/>
        <v>112237.19999999998</v>
      </c>
      <c r="M14" s="100">
        <f t="shared" si="7"/>
        <v>132886.80000000002</v>
      </c>
      <c r="N14" s="100">
        <f t="shared" si="7"/>
        <v>146477.40000000002</v>
      </c>
      <c r="O14" s="100">
        <f t="shared" si="7"/>
        <v>172155</v>
      </c>
      <c r="P14" s="100">
        <f t="shared" si="7"/>
        <v>181701</v>
      </c>
      <c r="Q14" s="100">
        <f t="shared" si="7"/>
        <v>74532.600000000006</v>
      </c>
      <c r="R14" s="100">
        <f t="shared" si="7"/>
        <v>54763.200000000004</v>
      </c>
      <c r="S14" s="100">
        <f t="shared" si="7"/>
        <v>103550.40000000001</v>
      </c>
      <c r="T14" s="100">
        <f t="shared" si="7"/>
        <v>24270</v>
      </c>
      <c r="U14" s="100">
        <f t="shared" si="7"/>
        <v>17490</v>
      </c>
      <c r="V14" s="104">
        <f t="shared" si="1"/>
        <v>2437116.4800000004</v>
      </c>
    </row>
    <row r="15" spans="1:23" s="105" customFormat="1" ht="11.25">
      <c r="A15" s="101" t="s">
        <v>209</v>
      </c>
      <c r="B15" s="102" t="s">
        <v>210</v>
      </c>
      <c r="C15" s="102" t="s">
        <v>189</v>
      </c>
      <c r="D15" s="103" t="s">
        <v>208</v>
      </c>
      <c r="E15" s="106">
        <f>E16</f>
        <v>84999.6</v>
      </c>
      <c r="F15" s="107">
        <f t="shared" ref="F15:U15" si="8">F16</f>
        <v>85196.4</v>
      </c>
      <c r="G15" s="107">
        <f t="shared" si="8"/>
        <v>62907.600000000006</v>
      </c>
      <c r="H15" s="100">
        <f t="shared" si="8"/>
        <v>19181.759999999998</v>
      </c>
      <c r="I15" s="100">
        <f>I16</f>
        <v>78644.399999999994</v>
      </c>
      <c r="J15" s="100">
        <f t="shared" si="8"/>
        <v>67479.600000000006</v>
      </c>
      <c r="K15" s="100">
        <f t="shared" si="8"/>
        <v>73941.600000000006</v>
      </c>
      <c r="L15" s="100">
        <f t="shared" si="8"/>
        <v>37412.399999999994</v>
      </c>
      <c r="M15" s="107">
        <f t="shared" si="8"/>
        <v>44295.600000000006</v>
      </c>
      <c r="N15" s="107">
        <f t="shared" si="8"/>
        <v>48825.8</v>
      </c>
      <c r="O15" s="100">
        <f t="shared" si="8"/>
        <v>57385</v>
      </c>
      <c r="P15" s="100">
        <f t="shared" si="8"/>
        <v>60567</v>
      </c>
      <c r="Q15" s="100">
        <f t="shared" si="8"/>
        <v>24844.2</v>
      </c>
      <c r="R15" s="100">
        <f t="shared" si="8"/>
        <v>18254.400000000001</v>
      </c>
      <c r="S15" s="100">
        <f t="shared" si="8"/>
        <v>34516.800000000003</v>
      </c>
      <c r="T15" s="107">
        <f t="shared" si="8"/>
        <v>8090</v>
      </c>
      <c r="U15" s="100">
        <f t="shared" si="8"/>
        <v>5830</v>
      </c>
      <c r="V15" s="104">
        <f t="shared" si="1"/>
        <v>812372.16</v>
      </c>
    </row>
    <row r="16" spans="1:23" s="105" customFormat="1" ht="11.25">
      <c r="A16" s="101" t="s">
        <v>211</v>
      </c>
      <c r="B16" s="102" t="s">
        <v>212</v>
      </c>
      <c r="C16" s="102" t="s">
        <v>189</v>
      </c>
      <c r="D16" s="103" t="s">
        <v>208</v>
      </c>
      <c r="E16" s="108">
        <v>84999.6</v>
      </c>
      <c r="F16" s="109">
        <v>85196.4</v>
      </c>
      <c r="G16" s="109">
        <f>5242.3*12</f>
        <v>62907.600000000006</v>
      </c>
      <c r="H16" s="110">
        <v>19181.759999999998</v>
      </c>
      <c r="I16" s="110">
        <v>78644.399999999994</v>
      </c>
      <c r="J16" s="111">
        <v>67479.600000000006</v>
      </c>
      <c r="K16" s="111">
        <v>73941.600000000006</v>
      </c>
      <c r="L16" s="110">
        <f>3117.7*12</f>
        <v>37412.399999999994</v>
      </c>
      <c r="M16" s="109">
        <v>44295.600000000006</v>
      </c>
      <c r="N16" s="112">
        <v>48825.8</v>
      </c>
      <c r="O16" s="111">
        <v>57385</v>
      </c>
      <c r="P16" s="110">
        <v>60567</v>
      </c>
      <c r="Q16" s="111">
        <v>24844.2</v>
      </c>
      <c r="R16" s="110">
        <v>18254.400000000001</v>
      </c>
      <c r="S16" s="110">
        <v>34516.800000000003</v>
      </c>
      <c r="T16" s="112">
        <v>8090</v>
      </c>
      <c r="U16" s="110">
        <v>5830</v>
      </c>
      <c r="V16" s="104">
        <f t="shared" si="1"/>
        <v>812372.16</v>
      </c>
    </row>
    <row r="17" spans="1:22" ht="11.25">
      <c r="A17" s="33" t="s">
        <v>213</v>
      </c>
      <c r="B17" s="34" t="s">
        <v>214</v>
      </c>
      <c r="C17" s="34"/>
      <c r="D17" s="35" t="s">
        <v>183</v>
      </c>
      <c r="E17" s="97">
        <v>13942707</v>
      </c>
      <c r="F17" s="97">
        <v>13461924</v>
      </c>
      <c r="G17" s="98">
        <v>9775921</v>
      </c>
      <c r="H17" s="97">
        <v>2884698</v>
      </c>
      <c r="I17" s="36">
        <v>13301663</v>
      </c>
      <c r="J17" s="99">
        <v>12500358</v>
      </c>
      <c r="K17" s="99">
        <v>13782446</v>
      </c>
      <c r="L17" s="97">
        <v>6410440</v>
      </c>
      <c r="M17" s="97">
        <v>7692528</v>
      </c>
      <c r="N17" s="97">
        <v>8643160</v>
      </c>
      <c r="O17" s="98">
        <v>9537280</v>
      </c>
      <c r="P17" s="36">
        <v>9537280</v>
      </c>
      <c r="Q17" s="98">
        <v>4470600</v>
      </c>
      <c r="R17" s="36">
        <v>3278440</v>
      </c>
      <c r="S17" s="36">
        <v>6109820</v>
      </c>
      <c r="T17" s="36">
        <v>1639220</v>
      </c>
      <c r="U17" s="36">
        <v>884694</v>
      </c>
      <c r="V17" s="94">
        <f t="shared" si="1"/>
        <v>137853179</v>
      </c>
    </row>
    <row r="18" spans="1:22" ht="11.25">
      <c r="A18" s="33" t="s">
        <v>215</v>
      </c>
      <c r="B18" s="41" t="s">
        <v>216</v>
      </c>
      <c r="C18" s="41" t="s">
        <v>189</v>
      </c>
      <c r="D18" s="42" t="s">
        <v>217</v>
      </c>
      <c r="E18" s="113">
        <f>E17-E19</f>
        <v>13615309</v>
      </c>
      <c r="F18" s="113">
        <f t="shared" ref="F18:U18" si="9">F17-F19</f>
        <v>13174630</v>
      </c>
      <c r="G18" s="113">
        <f t="shared" si="9"/>
        <v>9608469</v>
      </c>
      <c r="H18" s="113">
        <f t="shared" si="9"/>
        <v>2884698</v>
      </c>
      <c r="I18" s="113">
        <f t="shared" si="9"/>
        <v>12927875</v>
      </c>
      <c r="J18" s="113">
        <f t="shared" si="9"/>
        <v>12326126</v>
      </c>
      <c r="K18" s="113">
        <f t="shared" si="9"/>
        <v>13595770</v>
      </c>
      <c r="L18" s="113">
        <f t="shared" si="9"/>
        <v>6236868</v>
      </c>
      <c r="M18" s="113">
        <f t="shared" si="9"/>
        <v>7526756</v>
      </c>
      <c r="N18" s="113">
        <f t="shared" si="9"/>
        <v>8471608</v>
      </c>
      <c r="O18" s="113">
        <f t="shared" si="9"/>
        <v>9336724</v>
      </c>
      <c r="P18" s="113">
        <f t="shared" si="9"/>
        <v>9353392</v>
      </c>
      <c r="Q18" s="113">
        <f t="shared" si="9"/>
        <v>4322004</v>
      </c>
      <c r="R18" s="113">
        <f t="shared" si="9"/>
        <v>3143384</v>
      </c>
      <c r="S18" s="113">
        <f t="shared" si="9"/>
        <v>5959844</v>
      </c>
      <c r="T18" s="113">
        <f t="shared" si="9"/>
        <v>1489754</v>
      </c>
      <c r="U18" s="113">
        <f t="shared" si="9"/>
        <v>884694</v>
      </c>
      <c r="V18" s="94">
        <f t="shared" si="1"/>
        <v>134857905</v>
      </c>
    </row>
    <row r="19" spans="1:22" ht="12.75">
      <c r="A19" s="33" t="s">
        <v>218</v>
      </c>
      <c r="B19" s="41" t="s">
        <v>219</v>
      </c>
      <c r="C19" s="41" t="s">
        <v>189</v>
      </c>
      <c r="D19" s="42" t="s">
        <v>220</v>
      </c>
      <c r="E19" s="113">
        <v>327398</v>
      </c>
      <c r="F19" s="113">
        <v>287294</v>
      </c>
      <c r="G19" s="114">
        <v>167452</v>
      </c>
      <c r="H19" s="113"/>
      <c r="I19" s="43">
        <v>373788</v>
      </c>
      <c r="J19" s="115">
        <v>174232</v>
      </c>
      <c r="K19" s="115">
        <v>186676</v>
      </c>
      <c r="L19" s="116">
        <v>173572</v>
      </c>
      <c r="M19" s="113">
        <v>165772</v>
      </c>
      <c r="N19" s="113">
        <v>171552</v>
      </c>
      <c r="O19" s="114">
        <v>200556</v>
      </c>
      <c r="P19" s="43">
        <v>183888</v>
      </c>
      <c r="Q19" s="114">
        <v>148596</v>
      </c>
      <c r="R19" s="43">
        <v>135056</v>
      </c>
      <c r="S19" s="43">
        <v>149976</v>
      </c>
      <c r="T19" s="43">
        <v>149466</v>
      </c>
      <c r="U19" s="43"/>
      <c r="V19" s="94">
        <f t="shared" si="1"/>
        <v>2995274</v>
      </c>
    </row>
    <row r="20" spans="1:22" ht="11.25">
      <c r="A20" s="33" t="s">
        <v>221</v>
      </c>
      <c r="B20" s="34" t="s">
        <v>222</v>
      </c>
      <c r="C20" s="34"/>
      <c r="D20" s="42" t="s">
        <v>183</v>
      </c>
      <c r="E20" s="117">
        <f>E21</f>
        <v>1699992</v>
      </c>
      <c r="F20" s="117">
        <f t="shared" ref="F20:U20" si="10">F21</f>
        <v>1703928</v>
      </c>
      <c r="G20" s="117">
        <f t="shared" si="10"/>
        <v>1258152</v>
      </c>
      <c r="H20" s="117">
        <f t="shared" si="10"/>
        <v>383635.19999999995</v>
      </c>
      <c r="I20" s="117">
        <f t="shared" si="10"/>
        <v>1572888</v>
      </c>
      <c r="J20" s="117">
        <f t="shared" si="10"/>
        <v>1349592</v>
      </c>
      <c r="K20" s="117">
        <f t="shared" si="10"/>
        <v>1478832</v>
      </c>
      <c r="L20" s="117">
        <f t="shared" si="10"/>
        <v>748247.99999999988</v>
      </c>
      <c r="M20" s="117">
        <f t="shared" si="10"/>
        <v>885912.00000000012</v>
      </c>
      <c r="N20" s="117">
        <f t="shared" si="10"/>
        <v>976516</v>
      </c>
      <c r="O20" s="117">
        <f t="shared" si="10"/>
        <v>1147700</v>
      </c>
      <c r="P20" s="117">
        <f t="shared" si="10"/>
        <v>1211340</v>
      </c>
      <c r="Q20" s="117">
        <f t="shared" si="10"/>
        <v>496884</v>
      </c>
      <c r="R20" s="117">
        <f t="shared" si="10"/>
        <v>365088</v>
      </c>
      <c r="S20" s="117">
        <f t="shared" si="10"/>
        <v>690336</v>
      </c>
      <c r="T20" s="117">
        <f t="shared" si="10"/>
        <v>161800</v>
      </c>
      <c r="U20" s="117">
        <f t="shared" si="10"/>
        <v>116600</v>
      </c>
      <c r="V20" s="94">
        <f t="shared" si="1"/>
        <v>16247443.199999999</v>
      </c>
    </row>
    <row r="21" spans="1:22" ht="11.25">
      <c r="A21" s="33" t="s">
        <v>223</v>
      </c>
      <c r="B21" s="34" t="s">
        <v>224</v>
      </c>
      <c r="C21" s="34" t="s">
        <v>225</v>
      </c>
      <c r="D21" s="42" t="s">
        <v>183</v>
      </c>
      <c r="E21" s="117">
        <f>E16*20</f>
        <v>1699992</v>
      </c>
      <c r="F21" s="117">
        <f t="shared" ref="F21:U21" si="11">F16*20</f>
        <v>1703928</v>
      </c>
      <c r="G21" s="117">
        <f t="shared" si="11"/>
        <v>1258152</v>
      </c>
      <c r="H21" s="117">
        <f t="shared" si="11"/>
        <v>383635.19999999995</v>
      </c>
      <c r="I21" s="45">
        <f>I16*20</f>
        <v>1572888</v>
      </c>
      <c r="J21" s="117">
        <f t="shared" si="11"/>
        <v>1349592</v>
      </c>
      <c r="K21" s="117">
        <f t="shared" si="11"/>
        <v>1478832</v>
      </c>
      <c r="L21" s="117">
        <f t="shared" si="11"/>
        <v>748247.99999999988</v>
      </c>
      <c r="M21" s="117">
        <f t="shared" si="11"/>
        <v>885912.00000000012</v>
      </c>
      <c r="N21" s="117">
        <f t="shared" si="11"/>
        <v>976516</v>
      </c>
      <c r="O21" s="117">
        <f t="shared" si="11"/>
        <v>1147700</v>
      </c>
      <c r="P21" s="117">
        <f t="shared" si="11"/>
        <v>1211340</v>
      </c>
      <c r="Q21" s="117">
        <f t="shared" si="11"/>
        <v>496884</v>
      </c>
      <c r="R21" s="117">
        <f t="shared" si="11"/>
        <v>365088</v>
      </c>
      <c r="S21" s="117">
        <f t="shared" si="11"/>
        <v>690336</v>
      </c>
      <c r="T21" s="117">
        <f t="shared" si="11"/>
        <v>161800</v>
      </c>
      <c r="U21" s="117">
        <f t="shared" si="11"/>
        <v>116600</v>
      </c>
      <c r="V21" s="94">
        <f t="shared" si="1"/>
        <v>16247443.199999999</v>
      </c>
    </row>
    <row r="22" spans="1:22" ht="11.25">
      <c r="A22" s="33" t="s">
        <v>226</v>
      </c>
      <c r="B22" s="34" t="s">
        <v>227</v>
      </c>
      <c r="C22" s="34"/>
      <c r="D22" s="42" t="s">
        <v>208</v>
      </c>
      <c r="E22" s="117">
        <f>E23+E24</f>
        <v>679996.8</v>
      </c>
      <c r="F22" s="117">
        <f t="shared" ref="F22:U22" si="12">F23+F24</f>
        <v>681571.2</v>
      </c>
      <c r="G22" s="117">
        <f t="shared" si="12"/>
        <v>503260.80000000005</v>
      </c>
      <c r="H22" s="117">
        <f t="shared" si="12"/>
        <v>153454.07999999999</v>
      </c>
      <c r="I22" s="117">
        <f t="shared" si="12"/>
        <v>629155.19999999995</v>
      </c>
      <c r="J22" s="117">
        <f t="shared" si="12"/>
        <v>539836.80000000005</v>
      </c>
      <c r="K22" s="117">
        <f t="shared" si="12"/>
        <v>591532.80000000005</v>
      </c>
      <c r="L22" s="117">
        <f t="shared" si="12"/>
        <v>299299.19999999995</v>
      </c>
      <c r="M22" s="117">
        <f t="shared" si="12"/>
        <v>354364.80000000005</v>
      </c>
      <c r="N22" s="117">
        <f t="shared" si="12"/>
        <v>390606.4</v>
      </c>
      <c r="O22" s="117">
        <f t="shared" si="12"/>
        <v>459080</v>
      </c>
      <c r="P22" s="117">
        <f t="shared" si="12"/>
        <v>484536</v>
      </c>
      <c r="Q22" s="117">
        <f t="shared" si="12"/>
        <v>198753.6</v>
      </c>
      <c r="R22" s="117">
        <f t="shared" si="12"/>
        <v>146035.20000000001</v>
      </c>
      <c r="S22" s="117">
        <f t="shared" si="12"/>
        <v>276134.40000000002</v>
      </c>
      <c r="T22" s="117">
        <f t="shared" si="12"/>
        <v>64720</v>
      </c>
      <c r="U22" s="117">
        <f t="shared" si="12"/>
        <v>46640</v>
      </c>
      <c r="V22" s="94">
        <f t="shared" si="1"/>
        <v>6498977.2800000003</v>
      </c>
    </row>
    <row r="23" spans="1:22" ht="11.25">
      <c r="A23" s="33" t="s">
        <v>228</v>
      </c>
      <c r="B23" s="34" t="s">
        <v>229</v>
      </c>
      <c r="C23" s="34" t="s">
        <v>230</v>
      </c>
      <c r="D23" s="42" t="s">
        <v>208</v>
      </c>
      <c r="E23" s="117">
        <f>E16*4</f>
        <v>339998.4</v>
      </c>
      <c r="F23" s="117">
        <f t="shared" ref="F23:U23" si="13">F16*4</f>
        <v>340785.6</v>
      </c>
      <c r="G23" s="117">
        <f t="shared" si="13"/>
        <v>251630.40000000002</v>
      </c>
      <c r="H23" s="117">
        <f t="shared" si="13"/>
        <v>76727.039999999994</v>
      </c>
      <c r="I23" s="45">
        <f>I16*4</f>
        <v>314577.59999999998</v>
      </c>
      <c r="J23" s="117">
        <f t="shared" si="13"/>
        <v>269918.40000000002</v>
      </c>
      <c r="K23" s="117">
        <f>K16*4</f>
        <v>295766.40000000002</v>
      </c>
      <c r="L23" s="117">
        <f t="shared" si="13"/>
        <v>149649.59999999998</v>
      </c>
      <c r="M23" s="117">
        <f t="shared" si="13"/>
        <v>177182.40000000002</v>
      </c>
      <c r="N23" s="117">
        <f t="shared" si="13"/>
        <v>195303.2</v>
      </c>
      <c r="O23" s="117">
        <f t="shared" si="13"/>
        <v>229540</v>
      </c>
      <c r="P23" s="117">
        <f t="shared" si="13"/>
        <v>242268</v>
      </c>
      <c r="Q23" s="117">
        <f t="shared" si="13"/>
        <v>99376.8</v>
      </c>
      <c r="R23" s="117">
        <f t="shared" si="13"/>
        <v>73017.600000000006</v>
      </c>
      <c r="S23" s="117">
        <f t="shared" si="13"/>
        <v>138067.20000000001</v>
      </c>
      <c r="T23" s="117">
        <f t="shared" si="13"/>
        <v>32360</v>
      </c>
      <c r="U23" s="117">
        <f t="shared" si="13"/>
        <v>23320</v>
      </c>
      <c r="V23" s="94">
        <f t="shared" si="1"/>
        <v>3249488.64</v>
      </c>
    </row>
    <row r="24" spans="1:22" ht="11.25">
      <c r="A24" s="33" t="s">
        <v>231</v>
      </c>
      <c r="B24" s="34" t="s">
        <v>232</v>
      </c>
      <c r="C24" s="34" t="s">
        <v>230</v>
      </c>
      <c r="D24" s="42" t="s">
        <v>208</v>
      </c>
      <c r="E24" s="117">
        <f>E16*4</f>
        <v>339998.4</v>
      </c>
      <c r="F24" s="117">
        <f t="shared" ref="F24:U24" si="14">F16*4</f>
        <v>340785.6</v>
      </c>
      <c r="G24" s="117">
        <f t="shared" si="14"/>
        <v>251630.40000000002</v>
      </c>
      <c r="H24" s="117">
        <f t="shared" si="14"/>
        <v>76727.039999999994</v>
      </c>
      <c r="I24" s="45">
        <f>I16*4</f>
        <v>314577.59999999998</v>
      </c>
      <c r="J24" s="117">
        <f t="shared" si="14"/>
        <v>269918.40000000002</v>
      </c>
      <c r="K24" s="117">
        <f t="shared" si="14"/>
        <v>295766.40000000002</v>
      </c>
      <c r="L24" s="117">
        <f t="shared" si="14"/>
        <v>149649.59999999998</v>
      </c>
      <c r="M24" s="117">
        <f t="shared" si="14"/>
        <v>177182.40000000002</v>
      </c>
      <c r="N24" s="117">
        <f t="shared" si="14"/>
        <v>195303.2</v>
      </c>
      <c r="O24" s="117">
        <f t="shared" si="14"/>
        <v>229540</v>
      </c>
      <c r="P24" s="117">
        <f t="shared" si="14"/>
        <v>242268</v>
      </c>
      <c r="Q24" s="117">
        <f t="shared" si="14"/>
        <v>99376.8</v>
      </c>
      <c r="R24" s="117">
        <f t="shared" si="14"/>
        <v>73017.600000000006</v>
      </c>
      <c r="S24" s="117">
        <f t="shared" si="14"/>
        <v>138067.20000000001</v>
      </c>
      <c r="T24" s="117">
        <f t="shared" si="14"/>
        <v>32360</v>
      </c>
      <c r="U24" s="117">
        <f t="shared" si="14"/>
        <v>23320</v>
      </c>
      <c r="V24" s="94">
        <f t="shared" si="1"/>
        <v>3249488.64</v>
      </c>
    </row>
    <row r="25" spans="1:22" ht="11.25">
      <c r="A25" s="33" t="s">
        <v>233</v>
      </c>
      <c r="B25" s="34" t="s">
        <v>234</v>
      </c>
      <c r="C25" s="34"/>
      <c r="D25" s="35" t="s">
        <v>183</v>
      </c>
      <c r="E25" s="97">
        <f>E26</f>
        <v>2719987.2</v>
      </c>
      <c r="F25" s="97">
        <f t="shared" ref="F25:U25" si="15">F26</f>
        <v>2726284.8</v>
      </c>
      <c r="G25" s="97">
        <f t="shared" si="15"/>
        <v>2013043.2000000002</v>
      </c>
      <c r="H25" s="97">
        <f t="shared" si="15"/>
        <v>613816.31999999995</v>
      </c>
      <c r="I25" s="97">
        <f t="shared" si="15"/>
        <v>2516620.7999999998</v>
      </c>
      <c r="J25" s="97">
        <f t="shared" si="15"/>
        <v>2159347.2000000002</v>
      </c>
      <c r="K25" s="97">
        <f t="shared" si="15"/>
        <v>2366131.2000000002</v>
      </c>
      <c r="L25" s="97">
        <f t="shared" si="15"/>
        <v>1197196.7999999998</v>
      </c>
      <c r="M25" s="97">
        <f t="shared" si="15"/>
        <v>1417459.2000000002</v>
      </c>
      <c r="N25" s="97">
        <f t="shared" si="15"/>
        <v>1562425.6</v>
      </c>
      <c r="O25" s="97">
        <f t="shared" si="15"/>
        <v>1836320</v>
      </c>
      <c r="P25" s="97">
        <f t="shared" si="15"/>
        <v>1938144</v>
      </c>
      <c r="Q25" s="97">
        <f t="shared" si="15"/>
        <v>795014.4</v>
      </c>
      <c r="R25" s="97">
        <f t="shared" si="15"/>
        <v>584140.80000000005</v>
      </c>
      <c r="S25" s="97">
        <f t="shared" si="15"/>
        <v>1104537.6000000001</v>
      </c>
      <c r="T25" s="97">
        <f t="shared" si="15"/>
        <v>258880</v>
      </c>
      <c r="U25" s="97">
        <f t="shared" si="15"/>
        <v>186560</v>
      </c>
      <c r="V25" s="94">
        <f t="shared" si="1"/>
        <v>25995909.120000001</v>
      </c>
    </row>
    <row r="26" spans="1:22" s="40" customFormat="1" ht="11.25">
      <c r="A26" s="33" t="s">
        <v>235</v>
      </c>
      <c r="B26" s="38" t="s">
        <v>236</v>
      </c>
      <c r="C26" s="38" t="s">
        <v>237</v>
      </c>
      <c r="D26" s="39" t="s">
        <v>208</v>
      </c>
      <c r="E26" s="97">
        <f>E16*32</f>
        <v>2719987.2</v>
      </c>
      <c r="F26" s="97">
        <f t="shared" ref="F26:U26" si="16">F16*32</f>
        <v>2726284.8</v>
      </c>
      <c r="G26" s="97">
        <f t="shared" si="16"/>
        <v>2013043.2000000002</v>
      </c>
      <c r="H26" s="97">
        <f t="shared" si="16"/>
        <v>613816.31999999995</v>
      </c>
      <c r="I26" s="36">
        <f>I16*32</f>
        <v>2516620.7999999998</v>
      </c>
      <c r="J26" s="97">
        <f t="shared" si="16"/>
        <v>2159347.2000000002</v>
      </c>
      <c r="K26" s="97">
        <f t="shared" si="16"/>
        <v>2366131.2000000002</v>
      </c>
      <c r="L26" s="97">
        <f t="shared" si="16"/>
        <v>1197196.7999999998</v>
      </c>
      <c r="M26" s="97">
        <f t="shared" si="16"/>
        <v>1417459.2000000002</v>
      </c>
      <c r="N26" s="97">
        <f t="shared" si="16"/>
        <v>1562425.6</v>
      </c>
      <c r="O26" s="97">
        <f t="shared" si="16"/>
        <v>1836320</v>
      </c>
      <c r="P26" s="97">
        <f t="shared" si="16"/>
        <v>1938144</v>
      </c>
      <c r="Q26" s="97">
        <f t="shared" si="16"/>
        <v>795014.4</v>
      </c>
      <c r="R26" s="97">
        <f t="shared" si="16"/>
        <v>584140.80000000005</v>
      </c>
      <c r="S26" s="97">
        <f t="shared" si="16"/>
        <v>1104537.6000000001</v>
      </c>
      <c r="T26" s="97">
        <f t="shared" si="16"/>
        <v>258880</v>
      </c>
      <c r="U26" s="97">
        <f t="shared" si="16"/>
        <v>186560</v>
      </c>
      <c r="V26" s="94">
        <f t="shared" si="1"/>
        <v>25995909.120000001</v>
      </c>
    </row>
    <row r="27" spans="1:22" ht="11.25">
      <c r="A27" s="33" t="s">
        <v>238</v>
      </c>
      <c r="B27" s="34" t="s">
        <v>239</v>
      </c>
      <c r="C27" s="34"/>
      <c r="D27" s="35" t="s">
        <v>183</v>
      </c>
      <c r="E27" s="97">
        <f>E28</f>
        <v>1359993.6</v>
      </c>
      <c r="F27" s="97">
        <f t="shared" ref="F27:U27" si="17">F28</f>
        <v>1363142.4</v>
      </c>
      <c r="G27" s="97">
        <f t="shared" si="17"/>
        <v>1006521.6000000001</v>
      </c>
      <c r="H27" s="97">
        <f t="shared" si="17"/>
        <v>306908.15999999997</v>
      </c>
      <c r="I27" s="97">
        <f t="shared" si="17"/>
        <v>1258310.3999999999</v>
      </c>
      <c r="J27" s="97">
        <f t="shared" si="17"/>
        <v>1079673.6000000001</v>
      </c>
      <c r="K27" s="97">
        <f t="shared" si="17"/>
        <v>1183065.6000000001</v>
      </c>
      <c r="L27" s="97">
        <f t="shared" si="17"/>
        <v>598598.39999999991</v>
      </c>
      <c r="M27" s="97">
        <f t="shared" si="17"/>
        <v>708729.60000000009</v>
      </c>
      <c r="N27" s="97">
        <f t="shared" si="17"/>
        <v>781212.8</v>
      </c>
      <c r="O27" s="97">
        <f t="shared" si="17"/>
        <v>918160</v>
      </c>
      <c r="P27" s="97">
        <f t="shared" si="17"/>
        <v>969072</v>
      </c>
      <c r="Q27" s="97">
        <f t="shared" si="17"/>
        <v>397507.2</v>
      </c>
      <c r="R27" s="97">
        <f t="shared" si="17"/>
        <v>292070.40000000002</v>
      </c>
      <c r="S27" s="97">
        <f t="shared" si="17"/>
        <v>552268.80000000005</v>
      </c>
      <c r="T27" s="97">
        <f t="shared" si="17"/>
        <v>129440</v>
      </c>
      <c r="U27" s="97">
        <f t="shared" si="17"/>
        <v>93280</v>
      </c>
      <c r="V27" s="94">
        <f t="shared" si="1"/>
        <v>12997954.560000001</v>
      </c>
    </row>
    <row r="28" spans="1:22" s="40" customFormat="1" ht="11.25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 t="shared" ref="E28:U28" si="18">E16*16</f>
        <v>1359993.6</v>
      </c>
      <c r="F28" s="36">
        <f t="shared" si="18"/>
        <v>1363142.4</v>
      </c>
      <c r="G28" s="36">
        <f t="shared" si="18"/>
        <v>1006521.6000000001</v>
      </c>
      <c r="H28" s="36">
        <f t="shared" si="18"/>
        <v>306908.15999999997</v>
      </c>
      <c r="I28" s="36">
        <f>I16*16</f>
        <v>1258310.3999999999</v>
      </c>
      <c r="J28" s="36">
        <f t="shared" si="18"/>
        <v>1079673.6000000001</v>
      </c>
      <c r="K28" s="36">
        <f t="shared" si="18"/>
        <v>1183065.6000000001</v>
      </c>
      <c r="L28" s="36">
        <f t="shared" si="18"/>
        <v>598598.39999999991</v>
      </c>
      <c r="M28" s="36">
        <f t="shared" si="18"/>
        <v>708729.60000000009</v>
      </c>
      <c r="N28" s="36">
        <f t="shared" si="18"/>
        <v>781212.8</v>
      </c>
      <c r="O28" s="36">
        <f t="shared" si="18"/>
        <v>918160</v>
      </c>
      <c r="P28" s="36">
        <f t="shared" si="18"/>
        <v>969072</v>
      </c>
      <c r="Q28" s="36">
        <f t="shared" si="18"/>
        <v>397507.2</v>
      </c>
      <c r="R28" s="36">
        <f t="shared" si="18"/>
        <v>292070.40000000002</v>
      </c>
      <c r="S28" s="36">
        <f t="shared" si="18"/>
        <v>552268.80000000005</v>
      </c>
      <c r="T28" s="36">
        <f t="shared" si="18"/>
        <v>129440</v>
      </c>
      <c r="U28" s="36">
        <f t="shared" si="18"/>
        <v>93280</v>
      </c>
      <c r="V28" s="94">
        <f t="shared" si="1"/>
        <v>12997954.560000001</v>
      </c>
    </row>
    <row r="29" spans="1:22" ht="11.25">
      <c r="A29" s="33" t="s">
        <v>243</v>
      </c>
      <c r="B29" s="34" t="s">
        <v>244</v>
      </c>
      <c r="C29" s="41" t="s">
        <v>189</v>
      </c>
      <c r="D29" s="39" t="s">
        <v>245</v>
      </c>
      <c r="E29" s="97">
        <f>9600*E96</f>
        <v>835200</v>
      </c>
      <c r="F29" s="97">
        <f>9600*F96</f>
        <v>806400</v>
      </c>
      <c r="G29" s="98">
        <v>585600</v>
      </c>
      <c r="H29" s="97">
        <f>9600*H96</f>
        <v>172800</v>
      </c>
      <c r="I29" s="36">
        <f>9600*I96</f>
        <v>796800</v>
      </c>
      <c r="J29" s="99">
        <v>748800</v>
      </c>
      <c r="K29" s="99">
        <f>86*9600</f>
        <v>825600</v>
      </c>
      <c r="L29" s="97">
        <f>9600*L96</f>
        <v>384000</v>
      </c>
      <c r="M29" s="97">
        <f>9600*M96</f>
        <v>460800</v>
      </c>
      <c r="N29" s="97">
        <f>9600*N96</f>
        <v>556800</v>
      </c>
      <c r="O29" s="98">
        <v>614400</v>
      </c>
      <c r="P29" s="36">
        <f>9600*P96</f>
        <v>614400</v>
      </c>
      <c r="Q29" s="98">
        <f>800*30*12</f>
        <v>288000</v>
      </c>
      <c r="R29" s="36">
        <f>9600*R96</f>
        <v>211200</v>
      </c>
      <c r="S29" s="36">
        <f>9600*S96</f>
        <v>393600</v>
      </c>
      <c r="T29" s="36">
        <f>9600*T96</f>
        <v>105600</v>
      </c>
      <c r="U29" s="36">
        <f>9600*U96</f>
        <v>57600</v>
      </c>
      <c r="V29" s="94">
        <f t="shared" si="1"/>
        <v>8457600</v>
      </c>
    </row>
    <row r="30" spans="1:22" ht="11.25">
      <c r="A30" s="33" t="s">
        <v>246</v>
      </c>
      <c r="B30" s="34" t="s">
        <v>247</v>
      </c>
      <c r="C30" s="34" t="s">
        <v>247</v>
      </c>
      <c r="D30" s="39" t="s">
        <v>208</v>
      </c>
      <c r="E30" s="117">
        <f>E16*14</f>
        <v>1189994.4000000001</v>
      </c>
      <c r="F30" s="117">
        <f t="shared" ref="F30:U30" si="19">F16*14</f>
        <v>1192749.5999999999</v>
      </c>
      <c r="G30" s="117">
        <f t="shared" si="19"/>
        <v>880706.40000000014</v>
      </c>
      <c r="H30" s="117">
        <f t="shared" si="19"/>
        <v>268544.63999999996</v>
      </c>
      <c r="I30" s="45">
        <f>I16*14</f>
        <v>1101021.5999999999</v>
      </c>
      <c r="J30" s="117">
        <f t="shared" si="19"/>
        <v>944714.40000000014</v>
      </c>
      <c r="K30" s="117">
        <f t="shared" si="19"/>
        <v>1035182.4000000001</v>
      </c>
      <c r="L30" s="117">
        <f t="shared" si="19"/>
        <v>523773.59999999992</v>
      </c>
      <c r="M30" s="117">
        <f t="shared" si="19"/>
        <v>620138.40000000014</v>
      </c>
      <c r="N30" s="117">
        <f t="shared" si="19"/>
        <v>683561.20000000007</v>
      </c>
      <c r="O30" s="117">
        <f t="shared" si="19"/>
        <v>803390</v>
      </c>
      <c r="P30" s="117">
        <f t="shared" si="19"/>
        <v>847938</v>
      </c>
      <c r="Q30" s="117">
        <f t="shared" si="19"/>
        <v>347818.8</v>
      </c>
      <c r="R30" s="117">
        <f t="shared" si="19"/>
        <v>255561.60000000003</v>
      </c>
      <c r="S30" s="117">
        <f t="shared" si="19"/>
        <v>483235.20000000007</v>
      </c>
      <c r="T30" s="117">
        <f t="shared" si="19"/>
        <v>113260</v>
      </c>
      <c r="U30" s="117">
        <f t="shared" si="19"/>
        <v>81620</v>
      </c>
      <c r="V30" s="94">
        <f t="shared" si="1"/>
        <v>11373210.24</v>
      </c>
    </row>
    <row r="31" spans="1:22" ht="11.25">
      <c r="A31" s="33" t="s">
        <v>248</v>
      </c>
      <c r="B31" s="34" t="s">
        <v>249</v>
      </c>
      <c r="C31" s="34"/>
      <c r="D31" s="35" t="s">
        <v>183</v>
      </c>
      <c r="E31" s="97">
        <f>E32+E40+E42+E45+E47</f>
        <v>9960</v>
      </c>
      <c r="F31" s="97">
        <f t="shared" ref="F31:U31" si="20">F32+F40+F42+F45+F47</f>
        <v>11880</v>
      </c>
      <c r="G31" s="97">
        <f t="shared" si="20"/>
        <v>7440</v>
      </c>
      <c r="H31" s="97">
        <f t="shared" si="20"/>
        <v>17280</v>
      </c>
      <c r="I31" s="97">
        <f t="shared" si="20"/>
        <v>5760</v>
      </c>
      <c r="J31" s="97">
        <f t="shared" si="20"/>
        <v>3720</v>
      </c>
      <c r="K31" s="97">
        <f t="shared" si="20"/>
        <v>14120</v>
      </c>
      <c r="L31" s="97">
        <f t="shared" si="20"/>
        <v>1580</v>
      </c>
      <c r="M31" s="97">
        <f t="shared" si="20"/>
        <v>720</v>
      </c>
      <c r="N31" s="97">
        <f t="shared" si="20"/>
        <v>10980</v>
      </c>
      <c r="O31" s="97">
        <f t="shared" si="20"/>
        <v>14680</v>
      </c>
      <c r="P31" s="97">
        <f t="shared" si="20"/>
        <v>11800</v>
      </c>
      <c r="Q31" s="97">
        <f t="shared" si="20"/>
        <v>6120</v>
      </c>
      <c r="R31" s="97">
        <f t="shared" si="20"/>
        <v>5880</v>
      </c>
      <c r="S31" s="97">
        <f t="shared" si="20"/>
        <v>6600</v>
      </c>
      <c r="T31" s="97">
        <f t="shared" si="20"/>
        <v>3840</v>
      </c>
      <c r="U31" s="97">
        <f t="shared" si="20"/>
        <v>1320</v>
      </c>
      <c r="V31" s="94">
        <f t="shared" si="1"/>
        <v>133680</v>
      </c>
    </row>
    <row r="32" spans="1:22" ht="11.25">
      <c r="A32" s="33" t="s">
        <v>250</v>
      </c>
      <c r="B32" s="34" t="s">
        <v>251</v>
      </c>
      <c r="C32" s="34"/>
      <c r="D32" s="35" t="s">
        <v>183</v>
      </c>
      <c r="E32" s="97">
        <f>E33+E34+E35+E36+E37+E38+E39</f>
        <v>0</v>
      </c>
      <c r="F32" s="97">
        <f>F33+F34+F35+F36+F37+F38+F39</f>
        <v>0</v>
      </c>
      <c r="G32" s="98">
        <v>0</v>
      </c>
      <c r="H32" s="97">
        <f>H33+H34+H35+H36+H37+H38+H39</f>
        <v>0</v>
      </c>
      <c r="I32" s="36">
        <f>I33+I34+I35+I36+I37+I38+I39</f>
        <v>0</v>
      </c>
      <c r="J32" s="99">
        <f>J33+J34+J35+J36+J37+J38+J39</f>
        <v>0</v>
      </c>
      <c r="K32" s="99">
        <v>0</v>
      </c>
      <c r="L32" s="97">
        <f>L33+L34+L35+L36+L37+L38+L39</f>
        <v>0</v>
      </c>
      <c r="M32" s="97">
        <f>M33+M34+M35+M36+M37+M38+M39</f>
        <v>0</v>
      </c>
      <c r="N32" s="97">
        <f>N33+N34+N35+N36+N37+N38+N39</f>
        <v>0</v>
      </c>
      <c r="O32" s="98">
        <v>0</v>
      </c>
      <c r="P32" s="36">
        <f>P33+P34+P35+P36+P37+P38+P39</f>
        <v>0</v>
      </c>
      <c r="Q32" s="98">
        <v>0</v>
      </c>
      <c r="R32" s="36">
        <f>R33+R34+R35+R36+R37+R38+R39</f>
        <v>0</v>
      </c>
      <c r="S32" s="36">
        <f>S33+S34+S35+S36+S37+S38+S39</f>
        <v>0</v>
      </c>
      <c r="T32" s="36">
        <f>T33+T34+T35+T36+T37+T38+T39</f>
        <v>0</v>
      </c>
      <c r="U32" s="36">
        <f>U33+U34+U35+U36+U37+U38+U39</f>
        <v>0</v>
      </c>
      <c r="V32" s="94">
        <f t="shared" si="1"/>
        <v>0</v>
      </c>
    </row>
    <row r="33" spans="1:22" ht="11.25">
      <c r="A33" s="33" t="s">
        <v>252</v>
      </c>
      <c r="B33" s="34" t="s">
        <v>253</v>
      </c>
      <c r="C33" s="34" t="s">
        <v>254</v>
      </c>
      <c r="D33" s="42" t="s">
        <v>255</v>
      </c>
      <c r="E33" s="113"/>
      <c r="F33" s="113"/>
      <c r="G33" s="114"/>
      <c r="H33" s="113"/>
      <c r="I33" s="43"/>
      <c r="J33" s="115"/>
      <c r="K33" s="115"/>
      <c r="L33" s="113"/>
      <c r="M33" s="113"/>
      <c r="N33" s="113"/>
      <c r="O33" s="114"/>
      <c r="P33" s="43"/>
      <c r="Q33" s="114"/>
      <c r="R33" s="43"/>
      <c r="S33" s="43"/>
      <c r="T33" s="43"/>
      <c r="U33" s="43"/>
      <c r="V33" s="94">
        <f t="shared" si="1"/>
        <v>0</v>
      </c>
    </row>
    <row r="34" spans="1:22" ht="11.25">
      <c r="A34" s="33" t="s">
        <v>256</v>
      </c>
      <c r="B34" s="34" t="s">
        <v>257</v>
      </c>
      <c r="C34" s="34" t="s">
        <v>254</v>
      </c>
      <c r="D34" s="42" t="s">
        <v>255</v>
      </c>
      <c r="E34" s="113"/>
      <c r="F34" s="113"/>
      <c r="G34" s="114"/>
      <c r="H34" s="113"/>
      <c r="I34" s="43"/>
      <c r="J34" s="115"/>
      <c r="K34" s="115"/>
      <c r="L34" s="113"/>
      <c r="M34" s="113"/>
      <c r="N34" s="113"/>
      <c r="O34" s="114"/>
      <c r="P34" s="43"/>
      <c r="Q34" s="114"/>
      <c r="R34" s="43"/>
      <c r="S34" s="43"/>
      <c r="T34" s="43"/>
      <c r="U34" s="43"/>
      <c r="V34" s="94">
        <f t="shared" si="1"/>
        <v>0</v>
      </c>
    </row>
    <row r="35" spans="1:22" ht="11.25">
      <c r="A35" s="33" t="s">
        <v>258</v>
      </c>
      <c r="B35" s="34" t="s">
        <v>259</v>
      </c>
      <c r="C35" s="34" t="s">
        <v>254</v>
      </c>
      <c r="D35" s="42" t="s">
        <v>260</v>
      </c>
      <c r="E35" s="113"/>
      <c r="F35" s="113"/>
      <c r="G35" s="114"/>
      <c r="H35" s="113"/>
      <c r="I35" s="43"/>
      <c r="J35" s="115"/>
      <c r="K35" s="115"/>
      <c r="L35" s="113"/>
      <c r="M35" s="113"/>
      <c r="N35" s="113"/>
      <c r="O35" s="114"/>
      <c r="P35" s="43"/>
      <c r="Q35" s="114"/>
      <c r="R35" s="43"/>
      <c r="S35" s="43"/>
      <c r="T35" s="43"/>
      <c r="U35" s="43"/>
      <c r="V35" s="94">
        <f t="shared" si="1"/>
        <v>0</v>
      </c>
    </row>
    <row r="36" spans="1:22" ht="11.25">
      <c r="A36" s="33" t="s">
        <v>261</v>
      </c>
      <c r="B36" s="34" t="s">
        <v>262</v>
      </c>
      <c r="C36" s="34" t="s">
        <v>254</v>
      </c>
      <c r="D36" s="42" t="s">
        <v>255</v>
      </c>
      <c r="E36" s="113"/>
      <c r="F36" s="113"/>
      <c r="G36" s="114"/>
      <c r="H36" s="113"/>
      <c r="I36" s="43"/>
      <c r="J36" s="115"/>
      <c r="K36" s="115"/>
      <c r="L36" s="113"/>
      <c r="M36" s="113"/>
      <c r="N36" s="113"/>
      <c r="O36" s="114"/>
      <c r="P36" s="43"/>
      <c r="Q36" s="114"/>
      <c r="R36" s="43"/>
      <c r="S36" s="43"/>
      <c r="T36" s="43"/>
      <c r="U36" s="43"/>
      <c r="V36" s="94">
        <f t="shared" si="1"/>
        <v>0</v>
      </c>
    </row>
    <row r="37" spans="1:22" ht="11.25">
      <c r="A37" s="33" t="s">
        <v>263</v>
      </c>
      <c r="B37" s="34" t="s">
        <v>264</v>
      </c>
      <c r="C37" s="34" t="s">
        <v>254</v>
      </c>
      <c r="D37" s="42" t="s">
        <v>255</v>
      </c>
      <c r="E37" s="113"/>
      <c r="F37" s="113"/>
      <c r="G37" s="114"/>
      <c r="H37" s="113"/>
      <c r="I37" s="43"/>
      <c r="J37" s="115"/>
      <c r="K37" s="115"/>
      <c r="L37" s="113"/>
      <c r="M37" s="113"/>
      <c r="N37" s="113"/>
      <c r="O37" s="114"/>
      <c r="P37" s="43"/>
      <c r="Q37" s="114"/>
      <c r="R37" s="43"/>
      <c r="S37" s="43"/>
      <c r="T37" s="43"/>
      <c r="U37" s="43"/>
      <c r="V37" s="94">
        <f t="shared" si="1"/>
        <v>0</v>
      </c>
    </row>
    <row r="38" spans="1:22" ht="11.25">
      <c r="A38" s="33" t="s">
        <v>265</v>
      </c>
      <c r="B38" s="34" t="s">
        <v>266</v>
      </c>
      <c r="C38" s="34" t="s">
        <v>254</v>
      </c>
      <c r="D38" s="42" t="s">
        <v>255</v>
      </c>
      <c r="E38" s="113"/>
      <c r="F38" s="113"/>
      <c r="G38" s="114"/>
      <c r="H38" s="113"/>
      <c r="I38" s="43"/>
      <c r="J38" s="115"/>
      <c r="K38" s="115"/>
      <c r="L38" s="113"/>
      <c r="M38" s="113"/>
      <c r="N38" s="113"/>
      <c r="O38" s="114"/>
      <c r="P38" s="43"/>
      <c r="Q38" s="114"/>
      <c r="R38" s="43"/>
      <c r="S38" s="43"/>
      <c r="T38" s="43"/>
      <c r="U38" s="43"/>
      <c r="V38" s="94">
        <f t="shared" si="1"/>
        <v>0</v>
      </c>
    </row>
    <row r="39" spans="1:22" ht="11.25">
      <c r="A39" s="33" t="s">
        <v>267</v>
      </c>
      <c r="B39" s="34" t="s">
        <v>268</v>
      </c>
      <c r="C39" s="34" t="s">
        <v>254</v>
      </c>
      <c r="D39" s="42" t="s">
        <v>255</v>
      </c>
      <c r="E39" s="113"/>
      <c r="F39" s="113"/>
      <c r="G39" s="114"/>
      <c r="H39" s="113"/>
      <c r="I39" s="43"/>
      <c r="J39" s="115"/>
      <c r="K39" s="115"/>
      <c r="L39" s="113"/>
      <c r="M39" s="113"/>
      <c r="N39" s="113"/>
      <c r="O39" s="114"/>
      <c r="P39" s="43"/>
      <c r="Q39" s="114"/>
      <c r="R39" s="43"/>
      <c r="S39" s="43"/>
      <c r="T39" s="43"/>
      <c r="U39" s="43"/>
      <c r="V39" s="94">
        <f t="shared" si="1"/>
        <v>0</v>
      </c>
    </row>
    <row r="40" spans="1:22" ht="11.25">
      <c r="A40" s="33" t="s">
        <v>269</v>
      </c>
      <c r="B40" s="34" t="s">
        <v>270</v>
      </c>
      <c r="C40" s="34"/>
      <c r="D40" s="35" t="s">
        <v>183</v>
      </c>
      <c r="E40" s="97">
        <f>E41</f>
        <v>0</v>
      </c>
      <c r="F40" s="97">
        <f>F41</f>
        <v>0</v>
      </c>
      <c r="G40" s="98">
        <v>0</v>
      </c>
      <c r="H40" s="97">
        <f>H41</f>
        <v>0</v>
      </c>
      <c r="I40" s="36">
        <f>I41</f>
        <v>0</v>
      </c>
      <c r="J40" s="99">
        <v>0</v>
      </c>
      <c r="K40" s="99">
        <v>0</v>
      </c>
      <c r="L40" s="97">
        <f>L41</f>
        <v>0</v>
      </c>
      <c r="M40" s="97">
        <f>M41</f>
        <v>0</v>
      </c>
      <c r="N40" s="97">
        <f>N41</f>
        <v>0</v>
      </c>
      <c r="O40" s="98">
        <v>0</v>
      </c>
      <c r="P40" s="36">
        <f>P41</f>
        <v>0</v>
      </c>
      <c r="Q40" s="98">
        <v>0</v>
      </c>
      <c r="R40" s="36">
        <f>R41</f>
        <v>0</v>
      </c>
      <c r="S40" s="36">
        <f>S41</f>
        <v>0</v>
      </c>
      <c r="T40" s="36">
        <f>T41</f>
        <v>0</v>
      </c>
      <c r="U40" s="36">
        <f>U41</f>
        <v>0</v>
      </c>
      <c r="V40" s="94">
        <f t="shared" si="1"/>
        <v>0</v>
      </c>
    </row>
    <row r="41" spans="1:22" s="40" customFormat="1" ht="11.25">
      <c r="A41" s="33" t="s">
        <v>271</v>
      </c>
      <c r="B41" s="38" t="s">
        <v>272</v>
      </c>
      <c r="C41" s="38" t="s">
        <v>189</v>
      </c>
      <c r="D41" s="39" t="s">
        <v>273</v>
      </c>
      <c r="E41" s="118">
        <f>174800-174800</f>
        <v>0</v>
      </c>
      <c r="F41" s="118"/>
      <c r="G41" s="119"/>
      <c r="H41" s="118"/>
      <c r="I41" s="46"/>
      <c r="J41" s="120"/>
      <c r="K41" s="120"/>
      <c r="L41" s="118"/>
      <c r="M41" s="118"/>
      <c r="N41" s="118"/>
      <c r="O41" s="119"/>
      <c r="P41" s="46"/>
      <c r="Q41" s="119">
        <v>0</v>
      </c>
      <c r="R41" s="46"/>
      <c r="S41" s="46"/>
      <c r="T41" s="46"/>
      <c r="U41" s="46"/>
      <c r="V41" s="94">
        <f t="shared" si="1"/>
        <v>0</v>
      </c>
    </row>
    <row r="42" spans="1:22" ht="11.25">
      <c r="A42" s="33" t="s">
        <v>274</v>
      </c>
      <c r="B42" s="34" t="s">
        <v>275</v>
      </c>
      <c r="C42" s="34"/>
      <c r="D42" s="35" t="s">
        <v>183</v>
      </c>
      <c r="E42" s="97">
        <f>E43+E44</f>
        <v>0</v>
      </c>
      <c r="F42" s="97">
        <f>F43+F44</f>
        <v>0</v>
      </c>
      <c r="G42" s="98">
        <v>0</v>
      </c>
      <c r="H42" s="97">
        <f>H43+H44</f>
        <v>0</v>
      </c>
      <c r="I42" s="36">
        <f>I43+I44</f>
        <v>0</v>
      </c>
      <c r="J42" s="99">
        <v>0</v>
      </c>
      <c r="K42" s="99">
        <v>0</v>
      </c>
      <c r="L42" s="97">
        <f>L43+L44</f>
        <v>0</v>
      </c>
      <c r="M42" s="97">
        <f>M43+M44</f>
        <v>0</v>
      </c>
      <c r="N42" s="97">
        <f>N43+N44</f>
        <v>0</v>
      </c>
      <c r="O42" s="98">
        <v>0</v>
      </c>
      <c r="P42" s="36">
        <f>P43+P44</f>
        <v>0</v>
      </c>
      <c r="Q42" s="98">
        <v>0</v>
      </c>
      <c r="R42" s="36">
        <f>R43+R44</f>
        <v>0</v>
      </c>
      <c r="S42" s="36">
        <f>S43+S44</f>
        <v>0</v>
      </c>
      <c r="T42" s="36">
        <f>T43+T44</f>
        <v>0</v>
      </c>
      <c r="U42" s="36">
        <f>U43+U44</f>
        <v>0</v>
      </c>
      <c r="V42" s="94">
        <f t="shared" si="1"/>
        <v>0</v>
      </c>
    </row>
    <row r="43" spans="1:22" s="40" customFormat="1" ht="11.25">
      <c r="A43" s="33" t="s">
        <v>276</v>
      </c>
      <c r="B43" s="38" t="s">
        <v>277</v>
      </c>
      <c r="C43" s="38" t="s">
        <v>189</v>
      </c>
      <c r="D43" s="39" t="s">
        <v>260</v>
      </c>
      <c r="E43" s="118"/>
      <c r="F43" s="118"/>
      <c r="G43" s="119"/>
      <c r="H43" s="118"/>
      <c r="I43" s="46"/>
      <c r="J43" s="120"/>
      <c r="K43" s="120"/>
      <c r="L43" s="118"/>
      <c r="M43" s="118"/>
      <c r="N43" s="118"/>
      <c r="O43" s="119"/>
      <c r="P43" s="46"/>
      <c r="Q43" s="119"/>
      <c r="R43" s="46"/>
      <c r="S43" s="46"/>
      <c r="T43" s="46"/>
      <c r="U43" s="46"/>
      <c r="V43" s="94">
        <f t="shared" si="1"/>
        <v>0</v>
      </c>
    </row>
    <row r="44" spans="1:22" s="40" customFormat="1" ht="11.25">
      <c r="A44" s="33" t="s">
        <v>278</v>
      </c>
      <c r="B44" s="38" t="s">
        <v>279</v>
      </c>
      <c r="C44" s="38" t="s">
        <v>189</v>
      </c>
      <c r="D44" s="39" t="s">
        <v>260</v>
      </c>
      <c r="E44" s="118"/>
      <c r="F44" s="118"/>
      <c r="G44" s="119"/>
      <c r="H44" s="118"/>
      <c r="I44" s="46"/>
      <c r="J44" s="120"/>
      <c r="K44" s="120"/>
      <c r="L44" s="118"/>
      <c r="M44" s="118"/>
      <c r="N44" s="118"/>
      <c r="O44" s="119"/>
      <c r="P44" s="46"/>
      <c r="Q44" s="119"/>
      <c r="R44" s="46"/>
      <c r="S44" s="46"/>
      <c r="T44" s="46"/>
      <c r="U44" s="46"/>
      <c r="V44" s="94">
        <f t="shared" si="1"/>
        <v>0</v>
      </c>
    </row>
    <row r="45" spans="1:22" ht="11.25">
      <c r="A45" s="33" t="s">
        <v>280</v>
      </c>
      <c r="B45" s="34" t="s">
        <v>281</v>
      </c>
      <c r="C45" s="34"/>
      <c r="D45" s="35" t="s">
        <v>183</v>
      </c>
      <c r="E45" s="97">
        <f>E46</f>
        <v>3960</v>
      </c>
      <c r="F45" s="97">
        <f t="shared" ref="F45:U45" si="21">F46</f>
        <v>2880</v>
      </c>
      <c r="G45" s="97">
        <f t="shared" si="21"/>
        <v>1440</v>
      </c>
      <c r="H45" s="97">
        <f t="shared" si="21"/>
        <v>6480</v>
      </c>
      <c r="I45" s="97">
        <f t="shared" si="21"/>
        <v>3960</v>
      </c>
      <c r="J45" s="97">
        <f t="shared" si="21"/>
        <v>720</v>
      </c>
      <c r="K45" s="97">
        <f t="shared" si="21"/>
        <v>6120</v>
      </c>
      <c r="L45" s="97">
        <f t="shared" si="21"/>
        <v>1080</v>
      </c>
      <c r="M45" s="97">
        <f t="shared" si="21"/>
        <v>720</v>
      </c>
      <c r="N45" s="97">
        <f t="shared" si="21"/>
        <v>6480</v>
      </c>
      <c r="O45" s="97">
        <f t="shared" si="21"/>
        <v>4680</v>
      </c>
      <c r="P45" s="97">
        <f t="shared" si="21"/>
        <v>5100</v>
      </c>
      <c r="Q45" s="97">
        <f t="shared" si="21"/>
        <v>2520</v>
      </c>
      <c r="R45" s="97">
        <f t="shared" si="21"/>
        <v>2880</v>
      </c>
      <c r="S45" s="97">
        <f t="shared" si="21"/>
        <v>1800</v>
      </c>
      <c r="T45" s="97">
        <f t="shared" si="21"/>
        <v>1440</v>
      </c>
      <c r="U45" s="97">
        <f t="shared" si="21"/>
        <v>720</v>
      </c>
      <c r="V45" s="94">
        <f t="shared" si="1"/>
        <v>52980</v>
      </c>
    </row>
    <row r="46" spans="1:22" ht="11.25">
      <c r="A46" s="33" t="s">
        <v>282</v>
      </c>
      <c r="B46" s="34" t="s">
        <v>283</v>
      </c>
      <c r="C46" s="34" t="s">
        <v>189</v>
      </c>
      <c r="D46" s="35" t="s">
        <v>190</v>
      </c>
      <c r="E46" s="121">
        <f>330*12</f>
        <v>3960</v>
      </c>
      <c r="F46" s="121">
        <v>2880</v>
      </c>
      <c r="G46" s="96">
        <v>1440</v>
      </c>
      <c r="H46" s="122">
        <v>6480</v>
      </c>
      <c r="I46" s="37">
        <v>3960</v>
      </c>
      <c r="J46" s="121">
        <v>720</v>
      </c>
      <c r="K46" s="121">
        <v>6120</v>
      </c>
      <c r="L46" s="122">
        <f>90*12</f>
        <v>1080</v>
      </c>
      <c r="M46" s="121">
        <f>60*12</f>
        <v>720</v>
      </c>
      <c r="N46" s="122">
        <v>6480</v>
      </c>
      <c r="O46" s="96">
        <v>4680</v>
      </c>
      <c r="P46" s="37">
        <v>5100</v>
      </c>
      <c r="Q46" s="96">
        <f>210*12</f>
        <v>2520</v>
      </c>
      <c r="R46" s="37">
        <v>2880</v>
      </c>
      <c r="S46" s="37">
        <v>1800</v>
      </c>
      <c r="T46" s="37">
        <v>1440</v>
      </c>
      <c r="U46" s="37">
        <v>720</v>
      </c>
      <c r="V46" s="94">
        <f t="shared" si="1"/>
        <v>52980</v>
      </c>
    </row>
    <row r="47" spans="1:22" ht="11.25">
      <c r="A47" s="33" t="s">
        <v>284</v>
      </c>
      <c r="B47" s="34" t="s">
        <v>285</v>
      </c>
      <c r="C47" s="34"/>
      <c r="D47" s="35" t="s">
        <v>183</v>
      </c>
      <c r="E47" s="97">
        <f>SUM(E48:E51)</f>
        <v>6000</v>
      </c>
      <c r="F47" s="97">
        <f t="shared" ref="F47:U47" si="22">SUM(F48:F51)</f>
        <v>9000</v>
      </c>
      <c r="G47" s="97">
        <f t="shared" si="22"/>
        <v>6000</v>
      </c>
      <c r="H47" s="97">
        <f t="shared" si="22"/>
        <v>10800</v>
      </c>
      <c r="I47" s="97">
        <f t="shared" si="22"/>
        <v>1800</v>
      </c>
      <c r="J47" s="97">
        <f t="shared" si="22"/>
        <v>3000</v>
      </c>
      <c r="K47" s="97">
        <f t="shared" si="22"/>
        <v>8000</v>
      </c>
      <c r="L47" s="97">
        <f t="shared" si="22"/>
        <v>500</v>
      </c>
      <c r="M47" s="97">
        <f t="shared" si="22"/>
        <v>0</v>
      </c>
      <c r="N47" s="97">
        <f t="shared" si="22"/>
        <v>4500</v>
      </c>
      <c r="O47" s="97">
        <f t="shared" si="22"/>
        <v>10000</v>
      </c>
      <c r="P47" s="97">
        <f t="shared" si="22"/>
        <v>6700</v>
      </c>
      <c r="Q47" s="97">
        <f t="shared" si="22"/>
        <v>3600</v>
      </c>
      <c r="R47" s="97">
        <f t="shared" si="22"/>
        <v>3000</v>
      </c>
      <c r="S47" s="97">
        <f t="shared" si="22"/>
        <v>4800</v>
      </c>
      <c r="T47" s="97">
        <f t="shared" si="22"/>
        <v>2400</v>
      </c>
      <c r="U47" s="97">
        <f t="shared" si="22"/>
        <v>600</v>
      </c>
      <c r="V47" s="94">
        <f t="shared" si="1"/>
        <v>80700</v>
      </c>
    </row>
    <row r="48" spans="1:22" ht="11.25">
      <c r="A48" s="33" t="s">
        <v>286</v>
      </c>
      <c r="B48" s="34" t="s">
        <v>287</v>
      </c>
      <c r="C48" s="34" t="s">
        <v>189</v>
      </c>
      <c r="D48" s="35" t="s">
        <v>288</v>
      </c>
      <c r="E48" s="121">
        <v>6000</v>
      </c>
      <c r="F48" s="121">
        <v>9000</v>
      </c>
      <c r="G48" s="96">
        <v>6000</v>
      </c>
      <c r="H48" s="122">
        <v>10800</v>
      </c>
      <c r="I48" s="37">
        <v>1800</v>
      </c>
      <c r="J48" s="121">
        <v>3000</v>
      </c>
      <c r="K48" s="121">
        <v>8000</v>
      </c>
      <c r="L48" s="122">
        <f>50*10</f>
        <v>500</v>
      </c>
      <c r="M48" s="122"/>
      <c r="N48" s="122">
        <v>4500</v>
      </c>
      <c r="O48" s="96">
        <v>10000</v>
      </c>
      <c r="P48" s="37">
        <v>6700</v>
      </c>
      <c r="Q48" s="96">
        <f>300*12</f>
        <v>3600</v>
      </c>
      <c r="R48" s="37">
        <v>3000</v>
      </c>
      <c r="S48" s="37">
        <v>4800</v>
      </c>
      <c r="T48" s="37">
        <v>2400</v>
      </c>
      <c r="U48" s="37">
        <v>600</v>
      </c>
      <c r="V48" s="94">
        <f t="shared" si="1"/>
        <v>80700</v>
      </c>
    </row>
    <row r="49" spans="1:22" s="40" customFormat="1" ht="11.25">
      <c r="A49" s="33" t="s">
        <v>289</v>
      </c>
      <c r="B49" s="38" t="s">
        <v>290</v>
      </c>
      <c r="C49" s="38" t="s">
        <v>189</v>
      </c>
      <c r="D49" s="39" t="s">
        <v>291</v>
      </c>
      <c r="E49" s="118"/>
      <c r="F49" s="118"/>
      <c r="G49" s="119"/>
      <c r="H49" s="118"/>
      <c r="I49" s="46"/>
      <c r="J49" s="120"/>
      <c r="K49" s="120"/>
      <c r="L49" s="118"/>
      <c r="M49" s="118"/>
      <c r="N49" s="118"/>
      <c r="O49" s="119"/>
      <c r="P49" s="46"/>
      <c r="Q49" s="119">
        <v>0</v>
      </c>
      <c r="R49" s="46"/>
      <c r="S49" s="46"/>
      <c r="T49" s="46">
        <v>0</v>
      </c>
      <c r="U49" s="46"/>
      <c r="V49" s="94">
        <f t="shared" si="1"/>
        <v>0</v>
      </c>
    </row>
    <row r="50" spans="1:22" s="40" customFormat="1" ht="11.25">
      <c r="A50" s="33" t="s">
        <v>292</v>
      </c>
      <c r="B50" s="38" t="s">
        <v>293</v>
      </c>
      <c r="C50" s="38" t="s">
        <v>189</v>
      </c>
      <c r="D50" s="39" t="s">
        <v>291</v>
      </c>
      <c r="E50" s="118"/>
      <c r="F50" s="118"/>
      <c r="G50" s="119"/>
      <c r="H50" s="118"/>
      <c r="I50" s="46"/>
      <c r="J50" s="120"/>
      <c r="K50" s="120"/>
      <c r="L50" s="118"/>
      <c r="M50" s="118"/>
      <c r="N50" s="118"/>
      <c r="O50" s="119"/>
      <c r="P50" s="46"/>
      <c r="Q50" s="119">
        <v>0</v>
      </c>
      <c r="R50" s="46"/>
      <c r="S50" s="46"/>
      <c r="T50" s="46">
        <v>0</v>
      </c>
      <c r="U50" s="46"/>
      <c r="V50" s="94">
        <f t="shared" si="1"/>
        <v>0</v>
      </c>
    </row>
    <row r="51" spans="1:22" ht="22.5">
      <c r="A51" s="33" t="s">
        <v>294</v>
      </c>
      <c r="B51" s="34" t="s">
        <v>295</v>
      </c>
      <c r="C51" s="34" t="s">
        <v>189</v>
      </c>
      <c r="D51" s="42" t="s">
        <v>296</v>
      </c>
      <c r="E51" s="113"/>
      <c r="F51" s="113"/>
      <c r="G51" s="114"/>
      <c r="H51" s="113"/>
      <c r="I51" s="43"/>
      <c r="J51" s="115"/>
      <c r="K51" s="115"/>
      <c r="L51" s="113"/>
      <c r="M51" s="113"/>
      <c r="N51" s="113"/>
      <c r="O51" s="114"/>
      <c r="P51" s="43"/>
      <c r="Q51" s="114"/>
      <c r="R51" s="43"/>
      <c r="S51" s="43"/>
      <c r="T51" s="43"/>
      <c r="U51" s="43"/>
      <c r="V51" s="94">
        <f t="shared" si="1"/>
        <v>0</v>
      </c>
    </row>
    <row r="52" spans="1:22" s="125" customFormat="1" ht="11.25">
      <c r="A52" s="101" t="s">
        <v>297</v>
      </c>
      <c r="B52" s="123" t="s">
        <v>298</v>
      </c>
      <c r="C52" s="123"/>
      <c r="D52" s="124" t="s">
        <v>183</v>
      </c>
      <c r="E52" s="100">
        <f>E53+E71+E73+E75+E77+E79+E81+E83+E85+E93</f>
        <v>3942575.4</v>
      </c>
      <c r="F52" s="100">
        <f t="shared" ref="F52:U52" si="23">F53+F71+F73+F75+F77+F79+F81+F83+F85+F93</f>
        <v>3785730.6</v>
      </c>
      <c r="G52" s="100">
        <f t="shared" si="23"/>
        <v>2639022.9</v>
      </c>
      <c r="H52" s="100">
        <f t="shared" si="23"/>
        <v>2718746.39</v>
      </c>
      <c r="I52" s="100">
        <f t="shared" si="23"/>
        <v>5916868.8499999996</v>
      </c>
      <c r="J52" s="100">
        <f t="shared" si="23"/>
        <v>4253555.3</v>
      </c>
      <c r="K52" s="100">
        <f t="shared" si="23"/>
        <v>4797288</v>
      </c>
      <c r="L52" s="100">
        <f t="shared" si="23"/>
        <v>2346344.15</v>
      </c>
      <c r="M52" s="100">
        <f t="shared" si="23"/>
        <v>2468193.5500000003</v>
      </c>
      <c r="N52" s="100">
        <f t="shared" si="23"/>
        <v>2561896.75</v>
      </c>
      <c r="O52" s="100">
        <f t="shared" si="23"/>
        <v>3189106.7</v>
      </c>
      <c r="P52" s="100">
        <f t="shared" si="23"/>
        <v>3601508.8</v>
      </c>
      <c r="Q52" s="100">
        <f t="shared" si="23"/>
        <v>2152876.7999999998</v>
      </c>
      <c r="R52" s="100">
        <f t="shared" si="23"/>
        <v>1113226.45</v>
      </c>
      <c r="S52" s="100">
        <f t="shared" si="23"/>
        <v>2171715.92</v>
      </c>
      <c r="T52" s="100">
        <f t="shared" si="23"/>
        <v>1089320</v>
      </c>
      <c r="U52" s="100">
        <f t="shared" si="23"/>
        <v>463880</v>
      </c>
      <c r="V52" s="104">
        <f t="shared" si="1"/>
        <v>49211856.560000002</v>
      </c>
    </row>
    <row r="53" spans="1:22" ht="11.25">
      <c r="A53" s="33" t="s">
        <v>299</v>
      </c>
      <c r="B53" s="34" t="s">
        <v>300</v>
      </c>
      <c r="C53" s="34"/>
      <c r="D53" s="35" t="s">
        <v>301</v>
      </c>
      <c r="E53" s="97">
        <f t="shared" ref="E53:J53" si="24">SUM(E54:E70)</f>
        <v>2484720</v>
      </c>
      <c r="F53" s="97">
        <f t="shared" si="24"/>
        <v>2433780</v>
      </c>
      <c r="G53" s="97">
        <f t="shared" si="24"/>
        <v>1794210</v>
      </c>
      <c r="H53" s="97">
        <f t="shared" si="24"/>
        <v>1679100</v>
      </c>
      <c r="I53" s="36">
        <f t="shared" si="24"/>
        <v>4166760</v>
      </c>
      <c r="J53" s="99">
        <f t="shared" si="24"/>
        <v>2758070</v>
      </c>
      <c r="K53" s="99">
        <f>K54+K55+K56+K57+K58+K59+K60+K61+K62+K63+K64+K65+K66+K67+K68+K69+K70</f>
        <v>3609930</v>
      </c>
      <c r="L53" s="107">
        <f>SUM(L54:L70)</f>
        <v>1637160</v>
      </c>
      <c r="M53" s="97">
        <v>1786160</v>
      </c>
      <c r="N53" s="97">
        <f>SUM(N54:N70)</f>
        <v>1800820</v>
      </c>
      <c r="O53" s="97">
        <f>SUM(O54:O70)</f>
        <v>2295580</v>
      </c>
      <c r="P53" s="36">
        <f>SUM(P54:P70)</f>
        <v>2722520</v>
      </c>
      <c r="Q53" s="36">
        <v>1636740</v>
      </c>
      <c r="R53" s="36">
        <f>SUM(R54:R70)</f>
        <v>798000</v>
      </c>
      <c r="S53" s="36">
        <f>SUM(S54:S70)</f>
        <v>1601820</v>
      </c>
      <c r="T53" s="36">
        <f>SUM(T54:T70)</f>
        <v>861840</v>
      </c>
      <c r="U53" s="36">
        <f>SUM(U54:U70)</f>
        <v>192000</v>
      </c>
      <c r="V53" s="94">
        <f t="shared" si="1"/>
        <v>34259210</v>
      </c>
    </row>
    <row r="54" spans="1:22" ht="11.25">
      <c r="A54" s="33" t="s">
        <v>302</v>
      </c>
      <c r="B54" s="34" t="s">
        <v>303</v>
      </c>
      <c r="C54" s="34" t="s">
        <v>189</v>
      </c>
      <c r="D54" s="47"/>
      <c r="E54" s="96">
        <v>300000</v>
      </c>
      <c r="F54" s="96">
        <v>600000</v>
      </c>
      <c r="G54" s="96">
        <v>650499.5</v>
      </c>
      <c r="H54" s="37">
        <v>360000</v>
      </c>
      <c r="I54" s="37">
        <f>426413+556971+5605</f>
        <v>988989</v>
      </c>
      <c r="J54" s="96">
        <v>353471</v>
      </c>
      <c r="K54" s="121">
        <v>1984433.5</v>
      </c>
      <c r="L54" s="89">
        <v>322618</v>
      </c>
      <c r="M54" s="96">
        <v>390000</v>
      </c>
      <c r="N54" s="96">
        <f>500000+5054</f>
        <v>505054</v>
      </c>
      <c r="O54" s="96">
        <v>528801</v>
      </c>
      <c r="P54" s="37">
        <f>794715.62-22160+507</f>
        <v>773062.62</v>
      </c>
      <c r="Q54" s="96">
        <v>285529</v>
      </c>
      <c r="R54" s="37">
        <v>149000</v>
      </c>
      <c r="S54" s="37">
        <v>495506</v>
      </c>
      <c r="T54" s="37">
        <v>160648</v>
      </c>
      <c r="U54" s="37">
        <v>46400</v>
      </c>
      <c r="V54" s="94">
        <f t="shared" si="1"/>
        <v>8894011.620000001</v>
      </c>
    </row>
    <row r="55" spans="1:22" ht="11.25">
      <c r="A55" s="33" t="s">
        <v>304</v>
      </c>
      <c r="B55" s="34" t="s">
        <v>305</v>
      </c>
      <c r="C55" s="34" t="s">
        <v>189</v>
      </c>
      <c r="D55" s="47"/>
      <c r="E55" s="96">
        <v>300000</v>
      </c>
      <c r="F55" s="96">
        <v>200000</v>
      </c>
      <c r="G55" s="96">
        <v>200000</v>
      </c>
      <c r="H55" s="37">
        <v>150000</v>
      </c>
      <c r="I55" s="37">
        <v>20000</v>
      </c>
      <c r="J55" s="96">
        <v>100000</v>
      </c>
      <c r="K55" s="121">
        <v>100000</v>
      </c>
      <c r="L55" s="37">
        <v>14000</v>
      </c>
      <c r="M55" s="96">
        <v>30000</v>
      </c>
      <c r="N55" s="96"/>
      <c r="O55" s="96"/>
      <c r="P55" s="37">
        <v>59701.5</v>
      </c>
      <c r="Q55" s="96">
        <v>10000</v>
      </c>
      <c r="R55" s="37">
        <v>1000</v>
      </c>
      <c r="S55" s="37">
        <v>5000</v>
      </c>
      <c r="T55" s="37">
        <v>10000</v>
      </c>
      <c r="U55" s="37"/>
      <c r="V55" s="94">
        <f t="shared" si="1"/>
        <v>1199701.5</v>
      </c>
    </row>
    <row r="56" spans="1:22" ht="11.25">
      <c r="A56" s="33" t="s">
        <v>306</v>
      </c>
      <c r="B56" s="34" t="s">
        <v>307</v>
      </c>
      <c r="C56" s="34" t="s">
        <v>189</v>
      </c>
      <c r="D56" s="47"/>
      <c r="E56" s="96">
        <v>15000</v>
      </c>
      <c r="F56" s="96">
        <v>20000</v>
      </c>
      <c r="G56" s="96">
        <v>25000</v>
      </c>
      <c r="H56" s="37">
        <v>12000</v>
      </c>
      <c r="I56" s="37">
        <v>30000</v>
      </c>
      <c r="J56" s="96">
        <v>17000</v>
      </c>
      <c r="K56" s="121">
        <v>90000</v>
      </c>
      <c r="L56" s="37">
        <v>12900</v>
      </c>
      <c r="M56" s="96">
        <v>40000</v>
      </c>
      <c r="N56" s="96">
        <v>5000</v>
      </c>
      <c r="O56" s="96">
        <v>20000</v>
      </c>
      <c r="P56" s="37">
        <v>330</v>
      </c>
      <c r="Q56" s="96">
        <v>15000</v>
      </c>
      <c r="R56" s="37">
        <v>12000</v>
      </c>
      <c r="S56" s="37">
        <v>12000</v>
      </c>
      <c r="T56" s="37">
        <v>15000</v>
      </c>
      <c r="U56" s="37"/>
      <c r="V56" s="94">
        <f t="shared" si="1"/>
        <v>341230</v>
      </c>
    </row>
    <row r="57" spans="1:22" ht="11.25">
      <c r="A57" s="33" t="s">
        <v>308</v>
      </c>
      <c r="B57" s="34" t="s">
        <v>309</v>
      </c>
      <c r="C57" s="34" t="s">
        <v>189</v>
      </c>
      <c r="D57" s="47"/>
      <c r="E57" s="96">
        <v>80000</v>
      </c>
      <c r="F57" s="96">
        <v>60000</v>
      </c>
      <c r="G57" s="96">
        <v>50000</v>
      </c>
      <c r="H57" s="37">
        <v>100000</v>
      </c>
      <c r="I57" s="37">
        <v>30000</v>
      </c>
      <c r="J57" s="96">
        <v>100000</v>
      </c>
      <c r="K57" s="121">
        <v>100000</v>
      </c>
      <c r="L57" s="37">
        <v>42000</v>
      </c>
      <c r="M57" s="96">
        <v>20000</v>
      </c>
      <c r="N57" s="96">
        <v>25000</v>
      </c>
      <c r="O57" s="96">
        <v>50000</v>
      </c>
      <c r="P57" s="37">
        <v>26231.21</v>
      </c>
      <c r="Q57" s="96">
        <v>25000</v>
      </c>
      <c r="R57" s="37">
        <v>20000</v>
      </c>
      <c r="S57" s="37">
        <v>23000</v>
      </c>
      <c r="T57" s="37">
        <v>20000</v>
      </c>
      <c r="U57" s="37">
        <v>11000</v>
      </c>
      <c r="V57" s="94">
        <f t="shared" si="1"/>
        <v>782231.21</v>
      </c>
    </row>
    <row r="58" spans="1:22" ht="11.25">
      <c r="A58" s="33" t="s">
        <v>310</v>
      </c>
      <c r="B58" s="34" t="s">
        <v>311</v>
      </c>
      <c r="C58" s="34" t="s">
        <v>189</v>
      </c>
      <c r="D58" s="47"/>
      <c r="E58" s="121">
        <v>180000</v>
      </c>
      <c r="F58" s="121">
        <v>150000</v>
      </c>
      <c r="G58" s="96">
        <v>134000</v>
      </c>
      <c r="H58" s="122">
        <v>450000</v>
      </c>
      <c r="I58" s="37">
        <v>160000</v>
      </c>
      <c r="J58" s="121">
        <v>180000</v>
      </c>
      <c r="K58" s="121">
        <v>200000</v>
      </c>
      <c r="L58" s="122">
        <v>132000</v>
      </c>
      <c r="M58" s="121">
        <v>140000</v>
      </c>
      <c r="N58" s="121">
        <v>200000</v>
      </c>
      <c r="O58" s="96">
        <v>200000</v>
      </c>
      <c r="P58" s="37">
        <v>144401.51999999999</v>
      </c>
      <c r="Q58" s="96">
        <v>100000</v>
      </c>
      <c r="R58" s="37">
        <v>90000</v>
      </c>
      <c r="S58" s="37">
        <v>200000</v>
      </c>
      <c r="T58" s="37">
        <v>30000</v>
      </c>
      <c r="U58" s="37">
        <v>30000</v>
      </c>
      <c r="V58" s="94">
        <f t="shared" si="1"/>
        <v>2720401.52</v>
      </c>
    </row>
    <row r="59" spans="1:22" ht="11.25">
      <c r="A59" s="33" t="s">
        <v>312</v>
      </c>
      <c r="B59" s="34" t="s">
        <v>313</v>
      </c>
      <c r="C59" s="34" t="s">
        <v>189</v>
      </c>
      <c r="D59" s="47"/>
      <c r="E59" s="121">
        <v>180000</v>
      </c>
      <c r="F59" s="121">
        <v>10000</v>
      </c>
      <c r="G59" s="96">
        <v>4500</v>
      </c>
      <c r="H59" s="122">
        <v>20000</v>
      </c>
      <c r="I59" s="37">
        <v>13000</v>
      </c>
      <c r="J59" s="121">
        <v>4000</v>
      </c>
      <c r="K59" s="121">
        <v>10000</v>
      </c>
      <c r="L59" s="122">
        <v>59000</v>
      </c>
      <c r="M59" s="121">
        <v>5000</v>
      </c>
      <c r="N59" s="121">
        <v>20000</v>
      </c>
      <c r="O59" s="96">
        <v>10000</v>
      </c>
      <c r="P59" s="37">
        <v>3923.4</v>
      </c>
      <c r="Q59" s="96">
        <v>10000</v>
      </c>
      <c r="R59" s="37">
        <v>2300</v>
      </c>
      <c r="S59" s="37">
        <v>4500</v>
      </c>
      <c r="T59" s="37">
        <v>10000</v>
      </c>
      <c r="U59" s="37">
        <v>20000</v>
      </c>
      <c r="V59" s="94">
        <f t="shared" si="1"/>
        <v>386223.4</v>
      </c>
    </row>
    <row r="60" spans="1:22" ht="11.25">
      <c r="A60" s="33" t="s">
        <v>314</v>
      </c>
      <c r="B60" s="34" t="s">
        <v>315</v>
      </c>
      <c r="C60" s="34" t="s">
        <v>189</v>
      </c>
      <c r="D60" s="47"/>
      <c r="E60" s="121">
        <v>50000</v>
      </c>
      <c r="F60" s="121">
        <v>60000</v>
      </c>
      <c r="G60" s="96">
        <v>5000</v>
      </c>
      <c r="H60" s="122">
        <v>20000</v>
      </c>
      <c r="I60" s="37">
        <v>4000</v>
      </c>
      <c r="J60" s="121">
        <v>10000</v>
      </c>
      <c r="K60" s="121">
        <v>10000</v>
      </c>
      <c r="L60" s="122">
        <v>20000</v>
      </c>
      <c r="M60" s="121">
        <v>10000</v>
      </c>
      <c r="N60" s="121">
        <v>2000</v>
      </c>
      <c r="O60" s="96">
        <v>10000</v>
      </c>
      <c r="P60" s="37">
        <v>2557.5</v>
      </c>
      <c r="Q60" s="96">
        <v>5000</v>
      </c>
      <c r="R60" s="37">
        <v>4000</v>
      </c>
      <c r="S60" s="37">
        <v>4000</v>
      </c>
      <c r="T60" s="37">
        <v>5000</v>
      </c>
      <c r="U60" s="37"/>
      <c r="V60" s="94">
        <f t="shared" si="1"/>
        <v>221557.5</v>
      </c>
    </row>
    <row r="61" spans="1:22" ht="11.25">
      <c r="A61" s="33" t="s">
        <v>316</v>
      </c>
      <c r="B61" s="34" t="s">
        <v>317</v>
      </c>
      <c r="C61" s="34" t="s">
        <v>189</v>
      </c>
      <c r="D61" s="47"/>
      <c r="E61" s="121">
        <v>200000</v>
      </c>
      <c r="F61" s="121">
        <v>300000</v>
      </c>
      <c r="G61" s="96">
        <v>200000</v>
      </c>
      <c r="H61" s="122">
        <v>100000</v>
      </c>
      <c r="I61" s="37">
        <f>1000000+181309.5</f>
        <v>1181309.5</v>
      </c>
      <c r="J61" s="121">
        <v>350000</v>
      </c>
      <c r="K61" s="121">
        <v>50000</v>
      </c>
      <c r="L61" s="122">
        <v>150000</v>
      </c>
      <c r="M61" s="121">
        <v>145000</v>
      </c>
      <c r="N61" s="121">
        <v>300000</v>
      </c>
      <c r="O61" s="96">
        <v>400000</v>
      </c>
      <c r="P61" s="37">
        <v>69795</v>
      </c>
      <c r="Q61" s="96">
        <v>300000</v>
      </c>
      <c r="R61" s="37">
        <v>180000</v>
      </c>
      <c r="S61" s="37">
        <v>319567</v>
      </c>
      <c r="T61" s="37">
        <v>50000</v>
      </c>
      <c r="U61" s="37">
        <v>40000</v>
      </c>
      <c r="V61" s="94">
        <f t="shared" si="1"/>
        <v>4335671.5</v>
      </c>
    </row>
    <row r="62" spans="1:22" ht="11.25">
      <c r="A62" s="33" t="s">
        <v>318</v>
      </c>
      <c r="B62" s="34" t="s">
        <v>319</v>
      </c>
      <c r="C62" s="34" t="s">
        <v>189</v>
      </c>
      <c r="D62" s="47"/>
      <c r="E62" s="121"/>
      <c r="F62" s="121"/>
      <c r="G62" s="96"/>
      <c r="H62" s="122"/>
      <c r="I62" s="37"/>
      <c r="J62" s="121"/>
      <c r="K62" s="121">
        <v>5000</v>
      </c>
      <c r="L62" s="122"/>
      <c r="M62" s="121"/>
      <c r="N62" s="121"/>
      <c r="O62" s="96"/>
      <c r="P62" s="37">
        <v>0</v>
      </c>
      <c r="Q62" s="96"/>
      <c r="R62" s="37"/>
      <c r="S62" s="37"/>
      <c r="T62" s="37"/>
      <c r="U62" s="37"/>
      <c r="V62" s="94">
        <f t="shared" si="1"/>
        <v>5000</v>
      </c>
    </row>
    <row r="63" spans="1:22" ht="11.25">
      <c r="A63" s="33" t="s">
        <v>320</v>
      </c>
      <c r="B63" s="34" t="s">
        <v>321</v>
      </c>
      <c r="C63" s="34" t="s">
        <v>322</v>
      </c>
      <c r="D63" s="47" t="s">
        <v>323</v>
      </c>
      <c r="E63" s="121">
        <v>124236</v>
      </c>
      <c r="F63" s="121">
        <f>121124+565</f>
        <v>121689</v>
      </c>
      <c r="G63" s="96">
        <v>89710.5</v>
      </c>
      <c r="H63" s="126">
        <v>31034</v>
      </c>
      <c r="I63" s="37">
        <v>176461.5</v>
      </c>
      <c r="J63" s="121">
        <v>137903.5</v>
      </c>
      <c r="K63" s="121">
        <v>180496.5</v>
      </c>
      <c r="L63" s="89">
        <v>64642</v>
      </c>
      <c r="M63" s="121">
        <v>89308</v>
      </c>
      <c r="N63" s="121">
        <v>90041</v>
      </c>
      <c r="O63" s="96">
        <v>114779</v>
      </c>
      <c r="P63" s="37">
        <v>114314</v>
      </c>
      <c r="Q63" s="96">
        <v>67473</v>
      </c>
      <c r="R63" s="37">
        <v>36309</v>
      </c>
      <c r="S63" s="37">
        <v>52427</v>
      </c>
      <c r="T63" s="37">
        <v>43092</v>
      </c>
      <c r="U63" s="37">
        <v>9600</v>
      </c>
      <c r="V63" s="94">
        <f t="shared" si="1"/>
        <v>1543516</v>
      </c>
    </row>
    <row r="64" spans="1:22" ht="11.25">
      <c r="A64" s="33" t="s">
        <v>324</v>
      </c>
      <c r="B64" s="34" t="s">
        <v>325</v>
      </c>
      <c r="C64" s="34" t="s">
        <v>189</v>
      </c>
      <c r="D64" s="47"/>
      <c r="E64" s="121"/>
      <c r="F64" s="121"/>
      <c r="G64" s="96"/>
      <c r="H64" s="122">
        <v>10000</v>
      </c>
      <c r="I64" s="37"/>
      <c r="J64" s="121">
        <v>20000</v>
      </c>
      <c r="K64" s="121">
        <v>20000</v>
      </c>
      <c r="L64" s="122">
        <v>5000</v>
      </c>
      <c r="M64" s="121">
        <v>1000</v>
      </c>
      <c r="N64" s="121">
        <v>12000</v>
      </c>
      <c r="O64" s="96">
        <v>12000</v>
      </c>
      <c r="P64" s="37">
        <v>20000</v>
      </c>
      <c r="Q64" s="96">
        <v>6000</v>
      </c>
      <c r="R64" s="37"/>
      <c r="S64" s="37"/>
      <c r="T64" s="37">
        <v>1000</v>
      </c>
      <c r="U64" s="37"/>
      <c r="V64" s="94">
        <f t="shared" si="1"/>
        <v>107000</v>
      </c>
    </row>
    <row r="65" spans="1:22" ht="11.25">
      <c r="A65" s="33" t="s">
        <v>326</v>
      </c>
      <c r="B65" s="34" t="s">
        <v>327</v>
      </c>
      <c r="C65" s="34" t="s">
        <v>189</v>
      </c>
      <c r="D65" s="47"/>
      <c r="E65" s="121">
        <v>100000</v>
      </c>
      <c r="F65" s="121"/>
      <c r="G65" s="96">
        <v>150000</v>
      </c>
      <c r="H65" s="122">
        <v>60000</v>
      </c>
      <c r="I65" s="37">
        <v>500000</v>
      </c>
      <c r="J65" s="121">
        <v>350000</v>
      </c>
      <c r="K65" s="121">
        <v>20000</v>
      </c>
      <c r="L65" s="122">
        <v>200000</v>
      </c>
      <c r="M65" s="121">
        <v>100000</v>
      </c>
      <c r="N65" s="121">
        <v>141725</v>
      </c>
      <c r="O65" s="96">
        <v>200000</v>
      </c>
      <c r="P65" s="37">
        <v>667091.89999999991</v>
      </c>
      <c r="Q65" s="96">
        <v>30000</v>
      </c>
      <c r="R65" s="37">
        <v>32000</v>
      </c>
      <c r="S65" s="37">
        <v>150000</v>
      </c>
      <c r="T65" s="37">
        <v>127100</v>
      </c>
      <c r="U65" s="37"/>
      <c r="V65" s="94">
        <f t="shared" si="1"/>
        <v>2827916.9</v>
      </c>
    </row>
    <row r="66" spans="1:22" ht="11.25">
      <c r="A66" s="33" t="s">
        <v>328</v>
      </c>
      <c r="B66" s="34" t="s">
        <v>329</v>
      </c>
      <c r="C66" s="34" t="s">
        <v>189</v>
      </c>
      <c r="D66" s="47"/>
      <c r="E66" s="121">
        <v>50000</v>
      </c>
      <c r="F66" s="121">
        <v>20000</v>
      </c>
      <c r="G66" s="96">
        <v>5000</v>
      </c>
      <c r="H66" s="122">
        <v>100000</v>
      </c>
      <c r="I66" s="37">
        <v>3000</v>
      </c>
      <c r="J66" s="121">
        <v>40000</v>
      </c>
      <c r="K66" s="121">
        <v>150000</v>
      </c>
      <c r="L66" s="122">
        <v>50000</v>
      </c>
      <c r="M66" s="121">
        <v>50000</v>
      </c>
      <c r="N66" s="121"/>
      <c r="O66" s="96">
        <v>50000</v>
      </c>
      <c r="P66" s="37">
        <v>9130</v>
      </c>
      <c r="Q66" s="96">
        <v>5000</v>
      </c>
      <c r="R66" s="37">
        <v>1000</v>
      </c>
      <c r="S66" s="37">
        <v>5000</v>
      </c>
      <c r="T66" s="37">
        <v>10000</v>
      </c>
      <c r="U66" s="37">
        <v>20000</v>
      </c>
      <c r="V66" s="94">
        <f t="shared" si="1"/>
        <v>568130</v>
      </c>
    </row>
    <row r="67" spans="1:22" ht="11.25">
      <c r="A67" s="33" t="s">
        <v>330</v>
      </c>
      <c r="B67" s="34" t="s">
        <v>331</v>
      </c>
      <c r="C67" s="34" t="s">
        <v>189</v>
      </c>
      <c r="D67" s="47"/>
      <c r="E67" s="121"/>
      <c r="F67" s="121">
        <v>1000</v>
      </c>
      <c r="G67" s="96">
        <v>500</v>
      </c>
      <c r="H67" s="122"/>
      <c r="I67" s="37"/>
      <c r="J67" s="121"/>
      <c r="K67" s="121"/>
      <c r="L67" s="122"/>
      <c r="M67" s="121"/>
      <c r="N67" s="121"/>
      <c r="O67" s="96"/>
      <c r="P67" s="37">
        <v>0</v>
      </c>
      <c r="Q67" s="96">
        <v>10000</v>
      </c>
      <c r="R67" s="37"/>
      <c r="S67" s="37">
        <v>5000</v>
      </c>
      <c r="T67" s="37"/>
      <c r="U67" s="37"/>
      <c r="V67" s="94">
        <f t="shared" ref="V67:V109" si="25">SUM(E67:U67)</f>
        <v>16500</v>
      </c>
    </row>
    <row r="68" spans="1:22" ht="11.25">
      <c r="A68" s="33" t="s">
        <v>332</v>
      </c>
      <c r="B68" s="34" t="s">
        <v>333</v>
      </c>
      <c r="C68" s="34" t="s">
        <v>189</v>
      </c>
      <c r="D68" s="47"/>
      <c r="E68" s="121">
        <f>472064+2120+11300</f>
        <v>485484</v>
      </c>
      <c r="F68" s="121">
        <f>780356-565+11300</f>
        <v>791091</v>
      </c>
      <c r="G68" s="96">
        <v>200000</v>
      </c>
      <c r="H68" s="126">
        <v>106066</v>
      </c>
      <c r="I68" s="37">
        <v>500000</v>
      </c>
      <c r="J68" s="121">
        <v>595695.5</v>
      </c>
      <c r="K68" s="121">
        <v>650000</v>
      </c>
      <c r="L68" s="122">
        <v>400000</v>
      </c>
      <c r="M68" s="121">
        <v>515852</v>
      </c>
      <c r="N68" s="121">
        <v>200000</v>
      </c>
      <c r="O68" s="96">
        <v>300000</v>
      </c>
      <c r="P68" s="37">
        <v>398341.35</v>
      </c>
      <c r="Q68" s="96">
        <v>537738</v>
      </c>
      <c r="R68" s="37">
        <v>230391</v>
      </c>
      <c r="S68" s="37">
        <f>200000+5820</f>
        <v>205820</v>
      </c>
      <c r="T68" s="37">
        <v>100000</v>
      </c>
      <c r="U68" s="37">
        <v>15000</v>
      </c>
      <c r="V68" s="94">
        <f t="shared" si="25"/>
        <v>6231478.8499999996</v>
      </c>
    </row>
    <row r="69" spans="1:22" ht="11.25">
      <c r="A69" s="33" t="s">
        <v>334</v>
      </c>
      <c r="B69" s="34" t="s">
        <v>335</v>
      </c>
      <c r="C69" s="34" t="s">
        <v>189</v>
      </c>
      <c r="D69" s="47"/>
      <c r="E69" s="121">
        <v>260000</v>
      </c>
      <c r="F69" s="121">
        <v>50000</v>
      </c>
      <c r="G69" s="96">
        <v>50000</v>
      </c>
      <c r="H69" s="122">
        <v>100000</v>
      </c>
      <c r="I69" s="37">
        <v>500000</v>
      </c>
      <c r="J69" s="121">
        <v>300000</v>
      </c>
      <c r="K69" s="121">
        <v>20000</v>
      </c>
      <c r="L69" s="122">
        <v>115000</v>
      </c>
      <c r="M69" s="121">
        <v>200000</v>
      </c>
      <c r="N69" s="121">
        <v>200000</v>
      </c>
      <c r="O69" s="96">
        <v>200000</v>
      </c>
      <c r="P69" s="37">
        <v>240855</v>
      </c>
      <c r="Q69" s="96">
        <v>150000</v>
      </c>
      <c r="R69" s="37">
        <v>25000</v>
      </c>
      <c r="S69" s="37">
        <v>60000</v>
      </c>
      <c r="T69" s="37">
        <v>180000</v>
      </c>
      <c r="U69" s="37"/>
      <c r="V69" s="94">
        <f t="shared" si="25"/>
        <v>2650855</v>
      </c>
    </row>
    <row r="70" spans="1:22" ht="11.25">
      <c r="A70" s="33" t="s">
        <v>336</v>
      </c>
      <c r="B70" s="34" t="s">
        <v>337</v>
      </c>
      <c r="C70" s="34" t="s">
        <v>189</v>
      </c>
      <c r="D70" s="47"/>
      <c r="E70" s="121">
        <v>160000</v>
      </c>
      <c r="F70" s="121">
        <v>50000</v>
      </c>
      <c r="G70" s="96">
        <v>30000</v>
      </c>
      <c r="H70" s="122">
        <v>60000</v>
      </c>
      <c r="I70" s="37">
        <v>60000</v>
      </c>
      <c r="J70" s="121">
        <v>200000</v>
      </c>
      <c r="K70" s="121">
        <v>20000</v>
      </c>
      <c r="L70" s="122">
        <v>50000</v>
      </c>
      <c r="M70" s="121">
        <v>50000</v>
      </c>
      <c r="N70" s="121">
        <v>100000</v>
      </c>
      <c r="O70" s="96">
        <v>200000</v>
      </c>
      <c r="P70" s="37">
        <v>192785</v>
      </c>
      <c r="Q70" s="96">
        <v>80000</v>
      </c>
      <c r="R70" s="37">
        <v>15000</v>
      </c>
      <c r="S70" s="37">
        <v>60000</v>
      </c>
      <c r="T70" s="37">
        <v>100000</v>
      </c>
      <c r="U70" s="37"/>
      <c r="V70" s="94">
        <f t="shared" si="25"/>
        <v>1427785</v>
      </c>
    </row>
    <row r="71" spans="1:22" ht="11.25">
      <c r="A71" s="33" t="s">
        <v>338</v>
      </c>
      <c r="B71" s="34" t="s">
        <v>339</v>
      </c>
      <c r="C71" s="34"/>
      <c r="D71" s="35"/>
      <c r="E71" s="97">
        <f>E72</f>
        <v>34800</v>
      </c>
      <c r="F71" s="97">
        <f t="shared" ref="F71:U71" si="26">F72</f>
        <v>33600</v>
      </c>
      <c r="G71" s="97">
        <f t="shared" si="26"/>
        <v>24400</v>
      </c>
      <c r="H71" s="97">
        <f t="shared" si="26"/>
        <v>7200</v>
      </c>
      <c r="I71" s="97">
        <f t="shared" si="26"/>
        <v>33200</v>
      </c>
      <c r="J71" s="97">
        <f t="shared" si="26"/>
        <v>31200</v>
      </c>
      <c r="K71" s="97">
        <f t="shared" si="26"/>
        <v>34400</v>
      </c>
      <c r="L71" s="97">
        <f t="shared" si="26"/>
        <v>16000</v>
      </c>
      <c r="M71" s="97">
        <f t="shared" si="26"/>
        <v>19200</v>
      </c>
      <c r="N71" s="97">
        <f t="shared" si="26"/>
        <v>23200</v>
      </c>
      <c r="O71" s="97">
        <f t="shared" si="26"/>
        <v>25600</v>
      </c>
      <c r="P71" s="97">
        <f t="shared" si="26"/>
        <v>25600</v>
      </c>
      <c r="Q71" s="97">
        <f t="shared" si="26"/>
        <v>12000</v>
      </c>
      <c r="R71" s="97">
        <f t="shared" si="26"/>
        <v>8800</v>
      </c>
      <c r="S71" s="97">
        <f t="shared" si="26"/>
        <v>16400</v>
      </c>
      <c r="T71" s="97">
        <f t="shared" si="26"/>
        <v>4400</v>
      </c>
      <c r="U71" s="97">
        <f t="shared" si="26"/>
        <v>2400</v>
      </c>
      <c r="V71" s="94">
        <f t="shared" si="25"/>
        <v>352400</v>
      </c>
    </row>
    <row r="72" spans="1:22" s="40" customFormat="1" ht="11.25">
      <c r="A72" s="33" t="s">
        <v>340</v>
      </c>
      <c r="B72" s="38" t="s">
        <v>341</v>
      </c>
      <c r="C72" s="38" t="s">
        <v>189</v>
      </c>
      <c r="D72" s="48" t="s">
        <v>342</v>
      </c>
      <c r="E72" s="97">
        <f>E96*400</f>
        <v>34800</v>
      </c>
      <c r="F72" s="97">
        <f>F96*400</f>
        <v>33600</v>
      </c>
      <c r="G72" s="98">
        <v>24400</v>
      </c>
      <c r="H72" s="97">
        <f>H96*400</f>
        <v>7200</v>
      </c>
      <c r="I72" s="36">
        <f>I96*400</f>
        <v>33200</v>
      </c>
      <c r="J72" s="99">
        <v>31200</v>
      </c>
      <c r="K72" s="99">
        <v>34400</v>
      </c>
      <c r="L72" s="97">
        <f>L96*400</f>
        <v>16000</v>
      </c>
      <c r="M72" s="97">
        <f>M96*400</f>
        <v>19200</v>
      </c>
      <c r="N72" s="97">
        <f>N96*400</f>
        <v>23200</v>
      </c>
      <c r="O72" s="98">
        <v>25600</v>
      </c>
      <c r="P72" s="36">
        <f>P96*400</f>
        <v>25600</v>
      </c>
      <c r="Q72" s="98">
        <f>30*400</f>
        <v>12000</v>
      </c>
      <c r="R72" s="36">
        <f>R96*400</f>
        <v>8800</v>
      </c>
      <c r="S72" s="36">
        <f>S96*400</f>
        <v>16400</v>
      </c>
      <c r="T72" s="36">
        <f>T96*400</f>
        <v>4400</v>
      </c>
      <c r="U72" s="36">
        <f>U96*400</f>
        <v>2400</v>
      </c>
      <c r="V72" s="94">
        <f t="shared" si="25"/>
        <v>352400</v>
      </c>
    </row>
    <row r="73" spans="1:22" ht="11.25">
      <c r="A73" s="33" t="s">
        <v>343</v>
      </c>
      <c r="B73" s="34" t="s">
        <v>344</v>
      </c>
      <c r="C73" s="34"/>
      <c r="D73" s="35" t="s">
        <v>183</v>
      </c>
      <c r="E73" s="97">
        <f>E74</f>
        <v>255945</v>
      </c>
      <c r="F73" s="97">
        <f t="shared" ref="F73:U73" si="27">F74</f>
        <v>178845</v>
      </c>
      <c r="G73" s="97">
        <f t="shared" si="27"/>
        <v>191830.5</v>
      </c>
      <c r="H73" s="97">
        <f t="shared" si="27"/>
        <v>715855.35000000009</v>
      </c>
      <c r="I73" s="97">
        <f t="shared" si="27"/>
        <v>353195.25</v>
      </c>
      <c r="J73" s="97">
        <f t="shared" si="27"/>
        <v>235806.9</v>
      </c>
      <c r="K73" s="97">
        <f t="shared" si="27"/>
        <v>328071.59999999998</v>
      </c>
      <c r="L73" s="97">
        <f t="shared" si="27"/>
        <v>249734.55000000002</v>
      </c>
      <c r="M73" s="97">
        <f t="shared" si="27"/>
        <v>178714.35</v>
      </c>
      <c r="N73" s="97">
        <f t="shared" si="27"/>
        <v>114821.55</v>
      </c>
      <c r="O73" s="97">
        <f t="shared" si="27"/>
        <v>181706.7</v>
      </c>
      <c r="P73" s="97">
        <f t="shared" si="27"/>
        <v>249256.8</v>
      </c>
      <c r="Q73" s="97">
        <f t="shared" si="27"/>
        <v>202800</v>
      </c>
      <c r="R73" s="97">
        <f t="shared" si="27"/>
        <v>86216.85</v>
      </c>
      <c r="S73" s="97">
        <f t="shared" si="27"/>
        <v>169290</v>
      </c>
      <c r="T73" s="97">
        <f t="shared" si="27"/>
        <v>91200</v>
      </c>
      <c r="U73" s="97">
        <f t="shared" si="27"/>
        <v>84720</v>
      </c>
      <c r="V73" s="94">
        <f t="shared" si="25"/>
        <v>3868010.4</v>
      </c>
    </row>
    <row r="74" spans="1:22" s="40" customFormat="1" ht="11.25">
      <c r="A74" s="33" t="s">
        <v>345</v>
      </c>
      <c r="B74" s="38" t="s">
        <v>346</v>
      </c>
      <c r="C74" s="38" t="s">
        <v>189</v>
      </c>
      <c r="D74" s="48" t="s">
        <v>347</v>
      </c>
      <c r="E74" s="97">
        <f>E108*15</f>
        <v>255945</v>
      </c>
      <c r="F74" s="97">
        <f>F108*15</f>
        <v>178845</v>
      </c>
      <c r="G74" s="98">
        <v>191830.5</v>
      </c>
      <c r="H74" s="97">
        <f>H108*15</f>
        <v>715855.35000000009</v>
      </c>
      <c r="I74" s="36">
        <f>I108*15</f>
        <v>353195.25</v>
      </c>
      <c r="J74" s="99">
        <v>235806.9</v>
      </c>
      <c r="K74" s="99">
        <v>328071.59999999998</v>
      </c>
      <c r="L74" s="97">
        <f>L108*15</f>
        <v>249734.55000000002</v>
      </c>
      <c r="M74" s="97">
        <f>M108*15</f>
        <v>178714.35</v>
      </c>
      <c r="N74" s="97">
        <f>N108*15</f>
        <v>114821.55</v>
      </c>
      <c r="O74" s="98">
        <f>15*O108</f>
        <v>181706.7</v>
      </c>
      <c r="P74" s="36">
        <f>P108*15</f>
        <v>249256.8</v>
      </c>
      <c r="Q74" s="98">
        <f>13520*15</f>
        <v>202800</v>
      </c>
      <c r="R74" s="36">
        <f>R108*15</f>
        <v>86216.85</v>
      </c>
      <c r="S74" s="36">
        <f>S108*15</f>
        <v>169290</v>
      </c>
      <c r="T74" s="36">
        <f>T108*15</f>
        <v>91200</v>
      </c>
      <c r="U74" s="36">
        <f>U108*15</f>
        <v>84720</v>
      </c>
      <c r="V74" s="94">
        <f t="shared" si="25"/>
        <v>3868010.4</v>
      </c>
    </row>
    <row r="75" spans="1:22" ht="11.25">
      <c r="A75" s="33" t="s">
        <v>348</v>
      </c>
      <c r="B75" s="34" t="s">
        <v>349</v>
      </c>
      <c r="C75" s="34"/>
      <c r="D75" s="35" t="s">
        <v>183</v>
      </c>
      <c r="E75" s="97">
        <f>E76</f>
        <v>126632</v>
      </c>
      <c r="F75" s="97">
        <f t="shared" ref="F75:U75" si="28">F76</f>
        <v>82880</v>
      </c>
      <c r="G75" s="97">
        <f t="shared" si="28"/>
        <v>81432</v>
      </c>
      <c r="H75" s="97">
        <f t="shared" si="28"/>
        <v>130104</v>
      </c>
      <c r="I75" s="97">
        <f t="shared" si="28"/>
        <v>157696</v>
      </c>
      <c r="J75" s="97">
        <f t="shared" si="28"/>
        <v>89280</v>
      </c>
      <c r="K75" s="97">
        <f t="shared" si="28"/>
        <v>125600</v>
      </c>
      <c r="L75" s="97">
        <f t="shared" si="28"/>
        <v>89000</v>
      </c>
      <c r="M75" s="97">
        <f t="shared" si="28"/>
        <v>67576.800000000003</v>
      </c>
      <c r="N75" s="97">
        <f t="shared" si="28"/>
        <v>41072</v>
      </c>
      <c r="O75" s="97">
        <f t="shared" si="28"/>
        <v>34640</v>
      </c>
      <c r="P75" s="97">
        <f t="shared" si="28"/>
        <v>53384</v>
      </c>
      <c r="Q75" s="97">
        <f t="shared" si="28"/>
        <v>40360</v>
      </c>
      <c r="R75" s="97">
        <f t="shared" si="28"/>
        <v>20152</v>
      </c>
      <c r="S75" s="97">
        <f t="shared" si="28"/>
        <v>37018.720000000001</v>
      </c>
      <c r="T75" s="97">
        <f t="shared" si="28"/>
        <v>20000</v>
      </c>
      <c r="U75" s="97">
        <f t="shared" si="28"/>
        <v>18560</v>
      </c>
      <c r="V75" s="94">
        <f t="shared" si="25"/>
        <v>1215387.52</v>
      </c>
    </row>
    <row r="76" spans="1:22" s="40" customFormat="1" ht="11.25">
      <c r="A76" s="33" t="s">
        <v>350</v>
      </c>
      <c r="B76" s="38" t="s">
        <v>351</v>
      </c>
      <c r="C76" s="38" t="s">
        <v>189</v>
      </c>
      <c r="D76" s="48" t="s">
        <v>352</v>
      </c>
      <c r="E76" s="97">
        <f>E109*8</f>
        <v>126632</v>
      </c>
      <c r="F76" s="97">
        <f>F109*8</f>
        <v>82880</v>
      </c>
      <c r="G76" s="98">
        <v>81432</v>
      </c>
      <c r="H76" s="97">
        <f>H109*8</f>
        <v>130104</v>
      </c>
      <c r="I76" s="36">
        <f>I109*8</f>
        <v>157696</v>
      </c>
      <c r="J76" s="99">
        <v>89280</v>
      </c>
      <c r="K76" s="99">
        <v>125600</v>
      </c>
      <c r="L76" s="97">
        <f>L109*8</f>
        <v>89000</v>
      </c>
      <c r="M76" s="97">
        <f>M109*8</f>
        <v>67576.800000000003</v>
      </c>
      <c r="N76" s="97">
        <f>N109*8</f>
        <v>41072</v>
      </c>
      <c r="O76" s="98">
        <f>8*O109</f>
        <v>34640</v>
      </c>
      <c r="P76" s="36">
        <f>P109*8</f>
        <v>53384</v>
      </c>
      <c r="Q76" s="98">
        <f>5045*8</f>
        <v>40360</v>
      </c>
      <c r="R76" s="36">
        <f>R109*8</f>
        <v>20152</v>
      </c>
      <c r="S76" s="36">
        <f>S109*8</f>
        <v>37018.720000000001</v>
      </c>
      <c r="T76" s="36">
        <f>T109*8</f>
        <v>20000</v>
      </c>
      <c r="U76" s="36">
        <f>U109*8</f>
        <v>18560</v>
      </c>
      <c r="V76" s="94">
        <f t="shared" si="25"/>
        <v>1215387.52</v>
      </c>
    </row>
    <row r="77" spans="1:22" ht="11.25">
      <c r="A77" s="33" t="s">
        <v>353</v>
      </c>
      <c r="B77" s="34" t="s">
        <v>354</v>
      </c>
      <c r="C77" s="34"/>
      <c r="D77" s="35" t="s">
        <v>183</v>
      </c>
      <c r="E77" s="97">
        <f>E78</f>
        <v>0</v>
      </c>
      <c r="F77" s="97">
        <f>F78</f>
        <v>0</v>
      </c>
      <c r="G77" s="98">
        <v>0</v>
      </c>
      <c r="H77" s="97">
        <f>H78</f>
        <v>0</v>
      </c>
      <c r="I77" s="36">
        <f>I78</f>
        <v>0</v>
      </c>
      <c r="J77" s="99">
        <v>0</v>
      </c>
      <c r="K77" s="99">
        <v>0</v>
      </c>
      <c r="L77" s="97">
        <f>L78</f>
        <v>0</v>
      </c>
      <c r="M77" s="97">
        <f>M78</f>
        <v>0</v>
      </c>
      <c r="N77" s="97">
        <f>N78</f>
        <v>0</v>
      </c>
      <c r="O77" s="98">
        <v>0</v>
      </c>
      <c r="P77" s="36">
        <f t="shared" ref="P77:U77" si="29">P78</f>
        <v>0</v>
      </c>
      <c r="Q77" s="98">
        <f t="shared" si="29"/>
        <v>0</v>
      </c>
      <c r="R77" s="36">
        <f t="shared" si="29"/>
        <v>0</v>
      </c>
      <c r="S77" s="36">
        <f t="shared" si="29"/>
        <v>0</v>
      </c>
      <c r="T77" s="36">
        <f t="shared" si="29"/>
        <v>0</v>
      </c>
      <c r="U77" s="36">
        <f t="shared" si="29"/>
        <v>0</v>
      </c>
      <c r="V77" s="94">
        <f t="shared" si="25"/>
        <v>0</v>
      </c>
    </row>
    <row r="78" spans="1:22" s="40" customFormat="1" ht="11.25">
      <c r="A78" s="33" t="s">
        <v>355</v>
      </c>
      <c r="B78" s="38" t="s">
        <v>356</v>
      </c>
      <c r="C78" s="38" t="s">
        <v>189</v>
      </c>
      <c r="D78" s="48" t="s">
        <v>291</v>
      </c>
      <c r="E78" s="118"/>
      <c r="F78" s="118"/>
      <c r="G78" s="119"/>
      <c r="H78" s="118"/>
      <c r="I78" s="46"/>
      <c r="J78" s="120"/>
      <c r="K78" s="120"/>
      <c r="L78" s="118"/>
      <c r="M78" s="118"/>
      <c r="N78" s="118"/>
      <c r="O78" s="119"/>
      <c r="P78" s="46"/>
      <c r="Q78" s="119">
        <v>0</v>
      </c>
      <c r="R78" s="46"/>
      <c r="S78" s="46"/>
      <c r="T78" s="46"/>
      <c r="U78" s="46"/>
      <c r="V78" s="94">
        <f t="shared" si="25"/>
        <v>0</v>
      </c>
    </row>
    <row r="79" spans="1:22" ht="11.25">
      <c r="A79" s="33" t="s">
        <v>357</v>
      </c>
      <c r="B79" s="34" t="s">
        <v>358</v>
      </c>
      <c r="C79" s="34"/>
      <c r="D79" s="35" t="s">
        <v>183</v>
      </c>
      <c r="E79" s="36">
        <f>E80</f>
        <v>375840</v>
      </c>
      <c r="F79" s="36">
        <f t="shared" ref="F79:U79" si="30">F80</f>
        <v>362880</v>
      </c>
      <c r="G79" s="36">
        <f t="shared" si="30"/>
        <v>263520</v>
      </c>
      <c r="H79" s="36">
        <f t="shared" si="30"/>
        <v>77760</v>
      </c>
      <c r="I79" s="36">
        <f t="shared" si="30"/>
        <v>358560</v>
      </c>
      <c r="J79" s="36">
        <f t="shared" si="30"/>
        <v>336960</v>
      </c>
      <c r="K79" s="36">
        <f t="shared" si="30"/>
        <v>371520</v>
      </c>
      <c r="L79" s="36">
        <f t="shared" si="30"/>
        <v>172800</v>
      </c>
      <c r="M79" s="36">
        <f t="shared" si="30"/>
        <v>207360</v>
      </c>
      <c r="N79" s="36">
        <f t="shared" si="30"/>
        <v>250560</v>
      </c>
      <c r="O79" s="36">
        <f t="shared" si="30"/>
        <v>276480</v>
      </c>
      <c r="P79" s="36">
        <f t="shared" si="30"/>
        <v>276480</v>
      </c>
      <c r="Q79" s="36">
        <f t="shared" si="30"/>
        <v>129600</v>
      </c>
      <c r="R79" s="36">
        <f t="shared" si="30"/>
        <v>95040</v>
      </c>
      <c r="S79" s="36">
        <f t="shared" si="30"/>
        <v>177120</v>
      </c>
      <c r="T79" s="36">
        <f t="shared" si="30"/>
        <v>47520</v>
      </c>
      <c r="U79" s="36">
        <f t="shared" si="30"/>
        <v>25920</v>
      </c>
      <c r="V79" s="94">
        <f t="shared" si="25"/>
        <v>3805920</v>
      </c>
    </row>
    <row r="80" spans="1:22" s="40" customFormat="1" ht="11.2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375840</v>
      </c>
      <c r="F80" s="36">
        <f>F96*4320</f>
        <v>362880</v>
      </c>
      <c r="G80" s="98">
        <v>263520</v>
      </c>
      <c r="H80" s="36">
        <f>H96*4320</f>
        <v>77760</v>
      </c>
      <c r="I80" s="36">
        <f>I96*4320</f>
        <v>358560</v>
      </c>
      <c r="J80" s="98">
        <v>336960</v>
      </c>
      <c r="K80" s="98">
        <v>371520</v>
      </c>
      <c r="L80" s="36">
        <f>L96*4320</f>
        <v>172800</v>
      </c>
      <c r="M80" s="36">
        <f>M96*4320</f>
        <v>207360</v>
      </c>
      <c r="N80" s="36">
        <f>N96*4320</f>
        <v>250560</v>
      </c>
      <c r="O80" s="98">
        <f>4320*O99</f>
        <v>276480</v>
      </c>
      <c r="P80" s="36">
        <f>P96*4320</f>
        <v>276480</v>
      </c>
      <c r="Q80" s="98">
        <f>4320*30</f>
        <v>129600</v>
      </c>
      <c r="R80" s="36">
        <f>R96*4320</f>
        <v>95040</v>
      </c>
      <c r="S80" s="36">
        <f>S96*4320</f>
        <v>177120</v>
      </c>
      <c r="T80" s="36">
        <f>T96*4320</f>
        <v>47520</v>
      </c>
      <c r="U80" s="36">
        <f>U96*4320</f>
        <v>25920</v>
      </c>
      <c r="V80" s="94">
        <f t="shared" si="25"/>
        <v>3805920</v>
      </c>
    </row>
    <row r="81" spans="1:22" ht="11.25">
      <c r="A81" s="33" t="s">
        <v>362</v>
      </c>
      <c r="B81" s="34" t="s">
        <v>363</v>
      </c>
      <c r="C81" s="34"/>
      <c r="D81" s="35" t="s">
        <v>183</v>
      </c>
      <c r="E81" s="36">
        <f>E82</f>
        <v>339998.4</v>
      </c>
      <c r="F81" s="36">
        <f t="shared" ref="F81:U81" si="31">F82</f>
        <v>340785.6</v>
      </c>
      <c r="G81" s="36">
        <f t="shared" si="31"/>
        <v>251630.40000000002</v>
      </c>
      <c r="H81" s="36">
        <f t="shared" si="31"/>
        <v>76727.039999999994</v>
      </c>
      <c r="I81" s="36">
        <f t="shared" si="31"/>
        <v>314577.59999999998</v>
      </c>
      <c r="J81" s="36">
        <f t="shared" si="31"/>
        <v>269918.40000000002</v>
      </c>
      <c r="K81" s="36">
        <f t="shared" si="31"/>
        <v>295766.40000000002</v>
      </c>
      <c r="L81" s="36">
        <f t="shared" si="31"/>
        <v>149649.59999999998</v>
      </c>
      <c r="M81" s="36">
        <f t="shared" si="31"/>
        <v>177182.40000000002</v>
      </c>
      <c r="N81" s="36">
        <f t="shared" si="31"/>
        <v>195303.2</v>
      </c>
      <c r="O81" s="36">
        <f t="shared" si="31"/>
        <v>229540</v>
      </c>
      <c r="P81" s="36">
        <f t="shared" si="31"/>
        <v>242268</v>
      </c>
      <c r="Q81" s="36">
        <f t="shared" si="31"/>
        <v>99376.8</v>
      </c>
      <c r="R81" s="36">
        <f t="shared" si="31"/>
        <v>73017.600000000006</v>
      </c>
      <c r="S81" s="36">
        <f t="shared" si="31"/>
        <v>138067.20000000001</v>
      </c>
      <c r="T81" s="36">
        <f t="shared" si="31"/>
        <v>32360</v>
      </c>
      <c r="U81" s="36">
        <f t="shared" si="31"/>
        <v>23320</v>
      </c>
      <c r="V81" s="94">
        <f t="shared" si="25"/>
        <v>3249488.64</v>
      </c>
    </row>
    <row r="82" spans="1:22" s="131" customFormat="1" ht="11.25">
      <c r="A82" s="127" t="s">
        <v>364</v>
      </c>
      <c r="B82" s="128" t="s">
        <v>365</v>
      </c>
      <c r="C82" s="128" t="s">
        <v>189</v>
      </c>
      <c r="D82" s="129" t="s">
        <v>208</v>
      </c>
      <c r="E82" s="107">
        <f t="shared" ref="E82:U82" si="32">E16*4</f>
        <v>339998.4</v>
      </c>
      <c r="F82" s="107">
        <f t="shared" si="32"/>
        <v>340785.6</v>
      </c>
      <c r="G82" s="107">
        <f t="shared" si="32"/>
        <v>251630.40000000002</v>
      </c>
      <c r="H82" s="107">
        <f t="shared" si="32"/>
        <v>76727.039999999994</v>
      </c>
      <c r="I82" s="107">
        <f t="shared" si="32"/>
        <v>314577.59999999998</v>
      </c>
      <c r="J82" s="107">
        <f t="shared" si="32"/>
        <v>269918.40000000002</v>
      </c>
      <c r="K82" s="107">
        <f t="shared" si="32"/>
        <v>295766.40000000002</v>
      </c>
      <c r="L82" s="107">
        <f t="shared" si="32"/>
        <v>149649.59999999998</v>
      </c>
      <c r="M82" s="107">
        <f t="shared" si="32"/>
        <v>177182.40000000002</v>
      </c>
      <c r="N82" s="107">
        <f t="shared" si="32"/>
        <v>195303.2</v>
      </c>
      <c r="O82" s="107">
        <f t="shared" si="32"/>
        <v>229540</v>
      </c>
      <c r="P82" s="107">
        <f t="shared" si="32"/>
        <v>242268</v>
      </c>
      <c r="Q82" s="107">
        <f t="shared" si="32"/>
        <v>99376.8</v>
      </c>
      <c r="R82" s="107">
        <f t="shared" si="32"/>
        <v>73017.600000000006</v>
      </c>
      <c r="S82" s="107">
        <f t="shared" si="32"/>
        <v>138067.20000000001</v>
      </c>
      <c r="T82" s="107">
        <f t="shared" si="32"/>
        <v>32360</v>
      </c>
      <c r="U82" s="107">
        <f t="shared" si="32"/>
        <v>23320</v>
      </c>
      <c r="V82" s="130">
        <f t="shared" si="25"/>
        <v>3249488.64</v>
      </c>
    </row>
    <row r="83" spans="1:22" ht="11.25">
      <c r="A83" s="132" t="s">
        <v>366</v>
      </c>
      <c r="B83" s="133" t="s">
        <v>367</v>
      </c>
      <c r="C83" s="133"/>
      <c r="D83" s="134" t="s">
        <v>183</v>
      </c>
      <c r="E83" s="135">
        <f>E84</f>
        <v>32000</v>
      </c>
      <c r="F83" s="135">
        <f t="shared" ref="F83:U83" si="33">F84</f>
        <v>32000</v>
      </c>
      <c r="G83" s="135">
        <f t="shared" si="33"/>
        <v>0</v>
      </c>
      <c r="H83" s="135">
        <f t="shared" si="33"/>
        <v>0</v>
      </c>
      <c r="I83" s="135">
        <f t="shared" si="33"/>
        <v>32000</v>
      </c>
      <c r="J83" s="135">
        <f t="shared" si="33"/>
        <v>32000</v>
      </c>
      <c r="K83" s="135">
        <f t="shared" si="33"/>
        <v>0</v>
      </c>
      <c r="L83" s="135">
        <f t="shared" si="33"/>
        <v>0</v>
      </c>
      <c r="M83" s="135">
        <f t="shared" si="33"/>
        <v>0</v>
      </c>
      <c r="N83" s="135">
        <f t="shared" si="33"/>
        <v>32000</v>
      </c>
      <c r="O83" s="135">
        <f t="shared" si="33"/>
        <v>32000</v>
      </c>
      <c r="P83" s="135">
        <f t="shared" si="33"/>
        <v>0</v>
      </c>
      <c r="Q83" s="135">
        <f t="shared" si="33"/>
        <v>0</v>
      </c>
      <c r="R83" s="135">
        <f t="shared" si="33"/>
        <v>0</v>
      </c>
      <c r="S83" s="135">
        <f t="shared" si="33"/>
        <v>0</v>
      </c>
      <c r="T83" s="135">
        <f t="shared" si="33"/>
        <v>0</v>
      </c>
      <c r="U83" s="135">
        <f t="shared" si="33"/>
        <v>32000</v>
      </c>
      <c r="V83" s="136">
        <f t="shared" si="25"/>
        <v>224000</v>
      </c>
    </row>
    <row r="84" spans="1:22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96"/>
      <c r="H84" s="37"/>
      <c r="I84" s="37">
        <v>32000</v>
      </c>
      <c r="J84" s="96">
        <v>32000</v>
      </c>
      <c r="K84" s="96"/>
      <c r="L84" s="37"/>
      <c r="M84" s="37"/>
      <c r="N84" s="37">
        <v>32000</v>
      </c>
      <c r="O84" s="96">
        <v>32000</v>
      </c>
      <c r="P84" s="37"/>
      <c r="Q84" s="96"/>
      <c r="R84" s="37"/>
      <c r="S84" s="37"/>
      <c r="T84" s="37"/>
      <c r="U84" s="37">
        <v>32000</v>
      </c>
      <c r="V84" s="94">
        <f t="shared" si="25"/>
        <v>224000</v>
      </c>
    </row>
    <row r="85" spans="1:22" ht="11.25">
      <c r="A85" s="33" t="s">
        <v>371</v>
      </c>
      <c r="B85" s="34" t="s">
        <v>372</v>
      </c>
      <c r="C85" s="34"/>
      <c r="D85" s="35" t="s">
        <v>183</v>
      </c>
      <c r="E85" s="36">
        <f>E86+E89+E92</f>
        <v>292640</v>
      </c>
      <c r="F85" s="36">
        <f t="shared" ref="F85:U85" si="34">F86+F89+F92</f>
        <v>320960</v>
      </c>
      <c r="G85" s="36">
        <f t="shared" si="34"/>
        <v>0</v>
      </c>
      <c r="H85" s="36">
        <f t="shared" si="34"/>
        <v>0</v>
      </c>
      <c r="I85" s="36">
        <f t="shared" si="34"/>
        <v>490880</v>
      </c>
      <c r="J85" s="36">
        <f t="shared" si="34"/>
        <v>500320</v>
      </c>
      <c r="K85" s="36">
        <f t="shared" si="34"/>
        <v>0</v>
      </c>
      <c r="L85" s="36">
        <f t="shared" si="34"/>
        <v>0</v>
      </c>
      <c r="M85" s="36">
        <f t="shared" si="34"/>
        <v>0</v>
      </c>
      <c r="N85" s="36">
        <f t="shared" si="34"/>
        <v>99120</v>
      </c>
      <c r="O85" s="36">
        <f t="shared" si="34"/>
        <v>108560</v>
      </c>
      <c r="P85" s="36">
        <f t="shared" si="34"/>
        <v>0</v>
      </c>
      <c r="Q85" s="36">
        <f t="shared" si="34"/>
        <v>0</v>
      </c>
      <c r="R85" s="36">
        <f t="shared" si="34"/>
        <v>0</v>
      </c>
      <c r="S85" s="36">
        <f t="shared" si="34"/>
        <v>0</v>
      </c>
      <c r="T85" s="36">
        <f t="shared" si="34"/>
        <v>0</v>
      </c>
      <c r="U85" s="36">
        <f t="shared" si="34"/>
        <v>84960</v>
      </c>
      <c r="V85" s="94">
        <f t="shared" si="25"/>
        <v>1897440</v>
      </c>
    </row>
    <row r="86" spans="1:22" ht="11.25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>F87+F88</f>
        <v>0</v>
      </c>
      <c r="G86" s="98">
        <v>0</v>
      </c>
      <c r="H86" s="36">
        <f>H87+H88</f>
        <v>0</v>
      </c>
      <c r="I86" s="36">
        <f>I87+I88</f>
        <v>0</v>
      </c>
      <c r="J86" s="98">
        <v>0</v>
      </c>
      <c r="K86" s="98">
        <v>0</v>
      </c>
      <c r="L86" s="36">
        <f>L87+L88</f>
        <v>0</v>
      </c>
      <c r="M86" s="36">
        <f>M87+M88</f>
        <v>0</v>
      </c>
      <c r="N86" s="36">
        <f>N87+N88</f>
        <v>0</v>
      </c>
      <c r="O86" s="98">
        <v>0</v>
      </c>
      <c r="P86" s="36">
        <f>P87+P88</f>
        <v>0</v>
      </c>
      <c r="Q86" s="98">
        <v>0</v>
      </c>
      <c r="R86" s="36">
        <f>R87+R88</f>
        <v>0</v>
      </c>
      <c r="S86" s="36">
        <f>S87+S88</f>
        <v>0</v>
      </c>
      <c r="T86" s="36">
        <f>T87+T88</f>
        <v>0</v>
      </c>
      <c r="U86" s="36">
        <f>U87+U88</f>
        <v>0</v>
      </c>
      <c r="V86" s="94">
        <f t="shared" si="25"/>
        <v>0</v>
      </c>
    </row>
    <row r="87" spans="1:22" ht="11.25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114"/>
      <c r="H87" s="43"/>
      <c r="I87" s="43"/>
      <c r="J87" s="114"/>
      <c r="K87" s="114"/>
      <c r="L87" s="43"/>
      <c r="M87" s="43"/>
      <c r="N87" s="43"/>
      <c r="O87" s="114"/>
      <c r="P87" s="43"/>
      <c r="Q87" s="114"/>
      <c r="R87" s="43"/>
      <c r="S87" s="43"/>
      <c r="T87" s="43"/>
      <c r="U87" s="43"/>
      <c r="V87" s="94">
        <f t="shared" si="25"/>
        <v>0</v>
      </c>
    </row>
    <row r="88" spans="1:22" ht="11.25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114"/>
      <c r="H88" s="43"/>
      <c r="I88" s="43"/>
      <c r="J88" s="114"/>
      <c r="K88" s="114"/>
      <c r="L88" s="43"/>
      <c r="M88" s="43"/>
      <c r="N88" s="43"/>
      <c r="O88" s="114"/>
      <c r="P88" s="43"/>
      <c r="Q88" s="114"/>
      <c r="R88" s="43"/>
      <c r="S88" s="43"/>
      <c r="T88" s="43"/>
      <c r="U88" s="43"/>
      <c r="V88" s="94">
        <f t="shared" si="25"/>
        <v>0</v>
      </c>
    </row>
    <row r="89" spans="1:22" ht="11.25">
      <c r="A89" s="33" t="s">
        <v>380</v>
      </c>
      <c r="B89" s="34" t="s">
        <v>381</v>
      </c>
      <c r="C89" s="34"/>
      <c r="D89" s="35" t="s">
        <v>183</v>
      </c>
      <c r="E89" s="36">
        <f>E90+E91</f>
        <v>292640</v>
      </c>
      <c r="F89" s="36">
        <f t="shared" ref="F89:U89" si="35">F90+F91</f>
        <v>320960</v>
      </c>
      <c r="G89" s="36">
        <f t="shared" si="35"/>
        <v>0</v>
      </c>
      <c r="H89" s="36">
        <f t="shared" si="35"/>
        <v>0</v>
      </c>
      <c r="I89" s="36">
        <f t="shared" si="35"/>
        <v>490880</v>
      </c>
      <c r="J89" s="36">
        <f t="shared" si="35"/>
        <v>500320</v>
      </c>
      <c r="K89" s="36">
        <f t="shared" si="35"/>
        <v>0</v>
      </c>
      <c r="L89" s="36">
        <f t="shared" si="35"/>
        <v>0</v>
      </c>
      <c r="M89" s="36">
        <f t="shared" si="35"/>
        <v>0</v>
      </c>
      <c r="N89" s="36">
        <f t="shared" si="35"/>
        <v>99120</v>
      </c>
      <c r="O89" s="36">
        <f t="shared" si="35"/>
        <v>108560</v>
      </c>
      <c r="P89" s="36">
        <f t="shared" si="35"/>
        <v>0</v>
      </c>
      <c r="Q89" s="36">
        <f t="shared" si="35"/>
        <v>0</v>
      </c>
      <c r="R89" s="36">
        <f t="shared" si="35"/>
        <v>0</v>
      </c>
      <c r="S89" s="36">
        <f t="shared" si="35"/>
        <v>0</v>
      </c>
      <c r="T89" s="36">
        <f t="shared" si="35"/>
        <v>0</v>
      </c>
      <c r="U89" s="36">
        <f t="shared" si="35"/>
        <v>84960</v>
      </c>
      <c r="V89" s="94">
        <f t="shared" si="25"/>
        <v>1897440</v>
      </c>
    </row>
    <row r="90" spans="1:22" s="40" customFormat="1" ht="11.2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24800</v>
      </c>
      <c r="F90" s="36">
        <f>F107*400</f>
        <v>27200</v>
      </c>
      <c r="G90" s="98">
        <v>0</v>
      </c>
      <c r="H90" s="36">
        <f>H107*400</f>
        <v>0</v>
      </c>
      <c r="I90" s="36">
        <f>I107*400</f>
        <v>41600</v>
      </c>
      <c r="J90" s="98">
        <v>42400</v>
      </c>
      <c r="K90" s="98">
        <v>0</v>
      </c>
      <c r="L90" s="36">
        <f>L107*400</f>
        <v>0</v>
      </c>
      <c r="M90" s="36">
        <f>M107*400</f>
        <v>0</v>
      </c>
      <c r="N90" s="36">
        <f>N107*400</f>
        <v>8400</v>
      </c>
      <c r="O90" s="98">
        <f>O107*400</f>
        <v>9200</v>
      </c>
      <c r="P90" s="36">
        <f>P107*400</f>
        <v>0</v>
      </c>
      <c r="Q90" s="98">
        <v>0</v>
      </c>
      <c r="R90" s="36">
        <f>R107*400</f>
        <v>0</v>
      </c>
      <c r="S90" s="36">
        <f>S107*400</f>
        <v>0</v>
      </c>
      <c r="T90" s="36">
        <f>T107*400</f>
        <v>0</v>
      </c>
      <c r="U90" s="36">
        <f>U107*400</f>
        <v>7200</v>
      </c>
      <c r="V90" s="94">
        <f t="shared" si="25"/>
        <v>160800</v>
      </c>
    </row>
    <row r="91" spans="1:22" s="40" customFormat="1" ht="11.2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267840</v>
      </c>
      <c r="F91" s="36">
        <f>F107*4320</f>
        <v>293760</v>
      </c>
      <c r="G91" s="98">
        <v>0</v>
      </c>
      <c r="H91" s="36">
        <f>H107*4320</f>
        <v>0</v>
      </c>
      <c r="I91" s="36">
        <f>I107*4320</f>
        <v>449280</v>
      </c>
      <c r="J91" s="98">
        <v>457920</v>
      </c>
      <c r="K91" s="98">
        <v>0</v>
      </c>
      <c r="L91" s="36">
        <f>L107*4320</f>
        <v>0</v>
      </c>
      <c r="M91" s="36">
        <f>M107*4320</f>
        <v>0</v>
      </c>
      <c r="N91" s="36">
        <f>N107*4320</f>
        <v>90720</v>
      </c>
      <c r="O91" s="98">
        <f>O107*4320</f>
        <v>99360</v>
      </c>
      <c r="P91" s="36">
        <f>P107*4320</f>
        <v>0</v>
      </c>
      <c r="Q91" s="98">
        <v>0</v>
      </c>
      <c r="R91" s="36">
        <f>R107*4320</f>
        <v>0</v>
      </c>
      <c r="S91" s="36">
        <f>S107*4320</f>
        <v>0</v>
      </c>
      <c r="T91" s="36">
        <f>T107*4320</f>
        <v>0</v>
      </c>
      <c r="U91" s="36">
        <f>U107*4320</f>
        <v>77760</v>
      </c>
      <c r="V91" s="94">
        <f t="shared" si="25"/>
        <v>1736640</v>
      </c>
    </row>
    <row r="92" spans="1:22" ht="11.25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137"/>
      <c r="H92" s="49"/>
      <c r="I92" s="49"/>
      <c r="J92" s="137"/>
      <c r="K92" s="137"/>
      <c r="L92" s="49"/>
      <c r="M92" s="49"/>
      <c r="N92" s="49"/>
      <c r="O92" s="137"/>
      <c r="P92" s="49"/>
      <c r="Q92" s="137"/>
      <c r="R92" s="49"/>
      <c r="S92" s="49"/>
      <c r="T92" s="49"/>
      <c r="U92" s="49"/>
      <c r="V92" s="94">
        <f t="shared" si="25"/>
        <v>0</v>
      </c>
    </row>
    <row r="93" spans="1:22" ht="11.25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U93" si="36">F94</f>
        <v>0</v>
      </c>
      <c r="G93" s="36">
        <f t="shared" si="36"/>
        <v>32000</v>
      </c>
      <c r="H93" s="36">
        <f t="shared" si="36"/>
        <v>32000</v>
      </c>
      <c r="I93" s="36">
        <f t="shared" si="36"/>
        <v>10000</v>
      </c>
      <c r="J93" s="36">
        <f t="shared" si="36"/>
        <v>0</v>
      </c>
      <c r="K93" s="36">
        <f t="shared" si="36"/>
        <v>32000</v>
      </c>
      <c r="L93" s="36">
        <f t="shared" si="36"/>
        <v>32000</v>
      </c>
      <c r="M93" s="36">
        <f t="shared" si="36"/>
        <v>32000</v>
      </c>
      <c r="N93" s="36">
        <f t="shared" si="36"/>
        <v>5000</v>
      </c>
      <c r="O93" s="36">
        <f t="shared" si="36"/>
        <v>5000</v>
      </c>
      <c r="P93" s="36">
        <f t="shared" si="36"/>
        <v>32000</v>
      </c>
      <c r="Q93" s="36">
        <f t="shared" si="36"/>
        <v>32000</v>
      </c>
      <c r="R93" s="36">
        <f t="shared" si="36"/>
        <v>32000</v>
      </c>
      <c r="S93" s="36">
        <f t="shared" si="36"/>
        <v>32000</v>
      </c>
      <c r="T93" s="36">
        <f t="shared" si="36"/>
        <v>32000</v>
      </c>
      <c r="U93" s="36">
        <f t="shared" si="36"/>
        <v>0</v>
      </c>
      <c r="V93" s="94">
        <f t="shared" si="25"/>
        <v>340000</v>
      </c>
    </row>
    <row r="94" spans="1:22" ht="57" thickBot="1">
      <c r="A94" s="33" t="s">
        <v>392</v>
      </c>
      <c r="B94" s="50" t="s">
        <v>393</v>
      </c>
      <c r="C94" s="34" t="s">
        <v>189</v>
      </c>
      <c r="D94" s="51" t="s">
        <v>529</v>
      </c>
      <c r="E94" s="52"/>
      <c r="F94" s="52"/>
      <c r="G94" s="138">
        <v>32000</v>
      </c>
      <c r="H94" s="52">
        <v>32000</v>
      </c>
      <c r="I94" s="52">
        <v>10000</v>
      </c>
      <c r="J94" s="138"/>
      <c r="K94" s="138">
        <v>32000</v>
      </c>
      <c r="L94" s="52">
        <v>32000</v>
      </c>
      <c r="M94" s="52">
        <v>32000</v>
      </c>
      <c r="N94" s="52">
        <v>5000</v>
      </c>
      <c r="O94" s="138">
        <v>5000</v>
      </c>
      <c r="P94" s="52">
        <v>32000</v>
      </c>
      <c r="Q94" s="138">
        <v>32000</v>
      </c>
      <c r="R94" s="52">
        <v>32000</v>
      </c>
      <c r="S94" s="52">
        <v>32000</v>
      </c>
      <c r="T94" s="52">
        <v>32000</v>
      </c>
      <c r="U94" s="52"/>
      <c r="V94" s="94">
        <f t="shared" si="25"/>
        <v>340000</v>
      </c>
    </row>
    <row r="95" spans="1:22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139"/>
      <c r="H95" s="55"/>
      <c r="I95" s="55"/>
      <c r="J95" s="139"/>
      <c r="K95" s="139"/>
      <c r="L95" s="55"/>
      <c r="M95" s="55"/>
      <c r="N95" s="55"/>
      <c r="O95" s="139"/>
      <c r="P95" s="55"/>
      <c r="Q95" s="139"/>
      <c r="R95" s="55"/>
      <c r="S95" s="55"/>
      <c r="T95" s="55"/>
      <c r="U95" s="55"/>
      <c r="V95" s="94">
        <f t="shared" si="25"/>
        <v>0</v>
      </c>
    </row>
    <row r="96" spans="1:22" ht="11.25">
      <c r="A96" s="33" t="s">
        <v>397</v>
      </c>
      <c r="B96" s="34" t="s">
        <v>398</v>
      </c>
      <c r="C96" s="34"/>
      <c r="D96" s="35" t="s">
        <v>530</v>
      </c>
      <c r="E96" s="36">
        <f>E97+E98+E99+E100</f>
        <v>87</v>
      </c>
      <c r="F96" s="36">
        <f>F97+F98+F99+F100</f>
        <v>84</v>
      </c>
      <c r="G96" s="98">
        <v>61</v>
      </c>
      <c r="H96" s="36">
        <f>H97+H98+H99+H100</f>
        <v>18</v>
      </c>
      <c r="I96" s="36">
        <f>I97+I98+I99+I100</f>
        <v>83</v>
      </c>
      <c r="J96" s="98">
        <f>J97+J98+J99+J100</f>
        <v>78</v>
      </c>
      <c r="K96" s="98">
        <v>86</v>
      </c>
      <c r="L96" s="36">
        <f>L97+L98+L99+L100</f>
        <v>40</v>
      </c>
      <c r="M96" s="36">
        <f>M97+M98+M99+M100</f>
        <v>48</v>
      </c>
      <c r="N96" s="36">
        <f>N97+N98+N99+N100</f>
        <v>58</v>
      </c>
      <c r="O96" s="98">
        <v>64</v>
      </c>
      <c r="P96" s="36">
        <f>P97+P98+P99+P100</f>
        <v>64</v>
      </c>
      <c r="Q96" s="98">
        <v>30</v>
      </c>
      <c r="R96" s="36">
        <f>R97+R98+R99+R100</f>
        <v>22</v>
      </c>
      <c r="S96" s="36">
        <f>S97+S98+S99+S100</f>
        <v>41</v>
      </c>
      <c r="T96" s="36">
        <f>T97+T98+T99+T100</f>
        <v>11</v>
      </c>
      <c r="U96" s="36">
        <f>U97+U98+U99+U100</f>
        <v>6</v>
      </c>
      <c r="V96" s="94">
        <f t="shared" si="25"/>
        <v>881</v>
      </c>
    </row>
    <row r="97" spans="1:22" ht="11.25">
      <c r="A97" s="33" t="s">
        <v>400</v>
      </c>
      <c r="B97" s="56" t="s">
        <v>401</v>
      </c>
      <c r="C97" s="56"/>
      <c r="D97" s="42"/>
      <c r="E97" s="43">
        <v>87</v>
      </c>
      <c r="F97" s="43">
        <v>84</v>
      </c>
      <c r="G97" s="114">
        <v>61</v>
      </c>
      <c r="H97" s="43">
        <v>11</v>
      </c>
      <c r="I97" s="43"/>
      <c r="J97" s="114"/>
      <c r="K97" s="114"/>
      <c r="L97" s="43"/>
      <c r="M97" s="43"/>
      <c r="N97" s="43"/>
      <c r="O97" s="114"/>
      <c r="P97" s="43"/>
      <c r="Q97" s="114"/>
      <c r="R97" s="43"/>
      <c r="S97" s="43"/>
      <c r="T97" s="43"/>
      <c r="U97" s="43"/>
      <c r="V97" s="94">
        <f t="shared" si="25"/>
        <v>243</v>
      </c>
    </row>
    <row r="98" spans="1:22" ht="11.25">
      <c r="A98" s="33" t="s">
        <v>402</v>
      </c>
      <c r="B98" s="56" t="s">
        <v>403</v>
      </c>
      <c r="C98" s="56"/>
      <c r="D98" s="35"/>
      <c r="E98" s="37"/>
      <c r="F98" s="37"/>
      <c r="G98" s="96"/>
      <c r="H98" s="37">
        <v>7</v>
      </c>
      <c r="I98" s="37">
        <v>83</v>
      </c>
      <c r="J98" s="96">
        <v>78</v>
      </c>
      <c r="K98" s="96">
        <v>86</v>
      </c>
      <c r="L98" s="37">
        <v>40</v>
      </c>
      <c r="M98" s="37">
        <v>48</v>
      </c>
      <c r="N98" s="37"/>
      <c r="O98" s="96"/>
      <c r="P98" s="37"/>
      <c r="Q98" s="96"/>
      <c r="R98" s="37"/>
      <c r="S98" s="37"/>
      <c r="T98" s="37"/>
      <c r="U98" s="37"/>
      <c r="V98" s="94">
        <f t="shared" si="25"/>
        <v>342</v>
      </c>
    </row>
    <row r="99" spans="1:22" ht="11.25">
      <c r="A99" s="33" t="s">
        <v>404</v>
      </c>
      <c r="B99" s="56" t="s">
        <v>405</v>
      </c>
      <c r="C99" s="56"/>
      <c r="D99" s="42"/>
      <c r="E99" s="43"/>
      <c r="F99" s="43"/>
      <c r="G99" s="114"/>
      <c r="H99" s="43"/>
      <c r="I99" s="43"/>
      <c r="J99" s="114"/>
      <c r="K99" s="114"/>
      <c r="L99" s="43"/>
      <c r="M99" s="43"/>
      <c r="N99" s="43">
        <v>58</v>
      </c>
      <c r="O99" s="114">
        <v>64</v>
      </c>
      <c r="P99" s="43">
        <v>64</v>
      </c>
      <c r="Q99" s="114">
        <v>30</v>
      </c>
      <c r="R99" s="43">
        <v>22</v>
      </c>
      <c r="S99" s="43">
        <v>41</v>
      </c>
      <c r="T99" s="43">
        <v>11</v>
      </c>
      <c r="U99" s="43"/>
      <c r="V99" s="94">
        <f t="shared" si="25"/>
        <v>290</v>
      </c>
    </row>
    <row r="100" spans="1:22" ht="11.25">
      <c r="A100" s="33" t="s">
        <v>406</v>
      </c>
      <c r="B100" s="56" t="s">
        <v>407</v>
      </c>
      <c r="C100" s="56"/>
      <c r="D100" s="42"/>
      <c r="E100" s="43"/>
      <c r="F100" s="43"/>
      <c r="G100" s="114"/>
      <c r="H100" s="43"/>
      <c r="I100" s="43"/>
      <c r="J100" s="114"/>
      <c r="K100" s="114"/>
      <c r="L100" s="43"/>
      <c r="M100" s="43"/>
      <c r="N100" s="43"/>
      <c r="O100" s="114"/>
      <c r="P100" s="43"/>
      <c r="Q100" s="114"/>
      <c r="R100" s="43"/>
      <c r="S100" s="43"/>
      <c r="T100" s="43"/>
      <c r="U100" s="43">
        <v>6</v>
      </c>
      <c r="V100" s="94">
        <f t="shared" si="25"/>
        <v>6</v>
      </c>
    </row>
    <row r="101" spans="1:22" ht="22.5">
      <c r="A101" s="33" t="s">
        <v>408</v>
      </c>
      <c r="B101" s="34" t="s">
        <v>409</v>
      </c>
      <c r="C101" s="34"/>
      <c r="D101" s="35" t="s">
        <v>531</v>
      </c>
      <c r="E101" s="36">
        <f>E102+E103+E104+E105</f>
        <v>874</v>
      </c>
      <c r="F101" s="36">
        <f>F102+F103+F104+F105</f>
        <v>856</v>
      </c>
      <c r="G101" s="98">
        <v>632</v>
      </c>
      <c r="H101" s="36">
        <f>H102+H103+H104+H105</f>
        <v>226</v>
      </c>
      <c r="I101" s="36">
        <f>I102+I103+I104+I105</f>
        <v>1284</v>
      </c>
      <c r="J101" s="98">
        <f>J102+J103+J104+J105</f>
        <v>1021</v>
      </c>
      <c r="K101" s="98">
        <v>1314</v>
      </c>
      <c r="L101" s="36">
        <f>L102+L103+L104+L105</f>
        <v>472</v>
      </c>
      <c r="M101" s="36">
        <f>M102+M103+M104+M105</f>
        <v>664</v>
      </c>
      <c r="N101" s="36">
        <f>N102+N103+N104+N105</f>
        <v>677</v>
      </c>
      <c r="O101" s="98">
        <v>863</v>
      </c>
      <c r="P101" s="36">
        <f>P102+P103+P104+P105</f>
        <v>842</v>
      </c>
      <c r="Q101" s="98">
        <v>492</v>
      </c>
      <c r="R101" s="36">
        <f>R102+R103+R104+R105</f>
        <v>273</v>
      </c>
      <c r="S101" s="36">
        <f>S102+S103+S104+S105</f>
        <v>392</v>
      </c>
      <c r="T101" s="36">
        <f>T102+T103+T104+T105</f>
        <v>324</v>
      </c>
      <c r="U101" s="36">
        <f>U102+U103+U104+U105</f>
        <v>0</v>
      </c>
      <c r="V101" s="94">
        <f t="shared" si="25"/>
        <v>11206</v>
      </c>
    </row>
    <row r="102" spans="1:22" ht="11.25">
      <c r="A102" s="33" t="s">
        <v>411</v>
      </c>
      <c r="B102" s="56" t="s">
        <v>401</v>
      </c>
      <c r="C102" s="56"/>
      <c r="D102" s="42"/>
      <c r="E102" s="43">
        <v>874</v>
      </c>
      <c r="F102" s="43">
        <v>856</v>
      </c>
      <c r="G102" s="114">
        <v>632</v>
      </c>
      <c r="H102" s="43">
        <v>91</v>
      </c>
      <c r="I102" s="43"/>
      <c r="J102" s="114"/>
      <c r="K102" s="114"/>
      <c r="L102" s="43"/>
      <c r="M102" s="43"/>
      <c r="N102" s="43"/>
      <c r="O102" s="114"/>
      <c r="P102" s="43"/>
      <c r="Q102" s="114"/>
      <c r="R102" s="43"/>
      <c r="S102" s="43"/>
      <c r="T102" s="43"/>
      <c r="U102" s="43"/>
      <c r="V102" s="94">
        <f t="shared" si="25"/>
        <v>2453</v>
      </c>
    </row>
    <row r="103" spans="1:22" ht="11.25">
      <c r="A103" s="33" t="s">
        <v>412</v>
      </c>
      <c r="B103" s="56" t="s">
        <v>403</v>
      </c>
      <c r="C103" s="56"/>
      <c r="D103" s="35"/>
      <c r="E103" s="37"/>
      <c r="F103" s="37"/>
      <c r="G103" s="96"/>
      <c r="H103" s="37">
        <v>135</v>
      </c>
      <c r="I103" s="37">
        <v>1284</v>
      </c>
      <c r="J103" s="96">
        <v>1021</v>
      </c>
      <c r="K103" s="96">
        <v>1314</v>
      </c>
      <c r="L103" s="37">
        <v>472</v>
      </c>
      <c r="M103" s="37">
        <v>664</v>
      </c>
      <c r="N103" s="37"/>
      <c r="O103" s="96"/>
      <c r="P103" s="37"/>
      <c r="Q103" s="96"/>
      <c r="R103" s="37"/>
      <c r="S103" s="37"/>
      <c r="T103" s="37"/>
      <c r="U103" s="37"/>
      <c r="V103" s="94">
        <f t="shared" si="25"/>
        <v>4890</v>
      </c>
    </row>
    <row r="104" spans="1:22" ht="11.25">
      <c r="A104" s="33" t="s">
        <v>413</v>
      </c>
      <c r="B104" s="56" t="s">
        <v>405</v>
      </c>
      <c r="C104" s="56"/>
      <c r="D104" s="42"/>
      <c r="E104" s="43"/>
      <c r="F104" s="43"/>
      <c r="G104" s="114"/>
      <c r="H104" s="43"/>
      <c r="I104" s="43"/>
      <c r="J104" s="114"/>
      <c r="K104" s="114"/>
      <c r="L104" s="43"/>
      <c r="M104" s="43"/>
      <c r="N104" s="43">
        <v>677</v>
      </c>
      <c r="O104" s="114">
        <v>863</v>
      </c>
      <c r="P104" s="43">
        <v>842</v>
      </c>
      <c r="Q104" s="114">
        <v>492</v>
      </c>
      <c r="R104" s="43">
        <v>273</v>
      </c>
      <c r="S104" s="43">
        <v>392</v>
      </c>
      <c r="T104" s="43">
        <v>324</v>
      </c>
      <c r="U104" s="43"/>
      <c r="V104" s="94">
        <f t="shared" si="25"/>
        <v>3863</v>
      </c>
    </row>
    <row r="105" spans="1:22" ht="11.25">
      <c r="A105" s="33" t="s">
        <v>414</v>
      </c>
      <c r="B105" s="56" t="s">
        <v>407</v>
      </c>
      <c r="C105" s="56"/>
      <c r="D105" s="42"/>
      <c r="E105" s="43"/>
      <c r="F105" s="43"/>
      <c r="G105" s="114"/>
      <c r="H105" s="43"/>
      <c r="I105" s="43"/>
      <c r="J105" s="114"/>
      <c r="K105" s="114"/>
      <c r="L105" s="43"/>
      <c r="M105" s="43"/>
      <c r="N105" s="43"/>
      <c r="O105" s="114"/>
      <c r="P105" s="43"/>
      <c r="Q105" s="114"/>
      <c r="R105" s="43"/>
      <c r="S105" s="43"/>
      <c r="T105" s="43"/>
      <c r="U105" s="43"/>
      <c r="V105" s="94">
        <f t="shared" si="25"/>
        <v>0</v>
      </c>
    </row>
    <row r="106" spans="1:22" ht="11.25">
      <c r="A106" s="33" t="s">
        <v>415</v>
      </c>
      <c r="B106" s="34" t="s">
        <v>416</v>
      </c>
      <c r="C106" s="34"/>
      <c r="D106" s="47"/>
      <c r="E106" s="57"/>
      <c r="F106" s="57"/>
      <c r="G106" s="140"/>
      <c r="H106" s="57"/>
      <c r="I106" s="57"/>
      <c r="J106" s="140"/>
      <c r="K106" s="140"/>
      <c r="L106" s="57"/>
      <c r="M106" s="57"/>
      <c r="N106" s="57"/>
      <c r="O106" s="140"/>
      <c r="P106" s="57"/>
      <c r="Q106" s="140"/>
      <c r="R106" s="57"/>
      <c r="S106" s="57"/>
      <c r="T106" s="57"/>
      <c r="U106" s="57"/>
      <c r="V106" s="94">
        <f t="shared" si="25"/>
        <v>0</v>
      </c>
    </row>
    <row r="107" spans="1:22" ht="11.25">
      <c r="A107" s="33" t="s">
        <v>417</v>
      </c>
      <c r="B107" s="34" t="s">
        <v>418</v>
      </c>
      <c r="C107" s="34"/>
      <c r="D107" s="35"/>
      <c r="E107" s="37">
        <v>62</v>
      </c>
      <c r="F107" s="37">
        <v>68</v>
      </c>
      <c r="G107" s="96"/>
      <c r="H107" s="37"/>
      <c r="I107" s="37">
        <v>104</v>
      </c>
      <c r="J107" s="96">
        <v>106</v>
      </c>
      <c r="K107" s="96"/>
      <c r="L107" s="37"/>
      <c r="M107" s="37"/>
      <c r="N107" s="37">
        <v>21</v>
      </c>
      <c r="O107" s="96">
        <v>23</v>
      </c>
      <c r="P107" s="37"/>
      <c r="Q107" s="96"/>
      <c r="R107" s="37"/>
      <c r="S107" s="37"/>
      <c r="T107" s="37"/>
      <c r="U107" s="37">
        <v>18</v>
      </c>
      <c r="V107" s="94">
        <f t="shared" si="25"/>
        <v>402</v>
      </c>
    </row>
    <row r="108" spans="1:22" ht="11.25">
      <c r="A108" s="33" t="s">
        <v>419</v>
      </c>
      <c r="B108" s="56" t="s">
        <v>420</v>
      </c>
      <c r="C108" s="56"/>
      <c r="D108" s="47"/>
      <c r="E108" s="37">
        <v>17063</v>
      </c>
      <c r="F108" s="37">
        <v>11923</v>
      </c>
      <c r="G108" s="96">
        <v>12788.7</v>
      </c>
      <c r="H108" s="37">
        <v>47723.69</v>
      </c>
      <c r="I108" s="37">
        <v>23546.35</v>
      </c>
      <c r="J108" s="96">
        <v>15720.46</v>
      </c>
      <c r="K108" s="96">
        <v>21871.439999999999</v>
      </c>
      <c r="L108" s="37">
        <v>16648.97</v>
      </c>
      <c r="M108" s="37">
        <v>11914.29</v>
      </c>
      <c r="N108" s="96">
        <v>7654.77</v>
      </c>
      <c r="O108" s="96">
        <v>12113.78</v>
      </c>
      <c r="P108" s="37">
        <v>16617.12</v>
      </c>
      <c r="Q108" s="96">
        <v>13520</v>
      </c>
      <c r="R108" s="37">
        <v>5747.79</v>
      </c>
      <c r="S108" s="37">
        <v>11286</v>
      </c>
      <c r="T108" s="37">
        <v>6080</v>
      </c>
      <c r="U108" s="37">
        <v>5648</v>
      </c>
      <c r="V108" s="94">
        <f t="shared" si="25"/>
        <v>257867.36</v>
      </c>
    </row>
    <row r="109" spans="1:22" ht="11.25">
      <c r="A109" s="33" t="s">
        <v>421</v>
      </c>
      <c r="B109" s="56" t="s">
        <v>422</v>
      </c>
      <c r="C109" s="56"/>
      <c r="D109" s="47"/>
      <c r="E109" s="37">
        <v>15829</v>
      </c>
      <c r="F109" s="37">
        <v>10360</v>
      </c>
      <c r="G109" s="96">
        <v>10179</v>
      </c>
      <c r="H109" s="37">
        <v>16263</v>
      </c>
      <c r="I109" s="37">
        <v>19712</v>
      </c>
      <c r="J109" s="96">
        <v>11160</v>
      </c>
      <c r="K109" s="96">
        <v>15700</v>
      </c>
      <c r="L109" s="37">
        <v>11125</v>
      </c>
      <c r="M109" s="37">
        <v>8447.1</v>
      </c>
      <c r="N109" s="96">
        <v>5134</v>
      </c>
      <c r="O109" s="96">
        <v>4330</v>
      </c>
      <c r="P109" s="37">
        <v>6673</v>
      </c>
      <c r="Q109" s="96">
        <v>5045</v>
      </c>
      <c r="R109" s="37">
        <v>2519</v>
      </c>
      <c r="S109" s="37">
        <v>4627.34</v>
      </c>
      <c r="T109" s="37">
        <v>2500</v>
      </c>
      <c r="U109" s="37">
        <v>2320</v>
      </c>
      <c r="V109" s="94">
        <f t="shared" si="25"/>
        <v>151923.44</v>
      </c>
    </row>
    <row r="121" spans="8:12">
      <c r="H121" s="141"/>
      <c r="L121" s="141"/>
    </row>
    <row r="122" spans="8:12">
      <c r="H122" s="141"/>
      <c r="L122" s="141"/>
    </row>
  </sheetData>
  <protectedRanges>
    <protectedRange password="E9C1" sqref="B31:D109 B13:D28 A13:A109 A2:D12 J2:K2 O2 Q2 V2:V109" name="区域1_1_2_1"/>
    <protectedRange password="E9C1" sqref="B29:C30" name="区域1_1_1_1_1"/>
    <protectedRange password="E9C1" sqref="D29" name="区域1_3_1"/>
    <protectedRange password="E9C1" sqref="D30" name="区域1_2_1_1"/>
    <protectedRange password="E9C1" sqref="G2" name="区域1_1_1"/>
    <protectedRange password="E9C1" sqref="L2" name="区域1_1_3_1"/>
    <protectedRange password="E9C1" sqref="E3:U3" name="区域1_1_4_1"/>
    <protectedRange password="E9C1" sqref="R2" name="区域1_1_6_1"/>
    <protectedRange password="E9C1" sqref="T2" name="区域1_1_7_1"/>
    <protectedRange password="E9C1" sqref="N2" name="区域1_1_8_1"/>
    <protectedRange password="E9C1" sqref="P2" name="区域1_1_9_1"/>
    <protectedRange password="E9C1" sqref="S2" name="区域1_1_10_1"/>
    <protectedRange password="E9C1" sqref="H2" name="区域1_1_11_1"/>
    <protectedRange password="E9C1" sqref="U2" name="区域1_1_12_1"/>
    <protectedRange password="E9C1" sqref="I2" name="区域1_1_13_1"/>
  </protectedRanges>
  <mergeCells count="1">
    <mergeCell ref="A1:V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基本支出汇总</vt:lpstr>
      <vt:lpstr>社区教育</vt:lpstr>
      <vt:lpstr>志愿者联盟</vt:lpstr>
      <vt:lpstr>2021年绩效预估</vt:lpstr>
      <vt:lpstr>保安经费</vt:lpstr>
      <vt:lpstr>莘庄</vt:lpstr>
      <vt:lpstr>吴泾</vt:lpstr>
      <vt:lpstr>七宝</vt:lpstr>
      <vt:lpstr>浦江</vt:lpstr>
      <vt:lpstr>梅陇</vt:lpstr>
      <vt:lpstr>马桥</vt:lpstr>
      <vt:lpstr>华漕</vt:lpstr>
      <vt:lpstr>颛桥</vt:lpstr>
      <vt:lpstr>虹桥</vt:lpstr>
      <vt:lpstr>华漕镇</vt:lpstr>
      <vt:lpstr>设备更新及购置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孟爱红</dc:creator>
  <cp:lastModifiedBy>顾红仙</cp:lastModifiedBy>
  <cp:lastPrinted>2022-06-06T02:20:58Z</cp:lastPrinted>
  <dcterms:created xsi:type="dcterms:W3CDTF">2019-11-08T06:57:41Z</dcterms:created>
  <dcterms:modified xsi:type="dcterms:W3CDTF">2022-06-09T08:14:19Z</dcterms:modified>
</cp:coreProperties>
</file>